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mc:AlternateContent xmlns:mc="http://schemas.openxmlformats.org/markup-compatibility/2006">
    <mc:Choice Requires="x15">
      <x15ac:absPath xmlns:x15ac="http://schemas.microsoft.com/office/spreadsheetml/2010/11/ac" url="https://waticompanycom-my.sharepoint.com/personal/schand_waticompany_com/Documents/GTM/Models/2019/Sherman Way/CDLAC/"/>
    </mc:Choice>
  </mc:AlternateContent>
  <xr:revisionPtr revIDLastSave="11" documentId="8_{98D70722-DF54-42D7-BDD4-9DBE54D53C93}" xr6:coauthVersionLast="45" xr6:coauthVersionMax="45" xr10:uidLastSave="{EC367E6E-787A-4D5E-B15A-039876BBC3DD}"/>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730" windowHeight="1116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300" iterateDelta="10" concurrentCalc="0"/>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710" i="3" l="1"/>
  <c r="B5" i="8"/>
  <c r="B6" i="8"/>
  <c r="B7" i="8"/>
  <c r="B8" i="8"/>
  <c r="G654" i="3"/>
  <c r="G652" i="3"/>
  <c r="G653" i="3"/>
  <c r="G651" i="3"/>
  <c r="G638" i="3"/>
  <c r="G636" i="3"/>
  <c r="G637" i="3"/>
  <c r="G635" i="3"/>
  <c r="C618" i="3"/>
  <c r="S44" i="4"/>
  <c r="C41" i="4"/>
  <c r="E41" i="4"/>
  <c r="R41" i="4"/>
  <c r="S41" i="4"/>
  <c r="E95" i="4"/>
  <c r="E66" i="4"/>
  <c r="C65" i="4"/>
  <c r="E65" i="4"/>
  <c r="AE549" i="3"/>
  <c r="AG631"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58" i="3"/>
  <c r="Y768" i="3"/>
  <c r="Y769" i="3"/>
  <c r="Y770" i="3"/>
  <c r="Y771" i="3"/>
  <c r="Y772" i="3"/>
  <c r="Y773" i="3"/>
  <c r="Y774" i="3"/>
  <c r="Y775" i="3"/>
  <c r="Y776" i="3"/>
  <c r="Y777" i="3"/>
  <c r="C4" i="8"/>
  <c r="H4" i="8"/>
  <c r="B4" i="8"/>
  <c r="I4" i="8"/>
  <c r="C6" i="8"/>
  <c r="H6" i="8"/>
  <c r="I6" i="8"/>
  <c r="I7" i="8"/>
  <c r="I8" i="8"/>
  <c r="C5" i="8"/>
  <c r="H5" i="8"/>
  <c r="I5" i="8"/>
  <c r="I9" i="8"/>
  <c r="I10" i="8"/>
  <c r="I11" i="8"/>
  <c r="I12" i="8"/>
  <c r="I13" i="8"/>
  <c r="I14" i="8"/>
  <c r="I15" i="8"/>
  <c r="I16" i="8"/>
  <c r="I17" i="8"/>
  <c r="I18" i="8"/>
  <c r="I19" i="8"/>
  <c r="I20" i="8"/>
  <c r="I21" i="8"/>
  <c r="I22" i="8"/>
  <c r="I23" i="8"/>
  <c r="I24" i="8"/>
  <c r="I25" i="8"/>
  <c r="I26" i="8"/>
  <c r="I27" i="8"/>
  <c r="I28" i="8"/>
  <c r="I30" i="8"/>
  <c r="Z789" i="3"/>
  <c r="E6" i="7"/>
  <c r="Z797" i="3"/>
  <c r="E8" i="7"/>
  <c r="E9" i="7"/>
  <c r="W827" i="3"/>
  <c r="E14" i="7"/>
  <c r="G14" i="7"/>
  <c r="E15" i="7"/>
  <c r="G15" i="7"/>
  <c r="I15" i="7"/>
  <c r="K15" i="7"/>
  <c r="M15" i="7"/>
  <c r="O15" i="7"/>
  <c r="Q15" i="7"/>
  <c r="S15" i="7"/>
  <c r="U15" i="7"/>
  <c r="W15" i="7"/>
  <c r="Y15" i="7"/>
  <c r="AA15" i="7"/>
  <c r="AC15" i="7"/>
  <c r="AE15" i="7"/>
  <c r="AG15" i="7"/>
  <c r="W835" i="3"/>
  <c r="E16" i="7"/>
  <c r="G16"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AG25" i="7"/>
  <c r="E26" i="7"/>
  <c r="G26" i="7"/>
  <c r="I26" i="7"/>
  <c r="K26" i="7"/>
  <c r="M26" i="7"/>
  <c r="O26" i="7"/>
  <c r="Q26" i="7"/>
  <c r="S26" i="7"/>
  <c r="U26" i="7"/>
  <c r="W26" i="7"/>
  <c r="Y26" i="7"/>
  <c r="AA26" i="7"/>
  <c r="AC26" i="7"/>
  <c r="AE26" i="7"/>
  <c r="AG26"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35" i="7"/>
  <c r="AE35" i="7"/>
  <c r="AG36" i="7"/>
  <c r="AG37" i="7"/>
  <c r="G47" i="7"/>
  <c r="I47" i="7"/>
  <c r="G48" i="7"/>
  <c r="I48" i="7"/>
  <c r="K48" i="7"/>
  <c r="M48" i="7"/>
  <c r="O48" i="7"/>
  <c r="Q48" i="7"/>
  <c r="S48" i="7"/>
  <c r="U48" i="7"/>
  <c r="W48" i="7"/>
  <c r="Y48" i="7"/>
  <c r="AA48" i="7"/>
  <c r="AC48" i="7"/>
  <c r="AE48" i="7"/>
  <c r="AG48" i="7"/>
  <c r="AE36" i="7"/>
  <c r="AE37" i="7"/>
  <c r="AC25" i="7"/>
  <c r="AC36" i="7"/>
  <c r="AC37" i="7"/>
  <c r="AA25" i="7"/>
  <c r="AA35" i="7"/>
  <c r="AA36" i="7"/>
  <c r="AA37" i="7"/>
  <c r="AA38" i="7"/>
  <c r="Y25" i="7"/>
  <c r="Y36" i="7"/>
  <c r="Y37" i="7"/>
  <c r="W25" i="7"/>
  <c r="W36" i="7"/>
  <c r="W37" i="7"/>
  <c r="C56" i="7"/>
  <c r="E52" i="7"/>
  <c r="G25" i="7"/>
  <c r="G36" i="7"/>
  <c r="G37" i="7"/>
  <c r="I25" i="7"/>
  <c r="I36" i="7"/>
  <c r="I37" i="7"/>
  <c r="K25" i="7"/>
  <c r="K36" i="7"/>
  <c r="K37" i="7"/>
  <c r="M25" i="7"/>
  <c r="M36" i="7"/>
  <c r="M37" i="7"/>
  <c r="O25" i="7"/>
  <c r="O35" i="7"/>
  <c r="O36" i="7"/>
  <c r="O37" i="7"/>
  <c r="O38" i="7"/>
  <c r="Q25" i="7"/>
  <c r="Q36" i="7"/>
  <c r="Q37" i="7"/>
  <c r="S25" i="7"/>
  <c r="S36" i="7"/>
  <c r="S37" i="7"/>
  <c r="U25" i="7"/>
  <c r="U36" i="7"/>
  <c r="U37" i="7"/>
  <c r="A36" i="7"/>
  <c r="A3" i="15"/>
  <c r="AN929" i="3"/>
  <c r="AD64" i="15"/>
  <c r="A61" i="15"/>
  <c r="AD67" i="15"/>
  <c r="Y67" i="15"/>
  <c r="T11" i="4"/>
  <c r="R10" i="4"/>
  <c r="R88" i="4"/>
  <c r="R81" i="4"/>
  <c r="T25" i="15"/>
  <c r="AI7" i="15"/>
  <c r="AG428" i="3"/>
  <c r="AG431" i="3"/>
  <c r="B58" i="4"/>
  <c r="C77" i="11"/>
  <c r="C78" i="11"/>
  <c r="B78" i="11"/>
  <c r="B77" i="11"/>
  <c r="I95" i="13"/>
  <c r="J95" i="13"/>
  <c r="J78" i="13"/>
  <c r="J11" i="13"/>
  <c r="J25" i="13"/>
  <c r="J36" i="13"/>
  <c r="J40" i="13"/>
  <c r="J53" i="13"/>
  <c r="J67" i="13"/>
  <c r="J104"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13"/>
  <c r="B77" i="4"/>
  <c r="A73" i="13"/>
  <c r="A66" i="13"/>
  <c r="A61" i="13"/>
  <c r="A60" i="13"/>
  <c r="A52" i="13"/>
  <c r="A51" i="13"/>
  <c r="A35" i="13"/>
  <c r="A24" i="13"/>
  <c r="A103" i="13"/>
  <c r="A94" i="13"/>
  <c r="A93" i="13"/>
  <c r="A92" i="13"/>
  <c r="A91" i="13"/>
  <c r="A90" i="13"/>
  <c r="AD68" i="15"/>
  <c r="F5" i="8"/>
  <c r="F6" i="8"/>
  <c r="F7" i="8"/>
  <c r="F8" i="8"/>
  <c r="F4"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F30"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I104" i="13"/>
  <c r="G104" i="13"/>
  <c r="F104" i="13"/>
  <c r="D104" i="13"/>
  <c r="C104" i="13"/>
  <c r="G95" i="13"/>
  <c r="F95" i="13"/>
  <c r="D95" i="13"/>
  <c r="C95" i="13"/>
  <c r="D74" i="13"/>
  <c r="C74" i="13"/>
  <c r="I67" i="13"/>
  <c r="G67" i="13"/>
  <c r="F67" i="13"/>
  <c r="D67" i="13"/>
  <c r="C67" i="13"/>
  <c r="D62" i="13"/>
  <c r="C62" i="13"/>
  <c r="I53" i="13"/>
  <c r="G53" i="13"/>
  <c r="F53" i="13"/>
  <c r="D53" i="13"/>
  <c r="C53" i="13"/>
  <c r="I40" i="13"/>
  <c r="I11" i="13"/>
  <c r="I25" i="13"/>
  <c r="I36" i="13"/>
  <c r="G40" i="13"/>
  <c r="G25" i="13"/>
  <c r="G36" i="13"/>
  <c r="F40" i="13"/>
  <c r="F25" i="13"/>
  <c r="F36" i="13"/>
  <c r="F63" i="13"/>
  <c r="D40" i="13"/>
  <c r="C40" i="13"/>
  <c r="D36" i="13"/>
  <c r="C36" i="13"/>
  <c r="C8" i="13"/>
  <c r="C11" i="13"/>
  <c r="C25" i="13"/>
  <c r="D25" i="13"/>
  <c r="D8" i="13"/>
  <c r="D11" i="13"/>
  <c r="D63" i="13"/>
  <c r="D96" i="13"/>
  <c r="D105" i="13"/>
  <c r="T104" i="4"/>
  <c r="H104" i="13"/>
  <c r="R103" i="4"/>
  <c r="R102" i="4"/>
  <c r="R101" i="4"/>
  <c r="R100" i="4"/>
  <c r="R99" i="4"/>
  <c r="R98"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52" i="4"/>
  <c r="R51" i="4"/>
  <c r="R50" i="4"/>
  <c r="R49" i="4"/>
  <c r="R48" i="4"/>
  <c r="R47" i="4"/>
  <c r="R46" i="4"/>
  <c r="R45" i="4"/>
  <c r="R44" i="4"/>
  <c r="R43" i="4"/>
  <c r="R39" i="4"/>
  <c r="R38" i="4"/>
  <c r="R35" i="4"/>
  <c r="R34" i="4"/>
  <c r="R33" i="4"/>
  <c r="R32" i="4"/>
  <c r="R28" i="4"/>
  <c r="R29" i="4"/>
  <c r="R30" i="4"/>
  <c r="R31" i="4"/>
  <c r="R36" i="4"/>
  <c r="R26" i="4"/>
  <c r="R24" i="4"/>
  <c r="R23" i="4"/>
  <c r="R22" i="4"/>
  <c r="R21" i="4"/>
  <c r="R20" i="4"/>
  <c r="R19" i="4"/>
  <c r="R18" i="4"/>
  <c r="R17" i="4"/>
  <c r="R15" i="4"/>
  <c r="R14" i="4"/>
  <c r="R13" i="4"/>
  <c r="R9" i="4"/>
  <c r="R11" i="4"/>
  <c r="R7" i="4"/>
  <c r="R6" i="4"/>
  <c r="R5" i="4"/>
  <c r="R4" i="4"/>
  <c r="R8" i="4"/>
  <c r="AD991" i="3"/>
  <c r="B5" i="11"/>
  <c r="C5" i="11"/>
  <c r="C6" i="11"/>
  <c r="C7" i="11"/>
  <c r="C8" i="11"/>
  <c r="C9" i="11"/>
  <c r="B6" i="11"/>
  <c r="B7" i="11"/>
  <c r="B8" i="11"/>
  <c r="B9" i="11"/>
  <c r="D9" i="11"/>
  <c r="D6" i="11"/>
  <c r="B10" i="11"/>
  <c r="B11" i="11"/>
  <c r="C10" i="11"/>
  <c r="C11" i="11"/>
  <c r="B14" i="11"/>
  <c r="C14" i="11"/>
  <c r="B15" i="11"/>
  <c r="C15" i="11"/>
  <c r="B16" i="11"/>
  <c r="C16" i="11"/>
  <c r="D16" i="11"/>
  <c r="B18" i="11"/>
  <c r="C18" i="11"/>
  <c r="B19" i="11"/>
  <c r="C19" i="11"/>
  <c r="D19" i="11"/>
  <c r="B20" i="11"/>
  <c r="C20" i="11"/>
  <c r="B21" i="11"/>
  <c r="C21" i="11"/>
  <c r="B22" i="11"/>
  <c r="C22" i="11"/>
  <c r="D22" i="11"/>
  <c r="B23" i="11"/>
  <c r="C23" i="11"/>
  <c r="B24" i="11"/>
  <c r="C24" i="11"/>
  <c r="D24" i="11"/>
  <c r="B25" i="11"/>
  <c r="C25" i="11"/>
  <c r="B27" i="11"/>
  <c r="C27" i="11"/>
  <c r="D27" i="11"/>
  <c r="B29" i="11"/>
  <c r="B30" i="11"/>
  <c r="B31" i="11"/>
  <c r="B32" i="11"/>
  <c r="B33" i="11"/>
  <c r="B34" i="11"/>
  <c r="B35" i="11"/>
  <c r="B36" i="11"/>
  <c r="C36" i="11"/>
  <c r="C29" i="11"/>
  <c r="C30" i="11"/>
  <c r="C31" i="11"/>
  <c r="C32" i="11"/>
  <c r="C33" i="11"/>
  <c r="D33" i="11"/>
  <c r="C34" i="11"/>
  <c r="C35" i="11"/>
  <c r="B39" i="11"/>
  <c r="C39" i="11"/>
  <c r="C40" i="11"/>
  <c r="B40" i="11"/>
  <c r="D40" i="11"/>
  <c r="B42" i="11"/>
  <c r="C42" i="11"/>
  <c r="D42" i="11"/>
  <c r="B44" i="11"/>
  <c r="C44" i="11"/>
  <c r="B45" i="11"/>
  <c r="C45" i="11"/>
  <c r="D45" i="11"/>
  <c r="B46" i="11"/>
  <c r="B47" i="11"/>
  <c r="B48" i="11"/>
  <c r="C48" i="11"/>
  <c r="D48" i="11"/>
  <c r="B49" i="11"/>
  <c r="B50" i="11"/>
  <c r="B51" i="11"/>
  <c r="B52" i="11"/>
  <c r="B53" i="11"/>
  <c r="C46" i="11"/>
  <c r="D46" i="11"/>
  <c r="C47" i="11"/>
  <c r="D47" i="11"/>
  <c r="C49" i="11"/>
  <c r="C50" i="11"/>
  <c r="D50" i="11"/>
  <c r="C51" i="11"/>
  <c r="D51" i="11"/>
  <c r="C52" i="11"/>
  <c r="D52" i="11"/>
  <c r="C53" i="11"/>
  <c r="B56" i="11"/>
  <c r="C56" i="11"/>
  <c r="B57" i="11"/>
  <c r="C57" i="11"/>
  <c r="B58" i="11"/>
  <c r="C58" i="11"/>
  <c r="B59" i="11"/>
  <c r="C59" i="11"/>
  <c r="D59" i="11"/>
  <c r="B60" i="11"/>
  <c r="C60" i="11"/>
  <c r="B61" i="11"/>
  <c r="C61" i="11"/>
  <c r="D61" i="11"/>
  <c r="B62" i="11"/>
  <c r="C62" i="11"/>
  <c r="D62" i="11"/>
  <c r="B66" i="11"/>
  <c r="B67" i="11"/>
  <c r="B68" i="11"/>
  <c r="C67" i="11"/>
  <c r="D67" i="11"/>
  <c r="C66" i="11"/>
  <c r="C68" i="11"/>
  <c r="D68" i="11"/>
  <c r="B70" i="11"/>
  <c r="C70" i="11"/>
  <c r="B71" i="11"/>
  <c r="C71" i="11"/>
  <c r="D71" i="11"/>
  <c r="B72" i="11"/>
  <c r="C72" i="11"/>
  <c r="D72" i="11"/>
  <c r="B73" i="11"/>
  <c r="C73" i="11"/>
  <c r="D73" i="11"/>
  <c r="B74" i="11"/>
  <c r="C74" i="11"/>
  <c r="B81" i="11"/>
  <c r="C81" i="11"/>
  <c r="B82" i="11"/>
  <c r="C82" i="11"/>
  <c r="C83" i="11"/>
  <c r="C84" i="11"/>
  <c r="B84" i="11"/>
  <c r="C85" i="11"/>
  <c r="C86" i="11"/>
  <c r="C87" i="11"/>
  <c r="B87" i="11"/>
  <c r="D87" i="11"/>
  <c r="C88" i="11"/>
  <c r="B88" i="11"/>
  <c r="C89" i="11"/>
  <c r="B89" i="11"/>
  <c r="D89" i="11"/>
  <c r="C90" i="11"/>
  <c r="C91" i="11"/>
  <c r="B91" i="11"/>
  <c r="D91" i="11"/>
  <c r="C92" i="11"/>
  <c r="C93" i="11"/>
  <c r="C94" i="11"/>
  <c r="C95" i="11"/>
  <c r="B83" i="11"/>
  <c r="B85" i="11"/>
  <c r="B86" i="11"/>
  <c r="D86" i="11"/>
  <c r="B90" i="11"/>
  <c r="D90" i="11"/>
  <c r="B92" i="11"/>
  <c r="B93" i="11"/>
  <c r="B94" i="11"/>
  <c r="B95" i="11"/>
  <c r="B99" i="11"/>
  <c r="C99" i="11"/>
  <c r="B100" i="11"/>
  <c r="B101" i="11"/>
  <c r="B102" i="11"/>
  <c r="B103" i="11"/>
  <c r="B104" i="11"/>
  <c r="C100" i="11"/>
  <c r="C101" i="11"/>
  <c r="C102" i="11"/>
  <c r="C103" i="11"/>
  <c r="D103" i="11"/>
  <c r="C104" i="11"/>
  <c r="A4" i="8"/>
  <c r="A5" i="8"/>
  <c r="A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H11" i="13"/>
  <c r="T25" i="4"/>
  <c r="H25" i="13"/>
  <c r="T36" i="4"/>
  <c r="H36" i="13"/>
  <c r="T40" i="4"/>
  <c r="H40" i="13"/>
  <c r="T53" i="4"/>
  <c r="H53" i="13"/>
  <c r="T67" i="4"/>
  <c r="H67" i="13"/>
  <c r="T95" i="4"/>
  <c r="H95" i="13"/>
  <c r="BO779"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33"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9" i="3"/>
  <c r="AQ880" i="3"/>
  <c r="AD971" i="3"/>
  <c r="AQ881" i="3"/>
  <c r="AN926" i="3"/>
  <c r="AN927" i="3"/>
  <c r="AN928" i="3"/>
  <c r="AN930" i="3"/>
  <c r="AN931" i="3"/>
  <c r="AN932" i="3"/>
  <c r="AN933" i="3"/>
  <c r="AN93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D36" i="4"/>
  <c r="B36" i="4"/>
  <c r="C53" i="4"/>
  <c r="B53" i="13"/>
  <c r="C62" i="4"/>
  <c r="D62" i="4"/>
  <c r="C74" i="4"/>
  <c r="C95" i="4"/>
  <c r="B95" i="13"/>
  <c r="C104" i="4"/>
  <c r="B104" i="13"/>
  <c r="B74" i="13"/>
  <c r="D8" i="4"/>
  <c r="D11" i="4"/>
  <c r="B11" i="4"/>
  <c r="D12" i="4"/>
  <c r="D25" i="4"/>
  <c r="D40" i="4"/>
  <c r="B40" i="4"/>
  <c r="D53"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H8" i="4"/>
  <c r="H11" i="4"/>
  <c r="I8" i="4"/>
  <c r="I11" i="4"/>
  <c r="I12" i="4"/>
  <c r="J8" i="4"/>
  <c r="J11" i="4"/>
  <c r="J25" i="4"/>
  <c r="J36" i="4"/>
  <c r="J40" i="4"/>
  <c r="J53" i="4"/>
  <c r="J62" i="4"/>
  <c r="J67" i="4"/>
  <c r="J74" i="4"/>
  <c r="J95" i="4"/>
  <c r="J104" i="4"/>
  <c r="K8" i="4"/>
  <c r="K11" i="4"/>
  <c r="L8" i="4"/>
  <c r="L11" i="4"/>
  <c r="L12" i="4"/>
  <c r="M8" i="4"/>
  <c r="M11" i="4"/>
  <c r="M12" i="4"/>
  <c r="N8" i="4"/>
  <c r="N11" i="4"/>
  <c r="N12" i="4"/>
  <c r="O8" i="4"/>
  <c r="Q8" i="4"/>
  <c r="Q11" i="4"/>
  <c r="Q25" i="4"/>
  <c r="Q36" i="4"/>
  <c r="Q40" i="4"/>
  <c r="Q53" i="4"/>
  <c r="Q62" i="4"/>
  <c r="Q67" i="4"/>
  <c r="Q74" i="4"/>
  <c r="Q95" i="4"/>
  <c r="Q104" i="4"/>
  <c r="B9" i="4"/>
  <c r="B10" i="4"/>
  <c r="E11" i="4"/>
  <c r="F11" i="4"/>
  <c r="F25" i="4"/>
  <c r="F36" i="4"/>
  <c r="F40" i="4"/>
  <c r="F53" i="4"/>
  <c r="F62" i="4"/>
  <c r="F12" i="4"/>
  <c r="N25" i="4"/>
  <c r="N36" i="4"/>
  <c r="N40" i="4"/>
  <c r="N53" i="4"/>
  <c r="N62" i="4"/>
  <c r="N67" i="4"/>
  <c r="N74" i="4"/>
  <c r="N95" i="4"/>
  <c r="N104" i="4"/>
  <c r="O11" i="4"/>
  <c r="O12" i="4"/>
  <c r="B13" i="4"/>
  <c r="B14" i="4"/>
  <c r="B15" i="4"/>
  <c r="B17" i="4"/>
  <c r="B18" i="4"/>
  <c r="B19" i="4"/>
  <c r="B20" i="4"/>
  <c r="B21" i="4"/>
  <c r="B22" i="4"/>
  <c r="B23" i="4"/>
  <c r="B24" i="4"/>
  <c r="E25" i="4"/>
  <c r="G25" i="4"/>
  <c r="H25" i="4"/>
  <c r="H36" i="4"/>
  <c r="H40" i="4"/>
  <c r="H53" i="4"/>
  <c r="H62" i="4"/>
  <c r="H67" i="4"/>
  <c r="H74" i="4"/>
  <c r="H95" i="4"/>
  <c r="H104" i="4"/>
  <c r="I25" i="4"/>
  <c r="I36" i="4"/>
  <c r="I40" i="4"/>
  <c r="I53" i="4"/>
  <c r="I62" i="4"/>
  <c r="I67" i="4"/>
  <c r="I74" i="4"/>
  <c r="I95" i="4"/>
  <c r="I104" i="4"/>
  <c r="K25" i="4"/>
  <c r="L25" i="4"/>
  <c r="M25" i="4"/>
  <c r="M36" i="4"/>
  <c r="M40" i="4"/>
  <c r="M53" i="4"/>
  <c r="M62" i="4"/>
  <c r="M67" i="4"/>
  <c r="M74" i="4"/>
  <c r="M95" i="4"/>
  <c r="M104" i="4"/>
  <c r="O25" i="4"/>
  <c r="P25" i="4"/>
  <c r="P36" i="4"/>
  <c r="P40" i="4"/>
  <c r="P53" i="4"/>
  <c r="P62" i="4"/>
  <c r="P67" i="4"/>
  <c r="P74" i="4"/>
  <c r="P95" i="4"/>
  <c r="P104" i="4"/>
  <c r="B26" i="4"/>
  <c r="B28" i="4"/>
  <c r="B29" i="4"/>
  <c r="B30" i="4"/>
  <c r="B31" i="4"/>
  <c r="B32" i="4"/>
  <c r="B33" i="4"/>
  <c r="B34" i="4"/>
  <c r="B35" i="4"/>
  <c r="E36" i="4"/>
  <c r="G36" i="4"/>
  <c r="K36" i="4"/>
  <c r="L36" i="4"/>
  <c r="O36" i="4"/>
  <c r="B38" i="4"/>
  <c r="B39" i="4"/>
  <c r="E40" i="4"/>
  <c r="G40" i="4"/>
  <c r="K40" i="4"/>
  <c r="L40" i="4"/>
  <c r="O40" i="4"/>
  <c r="O53" i="4"/>
  <c r="O62" i="4"/>
  <c r="O63" i="4"/>
  <c r="B41" i="4"/>
  <c r="B43" i="4"/>
  <c r="B44" i="4"/>
  <c r="B45" i="4"/>
  <c r="B46" i="4"/>
  <c r="B47" i="4"/>
  <c r="B48" i="4"/>
  <c r="B49" i="4"/>
  <c r="B50" i="4"/>
  <c r="B51" i="4"/>
  <c r="B52" i="4"/>
  <c r="E53" i="4"/>
  <c r="G53" i="4"/>
  <c r="K53" i="4"/>
  <c r="L53" i="4"/>
  <c r="B55" i="4"/>
  <c r="B56" i="4"/>
  <c r="B57" i="4"/>
  <c r="B59" i="4"/>
  <c r="B60" i="4"/>
  <c r="B61" i="4"/>
  <c r="E62" i="4"/>
  <c r="G62" i="4"/>
  <c r="K62" i="4"/>
  <c r="L62" i="4"/>
  <c r="O67" i="4"/>
  <c r="O74" i="4"/>
  <c r="O95" i="4"/>
  <c r="O104" i="4"/>
  <c r="B65" i="4"/>
  <c r="B66" i="4"/>
  <c r="E67" i="4"/>
  <c r="F67" i="4"/>
  <c r="G67" i="4"/>
  <c r="K67" i="4"/>
  <c r="L67" i="4"/>
  <c r="B69" i="4"/>
  <c r="B70" i="4"/>
  <c r="B71" i="4"/>
  <c r="B72" i="4"/>
  <c r="B73" i="4"/>
  <c r="E74" i="4"/>
  <c r="F74" i="4"/>
  <c r="G74" i="4"/>
  <c r="K74" i="4"/>
  <c r="L74" i="4"/>
  <c r="B76" i="4"/>
  <c r="B80" i="4"/>
  <c r="B81" i="4"/>
  <c r="B82" i="4"/>
  <c r="B83" i="4"/>
  <c r="B84" i="4"/>
  <c r="B85" i="4"/>
  <c r="B86" i="4"/>
  <c r="B87" i="4"/>
  <c r="B88" i="4"/>
  <c r="B89" i="4"/>
  <c r="B90" i="4"/>
  <c r="B91" i="4"/>
  <c r="B92" i="4"/>
  <c r="B93" i="4"/>
  <c r="B94" i="4"/>
  <c r="F95" i="4"/>
  <c r="G95" i="4"/>
  <c r="K95" i="4"/>
  <c r="L95" i="4"/>
  <c r="B98" i="4"/>
  <c r="B99" i="4"/>
  <c r="B100" i="4"/>
  <c r="B101" i="4"/>
  <c r="B102" i="4"/>
  <c r="B103" i="4"/>
  <c r="E104" i="4"/>
  <c r="F104" i="4"/>
  <c r="G104" i="4"/>
  <c r="K104" i="4"/>
  <c r="L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Y711" i="3"/>
  <c r="AI71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AC862" i="3"/>
  <c r="M812" i="3"/>
  <c r="Q812" i="3"/>
  <c r="U812" i="3"/>
  <c r="Y812" i="3"/>
  <c r="AC812" i="3"/>
  <c r="AG812" i="3"/>
  <c r="AV824" i="3"/>
  <c r="Z877" i="3"/>
  <c r="Z979" i="3"/>
  <c r="V983" i="3"/>
  <c r="Z985" i="3"/>
  <c r="B67" i="4"/>
  <c r="D58" i="11"/>
  <c r="D49" i="11"/>
  <c r="D23" i="11"/>
  <c r="D94" i="11"/>
  <c r="D92" i="11"/>
  <c r="D32" i="11"/>
  <c r="D15" i="11"/>
  <c r="D102" i="11"/>
  <c r="D60" i="11"/>
  <c r="D8" i="11"/>
  <c r="D53" i="11"/>
  <c r="D10" i="11"/>
  <c r="D101" i="11"/>
  <c r="D44" i="11"/>
  <c r="D70" i="11"/>
  <c r="C105" i="11"/>
  <c r="B105" i="11"/>
  <c r="D105" i="11"/>
  <c r="D100" i="11"/>
  <c r="D82" i="11"/>
  <c r="D7" i="11"/>
  <c r="L63" i="4"/>
  <c r="L96" i="4"/>
  <c r="L105" i="4"/>
  <c r="D12" i="13"/>
  <c r="J12" i="4"/>
  <c r="D20" i="11"/>
  <c r="D5" i="11"/>
  <c r="D14" i="11"/>
  <c r="B11" i="13"/>
  <c r="D66" i="11"/>
  <c r="J63" i="4"/>
  <c r="J96" i="4"/>
  <c r="J105" i="4"/>
  <c r="R74" i="4"/>
  <c r="R62" i="4"/>
  <c r="R53" i="4"/>
  <c r="R25" i="4"/>
  <c r="D83" i="11"/>
  <c r="C96" i="11"/>
  <c r="C75" i="11"/>
  <c r="B53" i="4"/>
  <c r="B54" i="11"/>
  <c r="C41" i="11"/>
  <c r="D39" i="11"/>
  <c r="D30" i="11"/>
  <c r="B36" i="13"/>
  <c r="C37" i="11"/>
  <c r="AB48" i="15"/>
  <c r="AG432" i="3"/>
  <c r="Y27" i="15"/>
  <c r="R12" i="4"/>
  <c r="G63" i="4"/>
  <c r="G96" i="4"/>
  <c r="G105" i="4"/>
  <c r="D95" i="11"/>
  <c r="D63" i="4"/>
  <c r="D96" i="4"/>
  <c r="D105" i="4"/>
  <c r="D77" i="11"/>
  <c r="D31" i="11"/>
  <c r="B8" i="4"/>
  <c r="B12" i="4"/>
  <c r="B78" i="4"/>
  <c r="C12" i="11"/>
  <c r="B25" i="4"/>
  <c r="B104" i="4"/>
  <c r="M63" i="4"/>
  <c r="M96" i="4"/>
  <c r="M105" i="4"/>
  <c r="R95" i="4"/>
  <c r="AD7" i="15"/>
  <c r="C63" i="4"/>
  <c r="C96" i="4"/>
  <c r="CT614" i="3"/>
  <c r="Y7" i="15"/>
  <c r="Y11" i="15"/>
  <c r="Y23" i="15"/>
  <c r="Y26" i="15"/>
  <c r="T7" i="15"/>
  <c r="AC861" i="3"/>
  <c r="DD614" i="3"/>
  <c r="CJ614" i="3"/>
  <c r="CE614" i="3"/>
  <c r="CY614" i="3"/>
  <c r="D104" i="11"/>
  <c r="E12" i="4"/>
  <c r="B96" i="11"/>
  <c r="B95" i="4"/>
  <c r="D11" i="11"/>
  <c r="C12" i="4"/>
  <c r="B12" i="13"/>
  <c r="T27" i="15"/>
  <c r="B63" i="13"/>
  <c r="AT614" i="3"/>
  <c r="X999" i="3"/>
  <c r="AX614" i="3"/>
  <c r="X1003" i="3"/>
  <c r="AA1000" i="3"/>
  <c r="S63" i="4"/>
  <c r="E41" i="13"/>
  <c r="BA614" i="3"/>
  <c r="B37" i="11"/>
  <c r="D21" i="11"/>
  <c r="B12" i="11"/>
  <c r="B13" i="11"/>
  <c r="S35" i="7"/>
  <c r="S38" i="7"/>
  <c r="K35" i="7"/>
  <c r="G52" i="7"/>
  <c r="W35" i="7"/>
  <c r="W38" i="7"/>
  <c r="N63" i="4"/>
  <c r="N96" i="4"/>
  <c r="N105" i="4"/>
  <c r="F63" i="4"/>
  <c r="F96" i="4"/>
  <c r="F105" i="4"/>
  <c r="K63" i="4"/>
  <c r="K96" i="4"/>
  <c r="K105" i="4"/>
  <c r="G12" i="4"/>
  <c r="BK621" i="3"/>
  <c r="D84" i="11"/>
  <c r="D56" i="11"/>
  <c r="R40" i="4"/>
  <c r="R63" i="4"/>
  <c r="U35" i="7"/>
  <c r="E38" i="7"/>
  <c r="AC35" i="7"/>
  <c r="P734" i="3"/>
  <c r="C30" i="8"/>
  <c r="AI709" i="3"/>
  <c r="AC863" i="3"/>
  <c r="AI712" i="3"/>
  <c r="I63" i="4"/>
  <c r="B74" i="4"/>
  <c r="D99" i="11"/>
  <c r="D74" i="11"/>
  <c r="B41" i="11"/>
  <c r="D41" i="11"/>
  <c r="R78" i="4"/>
  <c r="M35" i="7"/>
  <c r="M38" i="7"/>
  <c r="AG35" i="7"/>
  <c r="AG38" i="7"/>
  <c r="E63" i="4"/>
  <c r="D93" i="11"/>
  <c r="C63" i="11"/>
  <c r="R104" i="4"/>
  <c r="AT237" i="3"/>
  <c r="BB239" i="3"/>
  <c r="T262" i="3"/>
  <c r="B62" i="4"/>
  <c r="B63" i="4"/>
  <c r="BU633" i="3"/>
  <c r="BU621" i="3"/>
  <c r="BZ621" i="3"/>
  <c r="BP621" i="3"/>
  <c r="BK633" i="3"/>
  <c r="BF621" i="3"/>
  <c r="BA621" i="3"/>
  <c r="D57" i="11"/>
  <c r="D34" i="11"/>
  <c r="D36" i="11"/>
  <c r="D25" i="11"/>
  <c r="I63" i="13"/>
  <c r="I96" i="13"/>
  <c r="I105" i="13"/>
  <c r="I107" i="13"/>
  <c r="J63" i="13"/>
  <c r="J96" i="13"/>
  <c r="J105" i="13"/>
  <c r="J107" i="13"/>
  <c r="B79" i="11"/>
  <c r="K38" i="7"/>
  <c r="I35" i="7"/>
  <c r="G35" i="7"/>
  <c r="G38" i="7"/>
  <c r="Y35" i="7"/>
  <c r="AT675" i="3"/>
  <c r="AU667" i="3"/>
  <c r="AV667" i="3"/>
  <c r="AU661" i="3"/>
  <c r="AV661" i="3"/>
  <c r="AU672" i="3"/>
  <c r="AV672" i="3"/>
  <c r="AU666" i="3"/>
  <c r="AV666" i="3"/>
  <c r="AU660" i="3"/>
  <c r="AV660" i="3"/>
  <c r="D12" i="11"/>
  <c r="D88" i="11"/>
  <c r="D85" i="11"/>
  <c r="D81" i="11"/>
  <c r="Q35" i="7"/>
  <c r="Q38" i="7"/>
  <c r="AC38" i="7"/>
  <c r="AI27" i="15"/>
  <c r="AD27" i="15"/>
  <c r="AA996" i="3"/>
  <c r="B96" i="13"/>
  <c r="C105" i="4"/>
  <c r="B96" i="4"/>
  <c r="Y28" i="15"/>
  <c r="AU652" i="3"/>
  <c r="AV652" i="3"/>
  <c r="AU668" i="3"/>
  <c r="AV668" i="3"/>
  <c r="AU671" i="3"/>
  <c r="AV671" i="3"/>
  <c r="AU657" i="3"/>
  <c r="AV657" i="3"/>
  <c r="AU650" i="3"/>
  <c r="AU662" i="3"/>
  <c r="AV662" i="3"/>
  <c r="AU653" i="3"/>
  <c r="AV653" i="3"/>
  <c r="AU663" i="3"/>
  <c r="AV663" i="3"/>
  <c r="AU651" i="3"/>
  <c r="AV651" i="3"/>
  <c r="AU674" i="3"/>
  <c r="AV674" i="3"/>
  <c r="AU656" i="3"/>
  <c r="AV656" i="3"/>
  <c r="AU669" i="3"/>
  <c r="AV669" i="3"/>
  <c r="AU664" i="3"/>
  <c r="AV664" i="3"/>
  <c r="AU665" i="3"/>
  <c r="AV665" i="3"/>
  <c r="AU670" i="3"/>
  <c r="AV670" i="3"/>
  <c r="AU655" i="3"/>
  <c r="AV655" i="3"/>
  <c r="AU658" i="3"/>
  <c r="AV658" i="3"/>
  <c r="AU659" i="3"/>
  <c r="AV659" i="3"/>
  <c r="CO614" i="3"/>
  <c r="B75" i="11"/>
  <c r="D75" i="11"/>
  <c r="O96" i="4"/>
  <c r="O105" i="4"/>
  <c r="H12" i="4"/>
  <c r="H63" i="4"/>
  <c r="H96" i="4"/>
  <c r="H105" i="4"/>
  <c r="L948" i="3"/>
  <c r="L947" i="3"/>
  <c r="L949" i="3"/>
  <c r="L950" i="3"/>
  <c r="L951" i="3"/>
  <c r="D35" i="11"/>
  <c r="C12" i="13"/>
  <c r="C63" i="13"/>
  <c r="C96" i="13"/>
  <c r="C105" i="13"/>
  <c r="F96" i="13"/>
  <c r="F105" i="13"/>
  <c r="F107" i="13"/>
  <c r="BU614" i="3"/>
  <c r="BU635" i="3"/>
  <c r="BP614" i="3"/>
  <c r="BK614" i="3"/>
  <c r="BK635" i="3"/>
  <c r="V949" i="3"/>
  <c r="BF614" i="3"/>
  <c r="I14" i="7"/>
  <c r="G21" i="7"/>
  <c r="G30" i="7"/>
  <c r="AU654" i="3"/>
  <c r="AV654" i="3"/>
  <c r="D37" i="11"/>
  <c r="C54" i="11"/>
  <c r="D54" i="11"/>
  <c r="G6" i="7"/>
  <c r="E7" i="7"/>
  <c r="AM905" i="3"/>
  <c r="AI11" i="15"/>
  <c r="AI23" i="15"/>
  <c r="AI26" i="15"/>
  <c r="C13" i="11"/>
  <c r="D96" i="11"/>
  <c r="AU673" i="3"/>
  <c r="AV673" i="3"/>
  <c r="K12" i="4"/>
  <c r="I96" i="4"/>
  <c r="I105" i="4"/>
  <c r="BZ614" i="3"/>
  <c r="BZ635" i="3"/>
  <c r="V951" i="3"/>
  <c r="BP633" i="3"/>
  <c r="BF633" i="3"/>
  <c r="Q63" i="4"/>
  <c r="Q96" i="4"/>
  <c r="Q105" i="4"/>
  <c r="Q12" i="4"/>
  <c r="E96" i="4"/>
  <c r="E105" i="4"/>
  <c r="AN891" i="3"/>
  <c r="AQ882" i="3"/>
  <c r="D18" i="11"/>
  <c r="C26" i="11"/>
  <c r="T63" i="4"/>
  <c r="D29" i="11"/>
  <c r="B26" i="11"/>
  <c r="B63" i="11"/>
  <c r="D63" i="11"/>
  <c r="P63" i="4"/>
  <c r="P96" i="4"/>
  <c r="P105" i="4"/>
  <c r="BA633" i="3"/>
  <c r="BA635" i="3"/>
  <c r="V947" i="3"/>
  <c r="G63" i="13"/>
  <c r="G96" i="13"/>
  <c r="G105" i="13"/>
  <c r="G107" i="13"/>
  <c r="B62" i="13"/>
  <c r="U38" i="7"/>
  <c r="E21" i="7"/>
  <c r="E30" i="7"/>
  <c r="G8" i="7"/>
  <c r="D78" i="11"/>
  <c r="C79" i="11"/>
  <c r="D79" i="11"/>
  <c r="K47" i="7"/>
  <c r="I52" i="7"/>
  <c r="I38" i="7"/>
  <c r="Y38" i="7"/>
  <c r="AE38" i="7"/>
  <c r="Y778" i="3"/>
  <c r="Y780" i="3"/>
  <c r="D26" i="11"/>
  <c r="S96" i="4"/>
  <c r="E63" i="13"/>
  <c r="R96" i="4"/>
  <c r="R105" i="4"/>
  <c r="D13" i="11"/>
  <c r="C64" i="11"/>
  <c r="Y781" i="3"/>
  <c r="AD949" i="3"/>
  <c r="AI28" i="15"/>
  <c r="AD951" i="3"/>
  <c r="AV650" i="3"/>
  <c r="AV675" i="3"/>
  <c r="AD734" i="3"/>
  <c r="AU675" i="3"/>
  <c r="I8" i="7"/>
  <c r="G9" i="7"/>
  <c r="E4" i="7"/>
  <c r="Z798" i="3"/>
  <c r="I6" i="7"/>
  <c r="G7" i="7"/>
  <c r="I21" i="7"/>
  <c r="I30" i="7"/>
  <c r="K14" i="7"/>
  <c r="AD947" i="3"/>
  <c r="T96" i="4"/>
  <c r="H63" i="13"/>
  <c r="BF635" i="3"/>
  <c r="V948" i="3"/>
  <c r="AD948" i="3"/>
  <c r="C97" i="11"/>
  <c r="AC442" i="3"/>
  <c r="B105" i="13"/>
  <c r="B105" i="4"/>
  <c r="K52" i="7"/>
  <c r="M47" i="7"/>
  <c r="B64" i="11"/>
  <c r="B97" i="11"/>
  <c r="B106" i="11"/>
  <c r="I1003" i="3"/>
  <c r="AO907" i="3"/>
  <c r="I999" i="3"/>
  <c r="AO906" i="3"/>
  <c r="BP635" i="3"/>
  <c r="V950" i="3"/>
  <c r="V952" i="3"/>
  <c r="E96" i="13"/>
  <c r="S105" i="4"/>
  <c r="G4" i="7"/>
  <c r="E5" i="7"/>
  <c r="E10" i="7"/>
  <c r="E32" i="7"/>
  <c r="AC441" i="3"/>
  <c r="AB47" i="15"/>
  <c r="AB49" i="15"/>
  <c r="D64" i="11"/>
  <c r="M14" i="7"/>
  <c r="K21" i="7"/>
  <c r="K30" i="7"/>
  <c r="AD950" i="3"/>
  <c r="AD953" i="3"/>
  <c r="AD988" i="3"/>
  <c r="K8" i="7"/>
  <c r="I9" i="7"/>
  <c r="O47" i="7"/>
  <c r="M52" i="7"/>
  <c r="T105" i="4"/>
  <c r="H96" i="13"/>
  <c r="D97" i="11"/>
  <c r="C106" i="11"/>
  <c r="D106" i="11"/>
  <c r="K6" i="7"/>
  <c r="I7" i="7"/>
  <c r="AM826" i="3"/>
  <c r="AM829" i="3"/>
  <c r="AM834" i="3"/>
  <c r="AQ885" i="3"/>
  <c r="E105" i="13"/>
  <c r="S107" i="4"/>
  <c r="E107" i="13"/>
  <c r="T11" i="15"/>
  <c r="T23" i="15"/>
  <c r="E40" i="7"/>
  <c r="E44" i="7"/>
  <c r="AD965" i="3"/>
  <c r="AQ879" i="3"/>
  <c r="AD955" i="3"/>
  <c r="AQ877" i="3"/>
  <c r="AD974" i="3"/>
  <c r="AD996" i="3"/>
  <c r="AD1000" i="3"/>
  <c r="AD1004" i="3"/>
  <c r="T24" i="15"/>
  <c r="B1014" i="3"/>
  <c r="AB54" i="15"/>
  <c r="AB55" i="15"/>
  <c r="T107" i="4"/>
  <c r="H105" i="13"/>
  <c r="Q47" i="7"/>
  <c r="O52" i="7"/>
  <c r="M21" i="7"/>
  <c r="M30" i="7"/>
  <c r="O14" i="7"/>
  <c r="I4" i="7"/>
  <c r="G5" i="7"/>
  <c r="G10" i="7"/>
  <c r="G32" i="7"/>
  <c r="K7" i="7"/>
  <c r="M6" i="7"/>
  <c r="M8" i="7"/>
  <c r="K9" i="7"/>
  <c r="T26" i="15"/>
  <c r="T28" i="15"/>
  <c r="Y64" i="15"/>
  <c r="Y68" i="15"/>
  <c r="G40" i="7"/>
  <c r="G44" i="7"/>
  <c r="K4" i="7"/>
  <c r="I5" i="7"/>
  <c r="I10" i="7"/>
  <c r="I32" i="7"/>
  <c r="H107" i="13"/>
  <c r="AD11" i="15"/>
  <c r="AD23" i="15"/>
  <c r="AD26" i="15"/>
  <c r="AD28" i="15"/>
  <c r="T29" i="15"/>
  <c r="AC443" i="3"/>
  <c r="E54" i="7"/>
  <c r="E43" i="7"/>
  <c r="E42" i="7"/>
  <c r="M9" i="7"/>
  <c r="O8" i="7"/>
  <c r="O21" i="7"/>
  <c r="O30" i="7"/>
  <c r="Q14" i="7"/>
  <c r="M7" i="7"/>
  <c r="O6" i="7"/>
  <c r="AQ888" i="3"/>
  <c r="B1012" i="3"/>
  <c r="AQ886" i="3"/>
  <c r="AD38" i="15"/>
  <c r="AD40" i="15"/>
  <c r="Y38" i="15"/>
  <c r="Y40" i="15"/>
  <c r="S47" i="7"/>
  <c r="Q52" i="7"/>
  <c r="Y41" i="15"/>
  <c r="AB56" i="15"/>
  <c r="S14" i="7"/>
  <c r="Q21" i="7"/>
  <c r="Q30" i="7"/>
  <c r="G54" i="7"/>
  <c r="G42" i="7"/>
  <c r="G43" i="7"/>
  <c r="O9" i="7"/>
  <c r="Q8" i="7"/>
  <c r="I40" i="7"/>
  <c r="I44" i="7"/>
  <c r="O7" i="7"/>
  <c r="Q6" i="7"/>
  <c r="M26" i="3"/>
  <c r="P203" i="3"/>
  <c r="AB57" i="15"/>
  <c r="E56" i="7"/>
  <c r="E59" i="7"/>
  <c r="E61" i="7"/>
  <c r="U47" i="7"/>
  <c r="S52" i="7"/>
  <c r="K5" i="7"/>
  <c r="M4" i="7"/>
  <c r="K10" i="7"/>
  <c r="K32" i="7"/>
  <c r="K40" i="7"/>
  <c r="K44" i="7"/>
  <c r="O4" i="7"/>
  <c r="M5" i="7"/>
  <c r="M10" i="7"/>
  <c r="M32" i="7"/>
  <c r="G56" i="7"/>
  <c r="G60" i="7"/>
  <c r="W47" i="7"/>
  <c r="U52" i="7"/>
  <c r="S6" i="7"/>
  <c r="Q7" i="7"/>
  <c r="E60" i="7"/>
  <c r="I54" i="7"/>
  <c r="I43" i="7"/>
  <c r="I42" i="7"/>
  <c r="AB59" i="15"/>
  <c r="AB76" i="15"/>
  <c r="AB77" i="15"/>
  <c r="Q9" i="7"/>
  <c r="S8" i="7"/>
  <c r="U14" i="7"/>
  <c r="S21" i="7"/>
  <c r="S30" i="7"/>
  <c r="I56" i="7"/>
  <c r="I59" i="7"/>
  <c r="G61" i="7"/>
  <c r="G59" i="7"/>
  <c r="M40" i="7"/>
  <c r="M44" i="7"/>
  <c r="O5" i="7"/>
  <c r="O10" i="7"/>
  <c r="O32" i="7"/>
  <c r="Q4" i="7"/>
  <c r="AB86" i="15"/>
  <c r="AB78" i="15"/>
  <c r="AB80" i="15"/>
  <c r="J81" i="15"/>
  <c r="AB87" i="15"/>
  <c r="M27" i="3"/>
  <c r="P204" i="3"/>
  <c r="U21" i="7"/>
  <c r="U30" i="7"/>
  <c r="W14" i="7"/>
  <c r="W52" i="7"/>
  <c r="Y47" i="7"/>
  <c r="U8" i="7"/>
  <c r="S9" i="7"/>
  <c r="I60" i="7"/>
  <c r="I61" i="7"/>
  <c r="U6" i="7"/>
  <c r="S7" i="7"/>
  <c r="K54" i="7"/>
  <c r="K56" i="7"/>
  <c r="K43" i="7"/>
  <c r="K42" i="7"/>
  <c r="O40" i="7"/>
  <c r="O44" i="7"/>
  <c r="M54" i="7"/>
  <c r="M56" i="7"/>
  <c r="W6" i="7"/>
  <c r="U7" i="7"/>
  <c r="W8" i="7"/>
  <c r="U9" i="7"/>
  <c r="Y52" i="7"/>
  <c r="AA47" i="7"/>
  <c r="K59" i="7"/>
  <c r="K60" i="7"/>
  <c r="K61" i="7"/>
  <c r="Y14" i="7"/>
  <c r="W21" i="7"/>
  <c r="W30" i="7"/>
  <c r="M42" i="7"/>
  <c r="M43" i="7"/>
  <c r="S4" i="7"/>
  <c r="Q5" i="7"/>
  <c r="Q10" i="7"/>
  <c r="Q32" i="7"/>
  <c r="Q40" i="7"/>
  <c r="Q44" i="7"/>
  <c r="U4" i="7"/>
  <c r="S5" i="7"/>
  <c r="S10" i="7"/>
  <c r="S32" i="7"/>
  <c r="W7" i="7"/>
  <c r="Y6" i="7"/>
  <c r="Y8" i="7"/>
  <c r="W9" i="7"/>
  <c r="AC47" i="7"/>
  <c r="AA52" i="7"/>
  <c r="Y21" i="7"/>
  <c r="Y30" i="7"/>
  <c r="AA14" i="7"/>
  <c r="M59" i="7"/>
  <c r="M60" i="7"/>
  <c r="M61" i="7"/>
  <c r="O54" i="7"/>
  <c r="O56" i="7"/>
  <c r="O42" i="7"/>
  <c r="O43" i="7"/>
  <c r="W4" i="7"/>
  <c r="U5" i="7"/>
  <c r="U10" i="7"/>
  <c r="U32" i="7"/>
  <c r="S40" i="7"/>
  <c r="S44" i="7"/>
  <c r="AA21" i="7"/>
  <c r="AA30" i="7"/>
  <c r="AC14" i="7"/>
  <c r="AA8" i="7"/>
  <c r="Y9" i="7"/>
  <c r="O60" i="7"/>
  <c r="O59" i="7"/>
  <c r="O61" i="7"/>
  <c r="Y7" i="7"/>
  <c r="AA6" i="7"/>
  <c r="AE47" i="7"/>
  <c r="AC52" i="7"/>
  <c r="Q54" i="7"/>
  <c r="Q56" i="7"/>
  <c r="Q43" i="7"/>
  <c r="Q42" i="7"/>
  <c r="AA7" i="7"/>
  <c r="AC6" i="7"/>
  <c r="AG47" i="7"/>
  <c r="AG52" i="7"/>
  <c r="AE52" i="7"/>
  <c r="U40" i="7"/>
  <c r="U44" i="7"/>
  <c r="AA9" i="7"/>
  <c r="AC8" i="7"/>
  <c r="AE14" i="7"/>
  <c r="AC21" i="7"/>
  <c r="AC30" i="7"/>
  <c r="Q60" i="7"/>
  <c r="Q59" i="7"/>
  <c r="Q61" i="7"/>
  <c r="W5" i="7"/>
  <c r="Y4" i="7"/>
  <c r="W10" i="7"/>
  <c r="W32" i="7"/>
  <c r="S54" i="7"/>
  <c r="S43" i="7"/>
  <c r="S42" i="7"/>
  <c r="Y5" i="7"/>
  <c r="AA4" i="7"/>
  <c r="Y10" i="7"/>
  <c r="Y32" i="7"/>
  <c r="AG14" i="7"/>
  <c r="AG21" i="7"/>
  <c r="AG30" i="7"/>
  <c r="AE21" i="7"/>
  <c r="AE30" i="7"/>
  <c r="AE6" i="7"/>
  <c r="AC7" i="7"/>
  <c r="U54" i="7"/>
  <c r="U42" i="7"/>
  <c r="U43" i="7"/>
  <c r="W40" i="7"/>
  <c r="W44" i="7"/>
  <c r="AC9" i="7"/>
  <c r="AE8" i="7"/>
  <c r="S56" i="7"/>
  <c r="U56" i="7"/>
  <c r="AG8" i="7"/>
  <c r="AG9" i="7"/>
  <c r="AE9" i="7"/>
  <c r="S61" i="7"/>
  <c r="Y40" i="7"/>
  <c r="Y44" i="7"/>
  <c r="AC4" i="7"/>
  <c r="AA5" i="7"/>
  <c r="AA10" i="7"/>
  <c r="AA32" i="7"/>
  <c r="AG6" i="7"/>
  <c r="AG7" i="7"/>
  <c r="AE7" i="7"/>
  <c r="S59" i="7"/>
  <c r="U59" i="7"/>
  <c r="U60" i="7"/>
  <c r="U61" i="7"/>
  <c r="W54" i="7"/>
  <c r="W42" i="7"/>
  <c r="W43" i="7"/>
  <c r="S60" i="7"/>
  <c r="AA40" i="7"/>
  <c r="AA44" i="7"/>
  <c r="Y54" i="7"/>
  <c r="Y42" i="7"/>
  <c r="Y43" i="7"/>
  <c r="AE4" i="7"/>
  <c r="AC5" i="7"/>
  <c r="AC10" i="7"/>
  <c r="AC32" i="7"/>
  <c r="W56" i="7"/>
  <c r="W60" i="7"/>
  <c r="AC40" i="7"/>
  <c r="AC44" i="7"/>
  <c r="W59" i="7"/>
  <c r="AA54" i="7"/>
  <c r="AA42" i="7"/>
  <c r="AA43" i="7"/>
  <c r="Y59" i="7"/>
  <c r="Y60" i="7"/>
  <c r="Y61" i="7"/>
  <c r="W61" i="7"/>
  <c r="AG4" i="7"/>
  <c r="AE5" i="7"/>
  <c r="AE10" i="7"/>
  <c r="AE32" i="7"/>
  <c r="AE40" i="7"/>
  <c r="AE44" i="7"/>
  <c r="AG5" i="7"/>
  <c r="AG10" i="7"/>
  <c r="AG32" i="7"/>
  <c r="AA60" i="7"/>
  <c r="AA59" i="7"/>
  <c r="AA61" i="7"/>
  <c r="AC54" i="7"/>
  <c r="AC42" i="7"/>
  <c r="AC43" i="7"/>
  <c r="AG40" i="7"/>
  <c r="AG44" i="7"/>
  <c r="AC60" i="7"/>
  <c r="AC59" i="7"/>
  <c r="AC61" i="7"/>
  <c r="AE54" i="7"/>
  <c r="AE42" i="7"/>
  <c r="AE43" i="7"/>
  <c r="AE60" i="7"/>
  <c r="AE59" i="7"/>
  <c r="AE61" i="7"/>
  <c r="AG54" i="7"/>
  <c r="AG42" i="7"/>
  <c r="AG43" i="7"/>
  <c r="AG59" i="7"/>
  <c r="AG60" i="7"/>
  <c r="AG6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rPr>
          <t>130% adjustment only for sites located in a DDA/QCT.</t>
        </r>
      </text>
    </comment>
    <comment ref="Y25" authorId="2" shapeId="0" xr:uid="{00000000-0006-0000-0700-000005000000}">
      <text>
        <r>
          <rPr>
            <sz val="10"/>
            <rFont val="Arial"/>
          </rPr>
          <t>No 130% adjustment for sites not located in DDA or QCT</t>
        </r>
      </text>
    </comment>
  </commentList>
</comments>
</file>

<file path=xl/sharedStrings.xml><?xml version="1.0" encoding="utf-8"?>
<sst xmlns="http://schemas.openxmlformats.org/spreadsheetml/2006/main" count="3669" uniqueCount="1809">
  <si>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</si>
  <si>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</si>
  <si>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</si>
  <si>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</si>
  <si>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</si>
  <si>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</si>
  <si>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</si>
  <si>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</si>
  <si>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</si>
  <si>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</si>
  <si>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</si>
  <si>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</si>
  <si>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</si>
  <si>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</si>
  <si>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</si>
  <si>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</si>
  <si>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</si>
  <si>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</si>
  <si>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</si>
  <si>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</si>
  <si>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</si>
  <si>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</si>
  <si>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</si>
  <si>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</si>
  <si>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</si>
  <si>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</si>
  <si>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</si>
  <si>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</si>
  <si>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</si>
  <si>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</si>
  <si>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</si>
  <si>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</si>
  <si>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</si>
  <si>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</si>
  <si>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</si>
  <si>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</si>
  <si>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</si>
  <si>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</si>
  <si>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</si>
  <si>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</si>
  <si>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</si>
  <si>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</si>
  <si>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</si>
  <si>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</si>
  <si>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</si>
  <si>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</si>
  <si>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</si>
  <si>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</si>
  <si>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</si>
  <si>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</si>
  <si>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</si>
  <si>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</si>
  <si>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</si>
  <si>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</si>
  <si>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</si>
  <si>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</si>
  <si>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</si>
  <si>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</si>
  <si>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</si>
  <si>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</si>
  <si>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</si>
  <si>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</si>
  <si>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</si>
  <si>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</si>
  <si>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</si>
  <si>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</si>
  <si>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</si>
  <si>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</si>
  <si>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</si>
  <si>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</si>
  <si>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</si>
  <si>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</si>
  <si>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</si>
  <si>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</si>
  <si>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</si>
  <si>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</si>
  <si>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</si>
  <si>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</si>
  <si>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</si>
  <si>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</si>
  <si>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</si>
  <si>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</si>
  <si>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</si>
  <si>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</si>
  <si>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</si>
  <si>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</si>
  <si>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</si>
  <si>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</si>
  <si>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</si>
  <si>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</si>
  <si>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</si>
  <si>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</si>
  <si>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</si>
  <si>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</si>
  <si>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</si>
  <si>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</si>
  <si>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</si>
  <si>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</si>
  <si>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</si>
  <si>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</si>
  <si>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</si>
  <si>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</si>
  <si>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</si>
  <si>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</si>
  <si>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</si>
  <si>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</si>
  <si>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</si>
  <si>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</si>
  <si>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</si>
  <si>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</si>
  <si>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</si>
  <si>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</si>
  <si>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</si>
  <si>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</si>
  <si>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</si>
  <si>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</si>
  <si>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</si>
  <si>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</si>
  <si>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</si>
  <si>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</si>
  <si>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</si>
  <si>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</si>
  <si>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</si>
  <si>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</si>
  <si>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</si>
  <si>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</si>
  <si>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</si>
  <si>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</si>
  <si>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</si>
  <si>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</si>
  <si>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</si>
  <si>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</si>
  <si>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</si>
  <si>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</si>
  <si>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</si>
  <si>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</si>
  <si>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</si>
  <si>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</si>
  <si>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</si>
  <si>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</si>
  <si>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</si>
  <si>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</si>
  <si>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</si>
  <si>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</si>
  <si>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</si>
  <si>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</si>
  <si>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</si>
  <si>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</si>
  <si>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</si>
  <si>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</si>
  <si>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</si>
  <si>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</si>
  <si>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</si>
  <si>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</si>
  <si>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</si>
  <si>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</si>
  <si>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</si>
  <si>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</si>
  <si>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</si>
  <si>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</si>
  <si>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</si>
  <si>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</si>
  <si>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</si>
  <si>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</si>
  <si>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</si>
  <si>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</si>
  <si>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</si>
  <si>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</si>
  <si>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</si>
  <si>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</si>
  <si>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</si>
  <si>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</si>
  <si>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</si>
  <si>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</si>
  <si>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</si>
  <si>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</si>
  <si>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</si>
  <si>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</si>
  <si>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</si>
  <si>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</si>
  <si>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</si>
  <si>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</si>
  <si>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</si>
  <si>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</si>
  <si>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</si>
  <si>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</si>
  <si>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</si>
  <si>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</si>
  <si>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</si>
  <si>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</si>
  <si>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</si>
  <si>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</si>
  <si>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</si>
  <si>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</si>
  <si>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</si>
  <si>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</si>
  <si>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</si>
  <si>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</si>
  <si>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</si>
  <si>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</si>
  <si>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</si>
  <si>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</si>
  <si>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</si>
  <si>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</si>
  <si>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</si>
  <si>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</si>
  <si>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</si>
  <si>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</si>
  <si>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</si>
  <si>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</si>
  <si>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</si>
  <si>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</si>
  <si>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</si>
  <si>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</si>
  <si>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</si>
  <si>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</si>
  <si>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</si>
  <si>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</si>
  <si>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</si>
  <si>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</si>
  <si>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</si>
  <si>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</si>
  <si>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</si>
  <si>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</si>
  <si>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</si>
  <si>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</si>
  <si>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</si>
  <si>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</si>
  <si>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</si>
  <si>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</si>
  <si>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</si>
  <si>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</si>
  <si>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</si>
  <si>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</si>
  <si>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</si>
  <si>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</si>
  <si>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</si>
  <si>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</si>
  <si>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</si>
  <si>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</si>
  <si>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</si>
  <si>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</si>
  <si>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</si>
  <si>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</si>
  <si>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</si>
  <si>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</si>
  <si>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</si>
  <si>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</si>
  <si>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</si>
  <si>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</si>
  <si>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</si>
  <si>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</si>
  <si>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</si>
  <si>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</si>
  <si>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</si>
  <si>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</si>
  <si>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</si>
  <si>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</si>
  <si>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</si>
  <si>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</si>
  <si>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</si>
  <si>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</si>
  <si>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</si>
  <si>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</si>
  <si>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</si>
  <si>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</si>
  <si>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</si>
  <si>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</si>
  <si>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</si>
  <si>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</si>
  <si>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</si>
  <si>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</si>
  <si>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</si>
  <si>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</si>
  <si>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</si>
  <si>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</si>
  <si>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</si>
  <si>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</si>
  <si>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</si>
  <si>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</si>
  <si>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</si>
  <si>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</si>
  <si>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</si>
  <si>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</si>
  <si>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</si>
  <si>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</si>
  <si>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</si>
  <si>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</si>
  <si>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</si>
  <si>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</si>
  <si>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</si>
  <si>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</si>
  <si>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</si>
  <si>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</si>
  <si>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</si>
  <si>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</si>
  <si>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</si>
  <si>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</si>
  <si>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</si>
  <si>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</si>
  <si>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</si>
  <si>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</si>
  <si>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</si>
  <si>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</si>
  <si>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</si>
  <si>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</si>
  <si>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</si>
  <si>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</si>
  <si>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</si>
  <si>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</si>
  <si>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</si>
  <si>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</si>
  <si>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</si>
  <si>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</si>
  <si>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</si>
  <si>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</si>
  <si>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</si>
  <si>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</si>
  <si>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</si>
  <si>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</si>
  <si>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</si>
  <si>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</si>
  <si>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</si>
  <si>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</si>
  <si>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</si>
  <si>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</si>
  <si>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</si>
  <si>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</si>
  <si>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</si>
  <si>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</si>
  <si>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</si>
  <si>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</si>
  <si>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</si>
  <si>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</si>
  <si>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</si>
  <si>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</si>
  <si>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</si>
  <si>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</si>
  <si>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</si>
  <si>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</si>
  <si>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</si>
  <si>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</si>
  <si>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</si>
  <si>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</si>
  <si>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</si>
  <si>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</si>
  <si>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</si>
  <si>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</si>
  <si>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</si>
  <si>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</si>
  <si>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</si>
  <si>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</si>
  <si>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</si>
  <si>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</si>
  <si>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</si>
  <si>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</si>
  <si>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</si>
  <si>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</si>
  <si>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</si>
  <si>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</si>
  <si>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</si>
  <si>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</si>
  <si>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</si>
  <si>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</si>
  <si>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</si>
  <si>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</si>
  <si>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</si>
  <si>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</si>
  <si>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</si>
  <si>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</si>
  <si>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</si>
  <si>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</si>
  <si>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</si>
  <si>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</si>
  <si>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</si>
  <si>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</si>
  <si>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</si>
  <si>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</si>
  <si>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</si>
  <si>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</si>
  <si>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</si>
  <si>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</si>
  <si>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</si>
  <si>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</si>
  <si>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</si>
  <si>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</si>
  <si>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</si>
  <si>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</si>
  <si>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</si>
  <si>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</si>
  <si>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</si>
  <si>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</si>
  <si>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</si>
  <si>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</si>
  <si>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</si>
  <si>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</si>
  <si>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</si>
  <si>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</si>
  <si>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</si>
  <si>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</si>
  <si>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</si>
  <si>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</si>
  <si>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</si>
  <si>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</si>
  <si>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</si>
  <si>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</si>
  <si>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</si>
  <si>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</si>
  <si>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</si>
  <si>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</si>
  <si>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</si>
  <si>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</si>
  <si>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</si>
  <si>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</si>
  <si>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</si>
  <si>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</si>
  <si>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</si>
  <si>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</si>
  <si>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</si>
  <si>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</si>
  <si>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</si>
  <si>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</si>
  <si>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</si>
  <si>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</si>
  <si>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</si>
  <si>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</si>
  <si>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</si>
  <si>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</si>
  <si>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</si>
  <si>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</si>
  <si>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</si>
  <si>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</si>
  <si>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</si>
  <si>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</si>
  <si>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</si>
  <si>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</si>
  <si>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</si>
  <si>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</si>
  <si>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</si>
  <si>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</si>
  <si>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</si>
  <si>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</si>
  <si>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</si>
  <si>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</si>
  <si>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</si>
  <si>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</si>
  <si>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</si>
  <si>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</si>
  <si>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</si>
  <si>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</si>
  <si>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</si>
  <si>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</si>
  <si>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</si>
  <si>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</si>
  <si>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</si>
  <si>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</si>
  <si>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</si>
  <si>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</si>
  <si>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</si>
  <si>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</si>
  <si>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</si>
  <si>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</si>
  <si>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</si>
  <si>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</si>
  <si>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</si>
  <si>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</si>
  <si>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</si>
  <si>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</si>
  <si>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</si>
  <si>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</si>
  <si>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</si>
  <si>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</si>
  <si>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</si>
  <si>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</si>
  <si>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</si>
  <si>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</si>
  <si>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</si>
  <si>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</si>
  <si>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</si>
  <si>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</si>
  <si>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</si>
  <si>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</si>
  <si>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</si>
  <si>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</si>
  <si>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</si>
  <si>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</si>
  <si>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</si>
  <si>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</si>
  <si>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</si>
  <si>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</si>
  <si>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</si>
  <si>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</si>
  <si>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</si>
  <si>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</si>
  <si>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</si>
  <si>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</si>
  <si>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</si>
  <si>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</si>
  <si>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</si>
  <si>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</si>
  <si>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</si>
  <si>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</si>
  <si>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</si>
  <si>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</si>
  <si>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</si>
  <si>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</si>
  <si>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</si>
  <si>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</si>
  <si>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</si>
  <si>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</si>
  <si>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</si>
  <si>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</si>
  <si>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</si>
  <si>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</si>
  <si>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</si>
  <si>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</si>
  <si>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</si>
  <si>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</si>
  <si>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</si>
  <si>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</si>
  <si>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</si>
  <si>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</si>
  <si>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</si>
  <si>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</si>
  <si>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</si>
  <si>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</si>
  <si>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</si>
  <si>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</si>
  <si>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</si>
  <si>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</si>
  <si>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</si>
  <si>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</si>
  <si>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</si>
  <si>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</si>
  <si>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</si>
  <si>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</si>
  <si>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</si>
  <si>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</si>
  <si>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</si>
  <si>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</si>
  <si>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</si>
  <si>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</si>
  <si>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</si>
  <si>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</si>
  <si>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</si>
  <si>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</si>
  <si>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</si>
  <si>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</si>
  <si>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</si>
  <si>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</si>
  <si>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</si>
  <si>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</si>
  <si>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</si>
  <si>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</si>
  <si>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</si>
  <si>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</si>
  <si>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</si>
  <si>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</si>
  <si>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</si>
  <si>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</si>
  <si>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</si>
  <si>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</si>
  <si>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</si>
  <si>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</si>
  <si>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</si>
  <si>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</si>
  <si>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</si>
  <si>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</si>
  <si>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</si>
  <si>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</si>
  <si>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</si>
  <si>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</si>
  <si>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</si>
  <si>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</si>
  <si>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</si>
  <si>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</si>
  <si>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</si>
  <si>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</si>
  <si>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</si>
  <si>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</si>
  <si>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</si>
  <si>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</si>
  <si>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</si>
  <si>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</si>
  <si>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</si>
  <si>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</si>
  <si>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</si>
  <si>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</si>
  <si>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</si>
  <si>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</si>
  <si>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</si>
  <si>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</si>
  <si>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</si>
  <si>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</si>
  <si>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</si>
  <si>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</si>
  <si>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</si>
  <si>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</si>
  <si>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</si>
  <si>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</si>
  <si>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</si>
  <si>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</si>
  <si>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</si>
  <si>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</si>
  <si>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</si>
  <si>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</si>
  <si>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</si>
  <si>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</si>
  <si>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</si>
  <si>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</si>
  <si>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</si>
  <si>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</si>
  <si>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</si>
  <si>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</si>
  <si>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</si>
  <si>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</si>
  <si>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</si>
  <si>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</si>
  <si>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</si>
  <si>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</si>
  <si>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</si>
  <si>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</si>
  <si>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</si>
  <si>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</si>
  <si>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</si>
  <si>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</si>
  <si>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</si>
  <si>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</si>
  <si>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</si>
  <si>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</si>
  <si>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</si>
  <si>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</si>
  <si>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</si>
  <si>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</si>
  <si>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</si>
  <si>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</si>
  <si>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</si>
  <si>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</si>
  <si>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</si>
  <si>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</si>
  <si>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</si>
  <si>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</si>
  <si>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</si>
  <si>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</si>
  <si>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</si>
  <si>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</si>
  <si>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</si>
  <si>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</si>
  <si>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</si>
  <si>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</si>
  <si>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</si>
  <si>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</si>
  <si>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</si>
  <si>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</si>
  <si>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</si>
  <si>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</si>
  <si>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</si>
  <si>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</si>
  <si>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</si>
  <si>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</si>
  <si>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</si>
  <si>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</si>
  <si>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</si>
  <si>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</si>
  <si>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</si>
  <si>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</si>
  <si>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</si>
  <si>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</si>
  <si>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</si>
  <si>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</si>
  <si>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</si>
  <si>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</si>
  <si>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</si>
  <si>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</si>
  <si>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</si>
  <si>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</si>
  <si>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</si>
  <si>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</si>
  <si>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</si>
  <si>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</si>
  <si>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</si>
  <si>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</si>
  <si>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</si>
  <si>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</si>
  <si>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</si>
  <si>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</si>
  <si>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</si>
  <si>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</si>
  <si>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</si>
  <si>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</si>
  <si>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</si>
  <si>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</si>
  <si>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</si>
  <si>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</si>
  <si>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</si>
  <si>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</si>
  <si>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</si>
  <si>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</si>
  <si>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</si>
  <si>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</si>
  <si>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</si>
  <si>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</si>
  <si>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</si>
  <si>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</si>
  <si>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</si>
  <si>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</si>
  <si>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</si>
  <si>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</si>
  <si>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</si>
  <si>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</si>
  <si>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</si>
  <si>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</si>
  <si>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</si>
  <si>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</si>
  <si>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</si>
  <si>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</si>
  <si>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</si>
  <si>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</si>
  <si>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</si>
  <si>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</si>
  <si>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</si>
  <si>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</si>
  <si>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</si>
  <si>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</si>
  <si>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</si>
  <si>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</si>
  <si>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</si>
  <si>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</si>
  <si>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</si>
  <si>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</si>
  <si>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</si>
  <si>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</si>
  <si>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</si>
  <si>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</si>
  <si>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</si>
  <si>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</si>
  <si>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</si>
  <si>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</si>
  <si>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</si>
  <si>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</si>
  <si>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</si>
  <si>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</si>
  <si>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</si>
  <si>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</si>
  <si>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</si>
  <si>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</si>
  <si>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</si>
  <si>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</si>
  <si>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</si>
  <si>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</si>
  <si>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</si>
  <si>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</si>
  <si>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</si>
  <si>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</si>
  <si>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</si>
  <si>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</si>
  <si>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</si>
  <si>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</si>
  <si>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</si>
  <si>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</si>
  <si>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</si>
  <si>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</si>
  <si>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</si>
  <si>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</si>
  <si>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</si>
  <si>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</si>
  <si>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</si>
  <si>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</si>
  <si>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</si>
  <si>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</si>
  <si>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</si>
  <si>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</si>
  <si>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</si>
  <si>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</si>
  <si>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</si>
  <si>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</si>
  <si>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</si>
  <si>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</si>
  <si>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</si>
  <si>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</si>
  <si>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</si>
  <si>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</si>
  <si>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</si>
  <si>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</si>
  <si>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</si>
  <si>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</si>
  <si>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</si>
  <si>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</si>
  <si>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</si>
  <si>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</si>
  <si>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</si>
  <si>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</si>
  <si>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</si>
  <si>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</si>
  <si>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</si>
  <si>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</si>
  <si>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</si>
  <si>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</si>
  <si>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</si>
  <si>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</si>
  <si>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</si>
  <si>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</si>
  <si>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</si>
  <si>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</si>
  <si>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</si>
  <si>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</si>
  <si>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</si>
  <si>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</si>
  <si>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</si>
  <si>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</si>
  <si>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</si>
  <si>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</si>
  <si>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</si>
  <si>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</si>
  <si>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</si>
  <si>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</si>
  <si>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</si>
  <si>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</si>
  <si>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</si>
  <si>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</si>
  <si>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</si>
  <si>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</si>
  <si>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</si>
  <si>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</si>
  <si>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</si>
  <si>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</si>
  <si>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</si>
  <si>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</si>
  <si>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</si>
  <si>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</si>
  <si>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</si>
  <si>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</si>
  <si>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</si>
  <si>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</si>
  <si>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</si>
  <si>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</si>
  <si>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</si>
  <si>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</si>
  <si>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</si>
  <si>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</si>
  <si>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</si>
  <si>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</si>
  <si>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</si>
  <si>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</si>
  <si>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</si>
  <si>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</si>
  <si>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</si>
  <si>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</si>
  <si>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</si>
  <si>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</si>
  <si>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</si>
  <si>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</si>
  <si>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</si>
  <si>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</si>
  <si>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</si>
  <si>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</si>
  <si>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</si>
  <si>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</si>
  <si>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</si>
  <si>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</si>
  <si>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</si>
  <si>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</si>
  <si>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</si>
  <si>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</si>
  <si>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</si>
  <si>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</si>
  <si>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</si>
  <si>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</si>
  <si>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</si>
  <si>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</si>
  <si>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</si>
  <si>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</si>
  <si>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</si>
  <si>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</si>
  <si>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</si>
  <si>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</si>
  <si>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</si>
  <si>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</si>
  <si>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</si>
  <si>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</si>
  <si>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</si>
  <si>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</si>
  <si>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</si>
  <si>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</si>
  <si>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</si>
  <si>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</si>
  <si>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</si>
  <si>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</si>
  <si>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</si>
  <si>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</si>
  <si>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</si>
  <si>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</si>
  <si>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</si>
  <si>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</si>
  <si>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</si>
  <si>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</si>
  <si>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</si>
  <si>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</si>
  <si>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</si>
  <si>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</si>
  <si>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</si>
  <si>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</si>
  <si>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</si>
  <si>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</si>
  <si>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</si>
  <si>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</si>
  <si>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</si>
  <si>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</si>
  <si>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</si>
  <si>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</si>
  <si>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</si>
  <si>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</si>
  <si>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</si>
  <si>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</si>
  <si>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</si>
  <si>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</si>
  <si>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</si>
  <si>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</si>
  <si>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</si>
  <si>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</si>
  <si>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</si>
  <si>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</si>
  <si>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</si>
  <si>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</si>
  <si>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</si>
  <si>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</si>
  <si>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</si>
  <si>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</si>
  <si>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</si>
  <si>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</si>
  <si>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</si>
  <si>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</si>
  <si>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</si>
  <si>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</si>
  <si>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</si>
  <si>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</si>
  <si>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</si>
  <si>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</si>
  <si>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</si>
  <si>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</si>
  <si>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</si>
  <si>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</si>
  <si>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</si>
  <si>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</si>
  <si>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</si>
  <si>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</si>
  <si>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</si>
  <si>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</si>
  <si>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</si>
  <si>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</si>
  <si>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</si>
  <si>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</si>
  <si>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</si>
  <si>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</si>
  <si>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</si>
  <si>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</si>
  <si>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</si>
  <si>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</si>
  <si>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</si>
  <si>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</si>
  <si>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</si>
  <si>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</si>
  <si>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</si>
  <si>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</si>
  <si>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</si>
  <si>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</si>
  <si>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</si>
  <si>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</si>
  <si>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</si>
  <si>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</si>
  <si>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</si>
  <si>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</si>
  <si>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</si>
  <si>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</si>
  <si>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</si>
  <si>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</si>
  <si>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</si>
  <si>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</si>
  <si>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</si>
  <si>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</si>
  <si>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</si>
  <si>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</si>
  <si>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</si>
  <si>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</si>
  <si>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</si>
  <si>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</si>
  <si>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</si>
  <si>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</si>
  <si>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</si>
  <si>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</si>
  <si>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</si>
  <si>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</si>
  <si>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</si>
  <si>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</si>
  <si>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</si>
  <si>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</si>
  <si>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</si>
  <si>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</si>
  <si>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</si>
  <si>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</si>
  <si>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</si>
  <si>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</si>
  <si>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</si>
  <si>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</si>
  <si>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</si>
  <si>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</si>
  <si>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</si>
  <si>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</si>
  <si>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</si>
  <si>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</si>
  <si>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</si>
  <si>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</si>
  <si>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</si>
  <si>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</si>
  <si>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</si>
  <si>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</si>
  <si>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</si>
  <si>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</si>
  <si>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</si>
  <si>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</si>
  <si>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</si>
  <si>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</si>
  <si>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</si>
  <si>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</si>
  <si>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</si>
  <si>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</si>
  <si>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</si>
  <si>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</si>
  <si>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rPr>
      <t>annual</t>
    </r>
    <r>
      <rPr>
        <sz val="10"/>
        <rFont val="Arial"/>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</si>
  <si>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</si>
  <si>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</si>
  <si>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</si>
  <si>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</si>
  <si>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</si>
  <si>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</si>
  <si>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</si>
  <si>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</si>
  <si>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</si>
  <si>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</si>
  <si>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</si>
  <si>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</si>
  <si>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</si>
  <si>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</si>
  <si>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</si>
  <si>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</si>
  <si>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</si>
  <si>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</si>
  <si>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</si>
  <si>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</si>
  <si>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</si>
  <si>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</si>
  <si>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</si>
  <si>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</si>
  <si>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</si>
  <si>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</si>
  <si>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</si>
  <si>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</si>
  <si>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</si>
  <si>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</si>
  <si>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</si>
  <si>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</si>
  <si>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</si>
  <si>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</si>
  <si>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</si>
  <si>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</si>
  <si>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</si>
  <si>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</si>
  <si>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</si>
  <si>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</si>
  <si>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</si>
  <si>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</si>
  <si>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</si>
  <si>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</si>
  <si>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</si>
  <si>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</si>
  <si>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</si>
  <si>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</si>
  <si>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</si>
  <si>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</si>
  <si>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</si>
  <si>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</si>
  <si>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</si>
  <si>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</si>
  <si>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</si>
  <si>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</si>
  <si>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</si>
  <si>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</si>
  <si>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</si>
  <si>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</si>
  <si>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</si>
  <si>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</si>
  <si>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</si>
  <si>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</si>
  <si>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</si>
  <si>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</si>
  <si>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</si>
  <si>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</si>
  <si>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</si>
  <si>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</si>
  <si>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</si>
  <si>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</si>
  <si>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</si>
  <si>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</si>
  <si>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</si>
  <si>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</si>
  <si>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</si>
  <si>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</si>
  <si>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</si>
  <si>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</si>
  <si>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</si>
  <si>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</si>
  <si>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</si>
  <si>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</si>
  <si>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</si>
  <si>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</si>
  <si>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</si>
  <si>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</si>
  <si>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</si>
  <si>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</si>
  <si>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</si>
  <si>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</si>
  <si>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</si>
  <si>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</si>
  <si>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</si>
  <si>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</si>
  <si>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</si>
  <si>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</si>
  <si>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</si>
  <si>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</si>
  <si>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</si>
  <si>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</si>
  <si>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</si>
  <si>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</si>
  <si>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</si>
  <si>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</si>
  <si>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</si>
  <si>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</si>
  <si>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</si>
  <si>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</si>
  <si>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</si>
  <si>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</si>
  <si>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</si>
  <si>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</si>
  <si>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</si>
  <si>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</si>
  <si>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</si>
  <si>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</si>
  <si>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</si>
  <si>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</si>
  <si>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</si>
  <si>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</si>
  <si>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</si>
  <si>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</si>
  <si>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</si>
  <si>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</si>
  <si>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</si>
  <si>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</si>
  <si>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</si>
  <si>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</si>
  <si>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</si>
  <si>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</si>
  <si>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</si>
  <si>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</si>
  <si>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</si>
  <si>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</si>
  <si>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</si>
  <si>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</si>
  <si>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</si>
  <si>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</si>
  <si>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</si>
  <si>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</si>
  <si>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</si>
  <si>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</si>
  <si>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</si>
  <si>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</si>
  <si>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</si>
  <si>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</si>
  <si>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</si>
  <si>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</si>
  <si>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</si>
  <si>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</si>
  <si>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</si>
  <si>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</si>
  <si>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</si>
  <si>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</si>
  <si>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</si>
  <si>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</si>
  <si>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</si>
  <si>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</si>
  <si>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</si>
  <si>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</si>
  <si>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</si>
  <si>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</si>
  <si>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</si>
  <si>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</si>
  <si>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</si>
  <si>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</si>
  <si>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</si>
  <si>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</si>
  <si>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</si>
  <si>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</si>
  <si>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</si>
  <si>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</si>
  <si>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</si>
  <si>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</si>
  <si>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</si>
  <si>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</si>
  <si>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</si>
  <si>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</si>
  <si>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</si>
  <si>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</si>
  <si>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</si>
  <si>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</si>
  <si>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</si>
  <si>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</si>
  <si>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</si>
  <si>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</si>
  <si>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</si>
  <si>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</si>
  <si>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</si>
  <si>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</si>
  <si>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</si>
  <si>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</si>
  <si>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</si>
  <si>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</si>
  <si>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</si>
  <si>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</si>
  <si>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</si>
  <si>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</si>
  <si>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</si>
  <si>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</si>
  <si>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</si>
  <si>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</si>
  <si>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</si>
  <si>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</si>
  <si>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</si>
  <si>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</si>
  <si>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</si>
  <si>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</si>
  <si>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</si>
  <si>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</si>
  <si>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</si>
  <si>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</si>
  <si>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</si>
  <si>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</si>
  <si>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</si>
  <si>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</si>
  <si>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</si>
  <si>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</si>
  <si>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</si>
  <si>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</si>
  <si>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</si>
  <si>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</si>
  <si>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</si>
  <si>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</si>
  <si>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</si>
  <si>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</si>
  <si>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</si>
  <si>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</si>
  <si>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</si>
  <si>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</si>
  <si>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</si>
  <si>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</si>
  <si>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</si>
  <si>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</si>
  <si>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</si>
  <si>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</si>
  <si>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</si>
  <si>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</si>
  <si>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</si>
  <si>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</si>
  <si>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</si>
  <si>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</si>
  <si>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</si>
  <si>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</si>
  <si>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</si>
  <si>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</si>
  <si>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</si>
  <si>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</si>
  <si>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</si>
  <si>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</si>
  <si>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</si>
  <si>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</si>
  <si>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</si>
  <si>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</si>
  <si>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</si>
  <si>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</si>
  <si>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</si>
  <si>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</si>
  <si>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</si>
  <si>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</si>
  <si>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</si>
  <si>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</si>
  <si>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</si>
  <si>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</si>
  <si>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</si>
  <si>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</si>
  <si>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</si>
  <si>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</si>
  <si>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</si>
  <si>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</si>
  <si>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</si>
  <si>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</si>
  <si>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</si>
  <si>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</si>
  <si>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</si>
  <si>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</si>
  <si>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</si>
  <si>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</si>
  <si>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</si>
  <si>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</si>
  <si>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</si>
  <si>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</si>
  <si>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</si>
  <si>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</si>
  <si>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</si>
  <si>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</si>
  <si>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</si>
  <si>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</si>
  <si>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</si>
  <si>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</si>
  <si>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</si>
  <si>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</si>
  <si>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</si>
  <si>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</si>
  <si>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</si>
  <si>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</si>
  <si>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</si>
  <si>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</si>
  <si>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</si>
  <si>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</si>
  <si>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</si>
  <si>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</si>
  <si>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</si>
  <si>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</si>
  <si>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</si>
  <si>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</si>
  <si>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</si>
  <si>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</si>
  <si>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</si>
  <si>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</si>
  <si>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</si>
  <si>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</si>
  <si>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</si>
  <si>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</si>
  <si>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</si>
  <si>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</si>
  <si>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</si>
  <si>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</si>
  <si>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</si>
  <si>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</si>
  <si>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</si>
  <si>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</si>
  <si>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</si>
  <si>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</si>
  <si>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</si>
  <si>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</si>
  <si>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</si>
  <si>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</si>
  <si>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</si>
  <si>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</si>
  <si>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</si>
  <si>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</si>
  <si>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</si>
  <si>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</si>
  <si>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</si>
  <si>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</si>
  <si>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</si>
  <si>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</si>
  <si>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</si>
  <si>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</si>
  <si>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</si>
  <si>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</si>
  <si>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</si>
  <si>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</si>
  <si>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</si>
  <si>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</si>
  <si>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</si>
  <si>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</si>
  <si>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</si>
  <si>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</si>
  <si>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</si>
  <si>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</si>
  <si>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</si>
  <si>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</si>
  <si>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</si>
  <si>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</si>
  <si>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</si>
  <si>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</si>
  <si>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</si>
  <si>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</si>
  <si>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</si>
  <si>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</si>
  <si>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</si>
  <si>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</si>
  <si>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</si>
  <si>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</si>
  <si>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</si>
  <si>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</si>
  <si>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</si>
  <si>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</si>
  <si>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</si>
  <si>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</si>
  <si>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</si>
  <si>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</si>
  <si>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</si>
  <si>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</si>
  <si>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</si>
  <si>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</si>
  <si>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</si>
  <si>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</si>
  <si>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</si>
  <si>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</si>
  <si>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</si>
  <si>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</si>
  <si>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</si>
  <si>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</si>
  <si>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</si>
  <si>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</si>
  <si>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</si>
  <si>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</si>
  <si>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</si>
  <si>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</si>
  <si>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</si>
  <si>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</si>
  <si>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</si>
  <si>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</si>
  <si>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</si>
  <si>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</si>
  <si>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</si>
  <si>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</si>
  <si>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</si>
  <si>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</si>
  <si>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</si>
  <si>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</si>
  <si>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</si>
  <si>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</si>
  <si>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</si>
  <si>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</si>
  <si>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</si>
  <si>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</si>
  <si>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</si>
  <si>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</si>
  <si>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</si>
  <si>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</si>
  <si>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</si>
  <si>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</si>
  <si>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</si>
  <si>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</si>
  <si>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</si>
  <si>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</si>
  <si>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</si>
  <si>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</si>
  <si>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</si>
  <si>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</si>
  <si>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</si>
  <si>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</si>
  <si>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</si>
  <si>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</si>
  <si>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</si>
  <si>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</si>
  <si>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</si>
  <si>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</si>
  <si>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</si>
  <si>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</si>
  <si>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</si>
  <si>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</si>
  <si>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</si>
  <si>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</si>
  <si>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</si>
  <si>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</si>
  <si>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</si>
  <si>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</si>
  <si>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</si>
  <si>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</si>
  <si>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</si>
  <si>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</si>
  <si>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</si>
  <si>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</si>
  <si>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</si>
  <si>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</si>
  <si>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</si>
  <si>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</si>
  <si>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</si>
  <si>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</si>
  <si>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</si>
  <si>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</si>
  <si>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</si>
  <si>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</si>
  <si>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</si>
  <si>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</si>
  <si>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</si>
  <si>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</si>
  <si>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rPr>
      <t xml:space="preserve"> and </t>
    </r>
    <r>
      <rPr>
        <u/>
        <sz val="10"/>
        <rFont val="Arial"/>
        <family val="2"/>
      </rPr>
      <t>state tax credit factor</t>
    </r>
    <r>
      <rPr>
        <sz val="10"/>
        <rFont val="Arial"/>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</si>
  <si>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</si>
  <si>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</si>
  <si>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</si>
  <si>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</si>
  <si>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</si>
  <si>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</si>
  <si>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</si>
  <si>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</si>
  <si>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</si>
  <si>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</si>
  <si>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</si>
  <si>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</si>
  <si>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</si>
  <si>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</si>
  <si>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</si>
  <si>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</si>
  <si>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</si>
  <si>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</si>
  <si>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</si>
  <si>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</si>
  <si>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</si>
  <si>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</si>
  <si>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</si>
  <si>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</si>
  <si>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</si>
  <si>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</si>
  <si>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</si>
  <si>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</si>
  <si>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</si>
  <si>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</si>
  <si>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</si>
  <si>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</si>
  <si>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</si>
  <si>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</si>
  <si>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</si>
  <si>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</si>
  <si>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rPr>
      <t xml:space="preserve"> Applicants must submit the joint application including this Excel file using the CDLAC online application portal. </t>
    </r>
    <r>
      <rPr>
        <u/>
        <sz val="10"/>
        <rFont val="Arial"/>
        <family val="2"/>
      </rPr>
      <t>Non-Joint Applications</t>
    </r>
    <r>
      <rPr>
        <sz val="10"/>
        <rFont val="Arial"/>
      </rPr>
      <t>: Applicants must submit the application on a flash drive.</t>
    </r>
  </si>
  <si>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</si>
  <si>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</si>
  <si>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</si>
  <si>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</si>
  <si>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</si>
  <si>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</si>
  <si>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</si>
  <si>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</si>
  <si>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</si>
  <si>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</si>
  <si>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</si>
  <si>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</si>
  <si>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</si>
  <si>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</si>
  <si>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</si>
  <si>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</si>
  <si>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</si>
  <si>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</si>
  <si>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</si>
  <si>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</si>
  <si>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</si>
  <si>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</si>
  <si>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</si>
  <si>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</si>
  <si>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</si>
  <si>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</si>
  <si>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</si>
  <si>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</si>
  <si>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</si>
  <si>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</si>
  <si>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</si>
  <si>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</si>
  <si>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</si>
  <si>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</si>
  <si>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</si>
  <si>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</si>
  <si>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</si>
  <si>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</si>
  <si>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</si>
  <si>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</si>
  <si>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</si>
  <si>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</si>
  <si>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</si>
  <si>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</si>
  <si>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</si>
  <si>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</si>
  <si>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</si>
  <si>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</si>
  <si>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</si>
  <si>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</si>
  <si>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</si>
  <si>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</si>
  <si>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</si>
  <si>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</si>
  <si>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</si>
  <si>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</si>
  <si>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</si>
  <si>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</si>
  <si>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</si>
  <si>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</si>
  <si>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</si>
  <si>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</si>
  <si>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</si>
  <si>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</si>
  <si>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</si>
  <si>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</si>
  <si>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</si>
  <si>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</si>
  <si>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</si>
  <si>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</si>
  <si>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</si>
  <si>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</si>
  <si>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</si>
  <si>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</si>
  <si>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</si>
  <si>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</si>
  <si>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</si>
  <si>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</si>
  <si>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</si>
  <si>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</si>
  <si>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</si>
  <si>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</si>
  <si>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</si>
  <si>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</si>
  <si>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</si>
  <si>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</si>
  <si>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</si>
  <si>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</si>
  <si>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</si>
  <si>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</si>
  <si>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</si>
  <si>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</si>
  <si>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</si>
  <si>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</si>
  <si>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</si>
  <si>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</si>
  <si>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</si>
  <si>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</si>
  <si>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</si>
  <si>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</si>
  <si>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</si>
  <si>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</si>
  <si>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</si>
  <si>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</si>
  <si>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</si>
  <si>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</si>
  <si>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</si>
  <si>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</si>
  <si>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</si>
  <si>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</si>
  <si>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</si>
  <si>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</si>
  <si>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</si>
  <si>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</si>
  <si>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Palm Vista, LP</t>
  </si>
  <si>
    <t>Palm Vista Apartments</t>
  </si>
  <si>
    <t>Rushmore Cervantes</t>
  </si>
  <si>
    <t>1200 W. 7th St., Suite 800</t>
  </si>
  <si>
    <t>213-808-8808</t>
  </si>
  <si>
    <t>rushmore.cervantes@lacity.org</t>
  </si>
  <si>
    <t>CDLAC-TCAC Joint Application (submitting concurrently)</t>
  </si>
  <si>
    <t>20116-20128 Sherman Way</t>
  </si>
  <si>
    <t>2135-038-011</t>
  </si>
  <si>
    <t>40%/60%</t>
  </si>
  <si>
    <t>5020 Santa Monica Blvd.</t>
  </si>
  <si>
    <t xml:space="preserve">CA </t>
  </si>
  <si>
    <t>Sarah Letts</t>
  </si>
  <si>
    <t>323-469-0710</t>
  </si>
  <si>
    <t>sletts@hollywoodhousing.org</t>
  </si>
  <si>
    <t>HCHC Palm Vista MGP, LLC</t>
  </si>
  <si>
    <t>Managing GP</t>
  </si>
  <si>
    <t>CA</t>
  </si>
  <si>
    <t>GTM Palm Vista AGP, LLC</t>
  </si>
  <si>
    <t>Administrative GP</t>
  </si>
  <si>
    <t>250 N. Harbor Drive, Suite 311</t>
  </si>
  <si>
    <t>Redondo Beach</t>
  </si>
  <si>
    <t>Mark Walther</t>
  </si>
  <si>
    <t>310-372-0003</t>
  </si>
  <si>
    <t>mark@gtmholdings.net</t>
  </si>
  <si>
    <t>GTM Holdings, LLC</t>
  </si>
  <si>
    <t>Adrienne Bussell</t>
  </si>
  <si>
    <t>adrienne@gtmholdings.net</t>
  </si>
  <si>
    <t>Developer</t>
  </si>
  <si>
    <t>Lahmon Architects</t>
  </si>
  <si>
    <t>3834 Willat Avenue</t>
  </si>
  <si>
    <t>Redondo Beach, CA 90277</t>
  </si>
  <si>
    <t>Culver City, CA 90232</t>
  </si>
  <si>
    <t>Mark Lahmon</t>
  </si>
  <si>
    <t>424-299-4666</t>
  </si>
  <si>
    <t>mlahmon@lahmonarch.com</t>
  </si>
  <si>
    <t>United Building Company, Inc.</t>
  </si>
  <si>
    <t>17418 Chatsworth Street, Suite 1</t>
  </si>
  <si>
    <t>Granda Hills, CA 91344</t>
  </si>
  <si>
    <t>Richard Spunt</t>
  </si>
  <si>
    <t>818-363-2978</t>
  </si>
  <si>
    <t>rspunt@rscon.net</t>
  </si>
  <si>
    <t>Keller &amp; Associates, LLP</t>
  </si>
  <si>
    <t>18645 Sherman Way, Suite 110</t>
  </si>
  <si>
    <t>Reseda, CA 91335</t>
  </si>
  <si>
    <t>Wati Company, LLC</t>
  </si>
  <si>
    <t>1800 Oak Street, Unit 339</t>
  </si>
  <si>
    <t>Torrance, CA 90501</t>
  </si>
  <si>
    <t>Sanjay Chand</t>
  </si>
  <si>
    <t>424-271-7688</t>
  </si>
  <si>
    <t>schand@waticompany.com</t>
  </si>
  <si>
    <t>Novogradac Consulting, LLP</t>
  </si>
  <si>
    <t>6700 Anitoch Road, Suite 450</t>
  </si>
  <si>
    <t>Merriam, KS 66204</t>
  </si>
  <si>
    <t>Rebecca Arthur</t>
  </si>
  <si>
    <t>913-312-4615</t>
  </si>
  <si>
    <t>rebecca.arthur@novoco.com</t>
  </si>
  <si>
    <t>1200 W. 7th Street</t>
  </si>
  <si>
    <t>Los Angeles, CA 90017</t>
  </si>
  <si>
    <t xml:space="preserve">Andre Perry </t>
  </si>
  <si>
    <t>213-808-8978</t>
  </si>
  <si>
    <t>andre.perry@lacity.org</t>
  </si>
  <si>
    <t>Keyvan Rahbar, Tannaz Rahbar</t>
  </si>
  <si>
    <t>Tannaz Rahbar</t>
  </si>
  <si>
    <t>Tenant in Common and agent for Seller</t>
  </si>
  <si>
    <t>112 San Vicente Blvd., Los Angeles</t>
  </si>
  <si>
    <t>Other (Specify below)</t>
  </si>
  <si>
    <t>Commercial Structure</t>
  </si>
  <si>
    <t>TBD</t>
  </si>
  <si>
    <t>Community Commercial</t>
  </si>
  <si>
    <t>C2-1VL-RIO</t>
  </si>
  <si>
    <t>56 feet</t>
  </si>
  <si>
    <t>LACDA No Place Like Home</t>
  </si>
  <si>
    <t>HCD MHP</t>
  </si>
  <si>
    <t>LACDA AHTF</t>
  </si>
  <si>
    <t>CDLAC/CTCAC</t>
  </si>
  <si>
    <t>Variable</t>
  </si>
  <si>
    <t>Fixed</t>
  </si>
  <si>
    <t>LACDA - NPLH</t>
  </si>
  <si>
    <t>LACDA - AHTF</t>
  </si>
  <si>
    <t>FHLB SF AHP</t>
  </si>
  <si>
    <t>GP Equity</t>
  </si>
  <si>
    <t>Deferred Costs &amp; Fees</t>
  </si>
  <si>
    <t>700 West Main Street</t>
  </si>
  <si>
    <t xml:space="preserve">Alhambra </t>
  </si>
  <si>
    <t>Matthew Lust</t>
  </si>
  <si>
    <t>626-586-1809</t>
  </si>
  <si>
    <t>Residual Receipts</t>
  </si>
  <si>
    <t>libor</t>
  </si>
  <si>
    <t xml:space="preserve">Deferred </t>
  </si>
  <si>
    <t>HCD- MHP</t>
  </si>
  <si>
    <t>Deferred Developer Fee</t>
  </si>
  <si>
    <t>2020 W. El Camino Ave</t>
  </si>
  <si>
    <t>Craig Morrow</t>
  </si>
  <si>
    <t>916-263-7400</t>
  </si>
  <si>
    <t>Air Conditioning</t>
  </si>
  <si>
    <t>Housing Authority of the City of Los Angeles (12.1.19 schedule)</t>
  </si>
  <si>
    <t>G &amp; A</t>
  </si>
  <si>
    <t>Employee Benefits and Burden</t>
  </si>
  <si>
    <t>Misc. maintenance &amp; supplies</t>
  </si>
  <si>
    <t>Business License</t>
  </si>
  <si>
    <t>Security Guards</t>
  </si>
  <si>
    <t>Bond Trustee Fees</t>
  </si>
  <si>
    <t>NPLH</t>
  </si>
  <si>
    <t>AHP</t>
  </si>
  <si>
    <t>S8 PBV - HACLA</t>
  </si>
  <si>
    <t>Project-based vouchers (PBVs)</t>
  </si>
  <si>
    <t>Payment &amp; Performance Bond</t>
  </si>
  <si>
    <t>Lender Inspections</t>
  </si>
  <si>
    <t>Bridge Loan Interest</t>
  </si>
  <si>
    <t>HACLA Monitoring Fees</t>
  </si>
  <si>
    <t>Wage Compliance Monioring</t>
  </si>
  <si>
    <t>Grant</t>
  </si>
  <si>
    <t>HCD - MHP</t>
  </si>
  <si>
    <t>LACDA (NPLH/ AHTF)</t>
  </si>
  <si>
    <t>General Partner</t>
  </si>
  <si>
    <t>.</t>
  </si>
  <si>
    <t>David Keller</t>
  </si>
  <si>
    <t>Bocarsly Emden Cowan Esmail and Arndt</t>
  </si>
  <si>
    <t>633 W. 70th Street</t>
  </si>
  <si>
    <t>Los Angeles, CA 90071</t>
  </si>
  <si>
    <t>Nicole Deddens</t>
  </si>
  <si>
    <t>213-239-8029</t>
  </si>
  <si>
    <t>ndeddens@bocarsly.com</t>
  </si>
  <si>
    <t>818-383-3079</t>
  </si>
  <si>
    <t>djkeller67@yahoo.com</t>
  </si>
  <si>
    <t xml:space="preserve">Barker Property Management </t>
  </si>
  <si>
    <t xml:space="preserve">1101 E. Orangewood </t>
  </si>
  <si>
    <t>Anaheim, CA 92805</t>
  </si>
  <si>
    <t>Lupe Esparza-Castillo</t>
  </si>
  <si>
    <t>714-5333-450</t>
  </si>
  <si>
    <t>714-533-8608</t>
  </si>
  <si>
    <t>lcastillo@barkermgt.com</t>
  </si>
  <si>
    <t>Not Applicable</t>
  </si>
  <si>
    <t>The Bronstein Company, Inc.</t>
  </si>
  <si>
    <t>Cary R. Bronstein</t>
  </si>
  <si>
    <t>818-601-0776</t>
  </si>
  <si>
    <t>cary@tbcappraisal.com</t>
  </si>
  <si>
    <t>5200 Kanan Road, Suite 226</t>
  </si>
  <si>
    <t>Agoura Hills, CA 91301</t>
  </si>
  <si>
    <t>Low-income Households</t>
  </si>
  <si>
    <t>Jennifer Craig</t>
  </si>
  <si>
    <t>1307 Washington Ave., Suite 300</t>
  </si>
  <si>
    <t>St. Louis, MO 63103</t>
  </si>
  <si>
    <t>314-335-1422</t>
  </si>
  <si>
    <t>Conventional</t>
  </si>
  <si>
    <t>600 California St</t>
  </si>
  <si>
    <t>San Francisco, CA 94108</t>
  </si>
  <si>
    <t>Kirby Ung</t>
  </si>
  <si>
    <t xml:space="preserve">415-616-2640 </t>
  </si>
  <si>
    <t>Los Angeles, CA 90029</t>
  </si>
  <si>
    <t>323-454-6201</t>
  </si>
  <si>
    <t>Equity</t>
  </si>
  <si>
    <t>US Bank CDC</t>
  </si>
  <si>
    <t>Sebastian Glowacki</t>
  </si>
  <si>
    <t>303-349-4132</t>
  </si>
  <si>
    <t>US Bank, N.A.</t>
  </si>
  <si>
    <t>sebastian.glowacki@usbank.com</t>
  </si>
  <si>
    <t>Alternative Energy Systems</t>
  </si>
  <si>
    <t>3235 North Verdugo Road</t>
  </si>
  <si>
    <t>Glendale, CA 91208</t>
  </si>
  <si>
    <t>Troy Lindquist</t>
  </si>
  <si>
    <t>818-957-7733</t>
  </si>
  <si>
    <t>troy@title24energy.com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</si>
</sst>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ont>
    <font>
      <u/>
      <sz val="10"/>
      <color theme="11"/>
      <name val="Arial"/>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9">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bottom style="thin">
        <color auto="1"/>
      </bottom>
      <diagonal/>
    </border>
  </borders>
  <cellStyleXfs count="4498">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165" fontId="6" fillId="0" borderId="0" xfId="1023" applyNumberFormat="1" applyFont="1" applyAlignment="1">
      <alignment horizontal="center"/>
    </xf>
    <xf numFmtId="3" fontId="6" fillId="0" borderId="0" xfId="0" applyNumberFormat="1" applyFont="1"/>
    <xf numFmtId="168" fontId="6"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109"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09" fillId="5" borderId="48"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0" fillId="5" borderId="48" xfId="0" applyFill="1" applyBorder="1" applyAlignment="1" applyProtection="1">
      <alignment horizontal="left"/>
      <protection locked="0"/>
    </xf>
    <xf numFmtId="0" fontId="109" fillId="5" borderId="48"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0" fillId="5" borderId="6"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6" fontId="109" fillId="5" borderId="4" xfId="0" applyNumberFormat="1"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20" fontId="0" fillId="5" borderId="3" xfId="0" applyNumberFormat="1" applyFill="1" applyBorder="1" applyAlignment="1" applyProtection="1">
      <alignment horizontal="left"/>
      <protection locked="0"/>
    </xf>
    <xf numFmtId="0" fontId="0" fillId="0" borderId="0" xfId="0" applyBorder="1" applyAlignment="1" applyProtection="1">
      <alignment horizontal="center"/>
    </xf>
    <xf numFmtId="166" fontId="0" fillId="5" borderId="48" xfId="0"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Followed Hyperlink" xfId="4495" builtinId="9" hidden="1"/>
    <cellStyle name="Followed Hyperlink" xfId="4496" builtinId="9" hidden="1"/>
    <cellStyle name="Followed Hyperlink" xfId="4497" builtinId="9" hidden="1"/>
    <cellStyle name="Good" xfId="235" builtinId="26" customBuiltin="1"/>
    <cellStyle name="Heading 1" xfId="236" builtinId="16" customBuiltin="1"/>
    <cellStyle name="Heading 1 2" xfId="237" xr:uid="{00000000-0005-0000-0000-00002F070000}"/>
    <cellStyle name="Heading 2" xfId="238" builtinId="17" customBuiltin="1"/>
    <cellStyle name="Heading 2 2" xfId="239" xr:uid="{00000000-0005-0000-0000-000031070000}"/>
    <cellStyle name="Heading 3" xfId="240" builtinId="18" customBuiltin="1"/>
    <cellStyle name="Heading 3 2" xfId="241" xr:uid="{00000000-0005-0000-0000-000033070000}"/>
    <cellStyle name="Heading 4" xfId="242" builtinId="19" customBuiltin="1"/>
    <cellStyle name="Heading 4 2" xfId="243" xr:uid="{00000000-0005-0000-0000-000035070000}"/>
    <cellStyle name="Hyperlink" xfId="244" builtinId="8"/>
    <cellStyle name="Hyperlink 2" xfId="245" xr:uid="{00000000-0005-0000-0000-000037070000}"/>
    <cellStyle name="Hyperlink 2 2" xfId="246" xr:uid="{00000000-0005-0000-0000-000038070000}"/>
    <cellStyle name="Input" xfId="247" builtinId="20" customBuiltin="1"/>
    <cellStyle name="Label" xfId="248" xr:uid="{00000000-0005-0000-0000-00003A070000}"/>
    <cellStyle name="Label No Shade" xfId="249" xr:uid="{00000000-0005-0000-0000-00003B070000}"/>
    <cellStyle name="Label Shaded" xfId="250" xr:uid="{00000000-0005-0000-0000-00003C070000}"/>
    <cellStyle name="Linked Cell" xfId="251" builtinId="24" customBuiltin="1"/>
    <cellStyle name="Neutral" xfId="252" builtinId="28" customBuiltin="1"/>
    <cellStyle name="Normal" xfId="0" builtinId="0"/>
    <cellStyle name="Normal 10" xfId="253" xr:uid="{00000000-0005-0000-0000-000040070000}"/>
    <cellStyle name="Normal 10 2" xfId="254" xr:uid="{00000000-0005-0000-0000-000041070000}"/>
    <cellStyle name="Normal 10 3" xfId="255" xr:uid="{00000000-0005-0000-0000-000042070000}"/>
    <cellStyle name="Normal 11" xfId="256" xr:uid="{00000000-0005-0000-0000-000043070000}"/>
    <cellStyle name="Normal 11 2" xfId="257" xr:uid="{00000000-0005-0000-0000-000044070000}"/>
    <cellStyle name="Normal 11 2 3" xfId="570" xr:uid="{00000000-0005-0000-0000-000045070000}"/>
    <cellStyle name="Normal 11 3" xfId="258" xr:uid="{00000000-0005-0000-0000-000046070000}"/>
    <cellStyle name="Normal 11 3 2" xfId="760" xr:uid="{00000000-0005-0000-0000-000047070000}"/>
    <cellStyle name="Normal 12" xfId="259" xr:uid="{00000000-0005-0000-0000-000048070000}"/>
    <cellStyle name="Normal 12 10" xfId="2448" xr:uid="{00000000-0005-0000-0000-000049070000}"/>
    <cellStyle name="Normal 12 2" xfId="260" xr:uid="{00000000-0005-0000-0000-00004A070000}"/>
    <cellStyle name="Normal 12 2 2" xfId="261" xr:uid="{00000000-0005-0000-0000-00004B070000}"/>
    <cellStyle name="Normal 12 2 2 2" xfId="262" xr:uid="{00000000-0005-0000-0000-00004C070000}"/>
    <cellStyle name="Normal 12 2 2 2 2" xfId="764" xr:uid="{00000000-0005-0000-0000-00004D070000}"/>
    <cellStyle name="Normal 12 2 2 2 2 2" xfId="3005" xr:uid="{00000000-0005-0000-0000-00004E070000}"/>
    <cellStyle name="Normal 12 2 2 2 3" xfId="1187" xr:uid="{00000000-0005-0000-0000-00004F070000}"/>
    <cellStyle name="Normal 12 2 2 2 3 2" xfId="3418" xr:uid="{00000000-0005-0000-0000-000050070000}"/>
    <cellStyle name="Normal 12 2 2 2 4" xfId="1601" xr:uid="{00000000-0005-0000-0000-000051070000}"/>
    <cellStyle name="Normal 12 2 2 2 4 2" xfId="3831" xr:uid="{00000000-0005-0000-0000-000052070000}"/>
    <cellStyle name="Normal 12 2 2 2 5" xfId="2015" xr:uid="{00000000-0005-0000-0000-000053070000}"/>
    <cellStyle name="Normal 12 2 2 2 5 2" xfId="4244" xr:uid="{00000000-0005-0000-0000-000054070000}"/>
    <cellStyle name="Normal 12 2 2 2 6" xfId="2451" xr:uid="{00000000-0005-0000-0000-000055070000}"/>
    <cellStyle name="Normal 12 2 2 3" xfId="763" xr:uid="{00000000-0005-0000-0000-000056070000}"/>
    <cellStyle name="Normal 12 2 2 3 2" xfId="3004" xr:uid="{00000000-0005-0000-0000-000057070000}"/>
    <cellStyle name="Normal 12 2 2 4" xfId="1186" xr:uid="{00000000-0005-0000-0000-000058070000}"/>
    <cellStyle name="Normal 12 2 2 4 2" xfId="3417" xr:uid="{00000000-0005-0000-0000-000059070000}"/>
    <cellStyle name="Normal 12 2 2 5" xfId="1600" xr:uid="{00000000-0005-0000-0000-00005A070000}"/>
    <cellStyle name="Normal 12 2 2 5 2" xfId="3830" xr:uid="{00000000-0005-0000-0000-00005B070000}"/>
    <cellStyle name="Normal 12 2 2 6" xfId="2014" xr:uid="{00000000-0005-0000-0000-00005C070000}"/>
    <cellStyle name="Normal 12 2 2 6 2" xfId="4243" xr:uid="{00000000-0005-0000-0000-00005D070000}"/>
    <cellStyle name="Normal 12 2 2 7" xfId="2450" xr:uid="{00000000-0005-0000-0000-00005E070000}"/>
    <cellStyle name="Normal 12 2 3" xfId="263" xr:uid="{00000000-0005-0000-0000-00005F070000}"/>
    <cellStyle name="Normal 12 2 3 2" xfId="765" xr:uid="{00000000-0005-0000-0000-000060070000}"/>
    <cellStyle name="Normal 12 2 3 2 2" xfId="3006" xr:uid="{00000000-0005-0000-0000-000061070000}"/>
    <cellStyle name="Normal 12 2 3 3" xfId="1188" xr:uid="{00000000-0005-0000-0000-000062070000}"/>
    <cellStyle name="Normal 12 2 3 3 2" xfId="3419" xr:uid="{00000000-0005-0000-0000-000063070000}"/>
    <cellStyle name="Normal 12 2 3 4" xfId="1602" xr:uid="{00000000-0005-0000-0000-000064070000}"/>
    <cellStyle name="Normal 12 2 3 4 2" xfId="3832" xr:uid="{00000000-0005-0000-0000-000065070000}"/>
    <cellStyle name="Normal 12 2 3 5" xfId="2016" xr:uid="{00000000-0005-0000-0000-000066070000}"/>
    <cellStyle name="Normal 12 2 3 5 2" xfId="4245" xr:uid="{00000000-0005-0000-0000-000067070000}"/>
    <cellStyle name="Normal 12 2 3 6" xfId="2452" xr:uid="{00000000-0005-0000-0000-000068070000}"/>
    <cellStyle name="Normal 12 2 4" xfId="762" xr:uid="{00000000-0005-0000-0000-000069070000}"/>
    <cellStyle name="Normal 12 2 4 2" xfId="3003" xr:uid="{00000000-0005-0000-0000-00006A070000}"/>
    <cellStyle name="Normal 12 2 5" xfId="1185" xr:uid="{00000000-0005-0000-0000-00006B070000}"/>
    <cellStyle name="Normal 12 2 5 2" xfId="3416" xr:uid="{00000000-0005-0000-0000-00006C070000}"/>
    <cellStyle name="Normal 12 2 6" xfId="1599" xr:uid="{00000000-0005-0000-0000-00006D070000}"/>
    <cellStyle name="Normal 12 2 6 2" xfId="3829" xr:uid="{00000000-0005-0000-0000-00006E070000}"/>
    <cellStyle name="Normal 12 2 7" xfId="2013" xr:uid="{00000000-0005-0000-0000-00006F070000}"/>
    <cellStyle name="Normal 12 2 7 2" xfId="4242" xr:uid="{00000000-0005-0000-0000-000070070000}"/>
    <cellStyle name="Normal 12 2 8" xfId="2449" xr:uid="{00000000-0005-0000-0000-000071070000}"/>
    <cellStyle name="Normal 12 3" xfId="264" xr:uid="{00000000-0005-0000-0000-000072070000}"/>
    <cellStyle name="Normal 12 3 2" xfId="265" xr:uid="{00000000-0005-0000-0000-000073070000}"/>
    <cellStyle name="Normal 12 3 2 2" xfId="767" xr:uid="{00000000-0005-0000-0000-000074070000}"/>
    <cellStyle name="Normal 12 3 2 2 2" xfId="3008" xr:uid="{00000000-0005-0000-0000-000075070000}"/>
    <cellStyle name="Normal 12 3 2 3" xfId="1190" xr:uid="{00000000-0005-0000-0000-000076070000}"/>
    <cellStyle name="Normal 12 3 2 3 2" xfId="3421" xr:uid="{00000000-0005-0000-0000-000077070000}"/>
    <cellStyle name="Normal 12 3 2 4" xfId="1604" xr:uid="{00000000-0005-0000-0000-000078070000}"/>
    <cellStyle name="Normal 12 3 2 4 2" xfId="3834" xr:uid="{00000000-0005-0000-0000-000079070000}"/>
    <cellStyle name="Normal 12 3 2 5" xfId="2018" xr:uid="{00000000-0005-0000-0000-00007A070000}"/>
    <cellStyle name="Normal 12 3 2 5 2" xfId="4247" xr:uid="{00000000-0005-0000-0000-00007B070000}"/>
    <cellStyle name="Normal 12 3 2 6" xfId="2454" xr:uid="{00000000-0005-0000-0000-00007C070000}"/>
    <cellStyle name="Normal 12 3 3" xfId="766" xr:uid="{00000000-0005-0000-0000-00007D070000}"/>
    <cellStyle name="Normal 12 3 3 2" xfId="3007" xr:uid="{00000000-0005-0000-0000-00007E070000}"/>
    <cellStyle name="Normal 12 3 4" xfId="1189" xr:uid="{00000000-0005-0000-0000-00007F070000}"/>
    <cellStyle name="Normal 12 3 4 2" xfId="3420" xr:uid="{00000000-0005-0000-0000-000080070000}"/>
    <cellStyle name="Normal 12 3 5" xfId="1603" xr:uid="{00000000-0005-0000-0000-000081070000}"/>
    <cellStyle name="Normal 12 3 5 2" xfId="3833" xr:uid="{00000000-0005-0000-0000-000082070000}"/>
    <cellStyle name="Normal 12 3 6" xfId="2017" xr:uid="{00000000-0005-0000-0000-000083070000}"/>
    <cellStyle name="Normal 12 3 6 2" xfId="4246" xr:uid="{00000000-0005-0000-0000-000084070000}"/>
    <cellStyle name="Normal 12 3 7" xfId="2453" xr:uid="{00000000-0005-0000-0000-000085070000}"/>
    <cellStyle name="Normal 12 4" xfId="266" xr:uid="{00000000-0005-0000-0000-000086070000}"/>
    <cellStyle name="Normal 12 4 2" xfId="768" xr:uid="{00000000-0005-0000-0000-000087070000}"/>
    <cellStyle name="Normal 12 4 2 2" xfId="3009" xr:uid="{00000000-0005-0000-0000-000088070000}"/>
    <cellStyle name="Normal 12 4 3" xfId="1191" xr:uid="{00000000-0005-0000-0000-000089070000}"/>
    <cellStyle name="Normal 12 4 3 2" xfId="3422" xr:uid="{00000000-0005-0000-0000-00008A070000}"/>
    <cellStyle name="Normal 12 4 4" xfId="1605" xr:uid="{00000000-0005-0000-0000-00008B070000}"/>
    <cellStyle name="Normal 12 4 4 2" xfId="3835" xr:uid="{00000000-0005-0000-0000-00008C070000}"/>
    <cellStyle name="Normal 12 4 5" xfId="2019" xr:uid="{00000000-0005-0000-0000-00008D070000}"/>
    <cellStyle name="Normal 12 4 5 2" xfId="4248" xr:uid="{00000000-0005-0000-0000-00008E070000}"/>
    <cellStyle name="Normal 12 4 6" xfId="2455" xr:uid="{00000000-0005-0000-0000-00008F070000}"/>
    <cellStyle name="Normal 12 5" xfId="267" xr:uid="{00000000-0005-0000-0000-000090070000}"/>
    <cellStyle name="Normal 12 6" xfId="761" xr:uid="{00000000-0005-0000-0000-000091070000}"/>
    <cellStyle name="Normal 12 6 2" xfId="3002" xr:uid="{00000000-0005-0000-0000-000092070000}"/>
    <cellStyle name="Normal 12 7" xfId="1184" xr:uid="{00000000-0005-0000-0000-000093070000}"/>
    <cellStyle name="Normal 12 7 2" xfId="3415" xr:uid="{00000000-0005-0000-0000-000094070000}"/>
    <cellStyle name="Normal 12 8" xfId="1598" xr:uid="{00000000-0005-0000-0000-000095070000}"/>
    <cellStyle name="Normal 12 8 2" xfId="3828" xr:uid="{00000000-0005-0000-0000-000096070000}"/>
    <cellStyle name="Normal 12 9" xfId="2012" xr:uid="{00000000-0005-0000-0000-000097070000}"/>
    <cellStyle name="Normal 12 9 2" xfId="4241" xr:uid="{00000000-0005-0000-0000-000098070000}"/>
    <cellStyle name="Normal 13" xfId="268" xr:uid="{00000000-0005-0000-0000-000099070000}"/>
    <cellStyle name="Normal 13 2" xfId="269" xr:uid="{00000000-0005-0000-0000-00009A070000}"/>
    <cellStyle name="Normal 14" xfId="270" xr:uid="{00000000-0005-0000-0000-00009B070000}"/>
    <cellStyle name="Normal 14 2" xfId="769" xr:uid="{00000000-0005-0000-0000-00009C070000}"/>
    <cellStyle name="Normal 14 2 2" xfId="3010" xr:uid="{00000000-0005-0000-0000-00009D070000}"/>
    <cellStyle name="Normal 14 3" xfId="1192" xr:uid="{00000000-0005-0000-0000-00009E070000}"/>
    <cellStyle name="Normal 14 3 2" xfId="3423" xr:uid="{00000000-0005-0000-0000-00009F070000}"/>
    <cellStyle name="Normal 14 4" xfId="1606" xr:uid="{00000000-0005-0000-0000-0000A0070000}"/>
    <cellStyle name="Normal 14 4 2" xfId="3836" xr:uid="{00000000-0005-0000-0000-0000A1070000}"/>
    <cellStyle name="Normal 14 5" xfId="2020" xr:uid="{00000000-0005-0000-0000-0000A2070000}"/>
    <cellStyle name="Normal 14 5 2" xfId="4249" xr:uid="{00000000-0005-0000-0000-0000A3070000}"/>
    <cellStyle name="Normal 14 6" xfId="2456" xr:uid="{00000000-0005-0000-0000-0000A4070000}"/>
    <cellStyle name="Normal 2" xfId="271" xr:uid="{00000000-0005-0000-0000-0000A5070000}"/>
    <cellStyle name="Normal 2 2" xfId="272" xr:uid="{00000000-0005-0000-0000-0000A6070000}"/>
    <cellStyle name="Normal 2 2 2" xfId="273" xr:uid="{00000000-0005-0000-0000-0000A7070000}"/>
    <cellStyle name="Normal 2 2 2 2" xfId="274" xr:uid="{00000000-0005-0000-0000-0000A8070000}"/>
    <cellStyle name="Normal 2 2 2 3" xfId="275" xr:uid="{00000000-0005-0000-0000-0000A9070000}"/>
    <cellStyle name="Normal 2 2 2 4" xfId="1193" xr:uid="{00000000-0005-0000-0000-0000AA070000}"/>
    <cellStyle name="Normal 2 2 3" xfId="771" xr:uid="{00000000-0005-0000-0000-0000AB070000}"/>
    <cellStyle name="Normal 2 3" xfId="276" xr:uid="{00000000-0005-0000-0000-0000AC070000}"/>
    <cellStyle name="Normal 2 3 2" xfId="277" xr:uid="{00000000-0005-0000-0000-0000AD070000}"/>
    <cellStyle name="Normal 2 4" xfId="278" xr:uid="{00000000-0005-0000-0000-0000AE070000}"/>
    <cellStyle name="Normal 2 4 2" xfId="279" xr:uid="{00000000-0005-0000-0000-0000AF070000}"/>
    <cellStyle name="Normal 2 4 2 10" xfId="2021" xr:uid="{00000000-0005-0000-0000-0000B0070000}"/>
    <cellStyle name="Normal 2 4 2 10 2" xfId="4250" xr:uid="{00000000-0005-0000-0000-0000B1070000}"/>
    <cellStyle name="Normal 2 4 2 11" xfId="2457" xr:uid="{00000000-0005-0000-0000-0000B2070000}"/>
    <cellStyle name="Normal 2 4 2 2" xfId="280" xr:uid="{00000000-0005-0000-0000-0000B3070000}"/>
    <cellStyle name="Normal 2 4 2 3" xfId="281" xr:uid="{00000000-0005-0000-0000-0000B4070000}"/>
    <cellStyle name="Normal 2 4 2 3 2" xfId="282" xr:uid="{00000000-0005-0000-0000-0000B5070000}"/>
    <cellStyle name="Normal 2 4 2 3 2 2" xfId="283" xr:uid="{00000000-0005-0000-0000-0000B6070000}"/>
    <cellStyle name="Normal 2 4 2 3 2 2 2" xfId="284" xr:uid="{00000000-0005-0000-0000-0000B7070000}"/>
    <cellStyle name="Normal 2 4 2 3 2 2 2 2" xfId="776" xr:uid="{00000000-0005-0000-0000-0000B8070000}"/>
    <cellStyle name="Normal 2 4 2 3 2 2 2 2 2" xfId="3015" xr:uid="{00000000-0005-0000-0000-0000B9070000}"/>
    <cellStyle name="Normal 2 4 2 3 2 2 2 3" xfId="1198" xr:uid="{00000000-0005-0000-0000-0000BA070000}"/>
    <cellStyle name="Normal 2 4 2 3 2 2 2 3 2" xfId="3428" xr:uid="{00000000-0005-0000-0000-0000BB070000}"/>
    <cellStyle name="Normal 2 4 2 3 2 2 2 4" xfId="1611" xr:uid="{00000000-0005-0000-0000-0000BC070000}"/>
    <cellStyle name="Normal 2 4 2 3 2 2 2 4 2" xfId="3841" xr:uid="{00000000-0005-0000-0000-0000BD070000}"/>
    <cellStyle name="Normal 2 4 2 3 2 2 2 5" xfId="2025" xr:uid="{00000000-0005-0000-0000-0000BE070000}"/>
    <cellStyle name="Normal 2 4 2 3 2 2 2 5 2" xfId="4254" xr:uid="{00000000-0005-0000-0000-0000BF070000}"/>
    <cellStyle name="Normal 2 4 2 3 2 2 2 6" xfId="2461" xr:uid="{00000000-0005-0000-0000-0000C0070000}"/>
    <cellStyle name="Normal 2 4 2 3 2 2 3" xfId="775" xr:uid="{00000000-0005-0000-0000-0000C1070000}"/>
    <cellStyle name="Normal 2 4 2 3 2 2 3 2" xfId="3014" xr:uid="{00000000-0005-0000-0000-0000C2070000}"/>
    <cellStyle name="Normal 2 4 2 3 2 2 4" xfId="1197" xr:uid="{00000000-0005-0000-0000-0000C3070000}"/>
    <cellStyle name="Normal 2 4 2 3 2 2 4 2" xfId="3427" xr:uid="{00000000-0005-0000-0000-0000C4070000}"/>
    <cellStyle name="Normal 2 4 2 3 2 2 5" xfId="1610" xr:uid="{00000000-0005-0000-0000-0000C5070000}"/>
    <cellStyle name="Normal 2 4 2 3 2 2 5 2" xfId="3840" xr:uid="{00000000-0005-0000-0000-0000C6070000}"/>
    <cellStyle name="Normal 2 4 2 3 2 2 6" xfId="2024" xr:uid="{00000000-0005-0000-0000-0000C7070000}"/>
    <cellStyle name="Normal 2 4 2 3 2 2 6 2" xfId="4253" xr:uid="{00000000-0005-0000-0000-0000C8070000}"/>
    <cellStyle name="Normal 2 4 2 3 2 2 7" xfId="2460" xr:uid="{00000000-0005-0000-0000-0000C9070000}"/>
    <cellStyle name="Normal 2 4 2 3 2 3" xfId="285" xr:uid="{00000000-0005-0000-0000-0000CA070000}"/>
    <cellStyle name="Normal 2 4 2 3 2 3 2" xfId="777" xr:uid="{00000000-0005-0000-0000-0000CB070000}"/>
    <cellStyle name="Normal 2 4 2 3 2 3 2 2" xfId="3016" xr:uid="{00000000-0005-0000-0000-0000CC070000}"/>
    <cellStyle name="Normal 2 4 2 3 2 3 3" xfId="1199" xr:uid="{00000000-0005-0000-0000-0000CD070000}"/>
    <cellStyle name="Normal 2 4 2 3 2 3 3 2" xfId="3429" xr:uid="{00000000-0005-0000-0000-0000CE070000}"/>
    <cellStyle name="Normal 2 4 2 3 2 3 4" xfId="1612" xr:uid="{00000000-0005-0000-0000-0000CF070000}"/>
    <cellStyle name="Normal 2 4 2 3 2 3 4 2" xfId="3842" xr:uid="{00000000-0005-0000-0000-0000D0070000}"/>
    <cellStyle name="Normal 2 4 2 3 2 3 5" xfId="2026" xr:uid="{00000000-0005-0000-0000-0000D1070000}"/>
    <cellStyle name="Normal 2 4 2 3 2 3 5 2" xfId="4255" xr:uid="{00000000-0005-0000-0000-0000D2070000}"/>
    <cellStyle name="Normal 2 4 2 3 2 3 6" xfId="2462" xr:uid="{00000000-0005-0000-0000-0000D3070000}"/>
    <cellStyle name="Normal 2 4 2 3 2 4" xfId="774" xr:uid="{00000000-0005-0000-0000-0000D4070000}"/>
    <cellStyle name="Normal 2 4 2 3 2 4 2" xfId="3013" xr:uid="{00000000-0005-0000-0000-0000D5070000}"/>
    <cellStyle name="Normal 2 4 2 3 2 5" xfId="1196" xr:uid="{00000000-0005-0000-0000-0000D6070000}"/>
    <cellStyle name="Normal 2 4 2 3 2 5 2" xfId="3426" xr:uid="{00000000-0005-0000-0000-0000D7070000}"/>
    <cellStyle name="Normal 2 4 2 3 2 6" xfId="1609" xr:uid="{00000000-0005-0000-0000-0000D8070000}"/>
    <cellStyle name="Normal 2 4 2 3 2 6 2" xfId="3839" xr:uid="{00000000-0005-0000-0000-0000D9070000}"/>
    <cellStyle name="Normal 2 4 2 3 2 7" xfId="2023" xr:uid="{00000000-0005-0000-0000-0000DA070000}"/>
    <cellStyle name="Normal 2 4 2 3 2 7 2" xfId="4252" xr:uid="{00000000-0005-0000-0000-0000DB070000}"/>
    <cellStyle name="Normal 2 4 2 3 2 8" xfId="2459" xr:uid="{00000000-0005-0000-0000-0000DC070000}"/>
    <cellStyle name="Normal 2 4 2 3 3" xfId="286" xr:uid="{00000000-0005-0000-0000-0000DD070000}"/>
    <cellStyle name="Normal 2 4 2 3 3 2" xfId="287" xr:uid="{00000000-0005-0000-0000-0000DE070000}"/>
    <cellStyle name="Normal 2 4 2 3 3 2 2" xfId="779" xr:uid="{00000000-0005-0000-0000-0000DF070000}"/>
    <cellStyle name="Normal 2 4 2 3 3 2 2 2" xfId="3018" xr:uid="{00000000-0005-0000-0000-0000E0070000}"/>
    <cellStyle name="Normal 2 4 2 3 3 2 3" xfId="1201" xr:uid="{00000000-0005-0000-0000-0000E1070000}"/>
    <cellStyle name="Normal 2 4 2 3 3 2 3 2" xfId="3431" xr:uid="{00000000-0005-0000-0000-0000E2070000}"/>
    <cellStyle name="Normal 2 4 2 3 3 2 4" xfId="1614" xr:uid="{00000000-0005-0000-0000-0000E3070000}"/>
    <cellStyle name="Normal 2 4 2 3 3 2 4 2" xfId="3844" xr:uid="{00000000-0005-0000-0000-0000E4070000}"/>
    <cellStyle name="Normal 2 4 2 3 3 2 5" xfId="2028" xr:uid="{00000000-0005-0000-0000-0000E5070000}"/>
    <cellStyle name="Normal 2 4 2 3 3 2 5 2" xfId="4257" xr:uid="{00000000-0005-0000-0000-0000E6070000}"/>
    <cellStyle name="Normal 2 4 2 3 3 2 6" xfId="2464" xr:uid="{00000000-0005-0000-0000-0000E7070000}"/>
    <cellStyle name="Normal 2 4 2 3 3 3" xfId="778" xr:uid="{00000000-0005-0000-0000-0000E8070000}"/>
    <cellStyle name="Normal 2 4 2 3 3 3 2" xfId="3017" xr:uid="{00000000-0005-0000-0000-0000E9070000}"/>
    <cellStyle name="Normal 2 4 2 3 3 4" xfId="1200" xr:uid="{00000000-0005-0000-0000-0000EA070000}"/>
    <cellStyle name="Normal 2 4 2 3 3 4 2" xfId="3430" xr:uid="{00000000-0005-0000-0000-0000EB070000}"/>
    <cellStyle name="Normal 2 4 2 3 3 5" xfId="1613" xr:uid="{00000000-0005-0000-0000-0000EC070000}"/>
    <cellStyle name="Normal 2 4 2 3 3 5 2" xfId="3843" xr:uid="{00000000-0005-0000-0000-0000ED070000}"/>
    <cellStyle name="Normal 2 4 2 3 3 6" xfId="2027" xr:uid="{00000000-0005-0000-0000-0000EE070000}"/>
    <cellStyle name="Normal 2 4 2 3 3 6 2" xfId="4256" xr:uid="{00000000-0005-0000-0000-0000EF070000}"/>
    <cellStyle name="Normal 2 4 2 3 3 7" xfId="2463" xr:uid="{00000000-0005-0000-0000-0000F0070000}"/>
    <cellStyle name="Normal 2 4 2 3 4" xfId="288" xr:uid="{00000000-0005-0000-0000-0000F1070000}"/>
    <cellStyle name="Normal 2 4 2 3 4 2" xfId="780" xr:uid="{00000000-0005-0000-0000-0000F2070000}"/>
    <cellStyle name="Normal 2 4 2 3 4 2 2" xfId="3019" xr:uid="{00000000-0005-0000-0000-0000F3070000}"/>
    <cellStyle name="Normal 2 4 2 3 4 3" xfId="1202" xr:uid="{00000000-0005-0000-0000-0000F4070000}"/>
    <cellStyle name="Normal 2 4 2 3 4 3 2" xfId="3432" xr:uid="{00000000-0005-0000-0000-0000F5070000}"/>
    <cellStyle name="Normal 2 4 2 3 4 4" xfId="1615" xr:uid="{00000000-0005-0000-0000-0000F6070000}"/>
    <cellStyle name="Normal 2 4 2 3 4 4 2" xfId="3845" xr:uid="{00000000-0005-0000-0000-0000F7070000}"/>
    <cellStyle name="Normal 2 4 2 3 4 5" xfId="2029" xr:uid="{00000000-0005-0000-0000-0000F8070000}"/>
    <cellStyle name="Normal 2 4 2 3 4 5 2" xfId="4258" xr:uid="{00000000-0005-0000-0000-0000F9070000}"/>
    <cellStyle name="Normal 2 4 2 3 4 6" xfId="2465" xr:uid="{00000000-0005-0000-0000-0000FA070000}"/>
    <cellStyle name="Normal 2 4 2 3 5" xfId="773" xr:uid="{00000000-0005-0000-0000-0000FB070000}"/>
    <cellStyle name="Normal 2 4 2 3 5 2" xfId="3012" xr:uid="{00000000-0005-0000-0000-0000FC070000}"/>
    <cellStyle name="Normal 2 4 2 3 6" xfId="1195" xr:uid="{00000000-0005-0000-0000-0000FD070000}"/>
    <cellStyle name="Normal 2 4 2 3 6 2" xfId="3425" xr:uid="{00000000-0005-0000-0000-0000FE070000}"/>
    <cellStyle name="Normal 2 4 2 3 7" xfId="1608" xr:uid="{00000000-0005-0000-0000-0000FF070000}"/>
    <cellStyle name="Normal 2 4 2 3 7 2" xfId="3838" xr:uid="{00000000-0005-0000-0000-000000080000}"/>
    <cellStyle name="Normal 2 4 2 3 8" xfId="2022" xr:uid="{00000000-0005-0000-0000-000001080000}"/>
    <cellStyle name="Normal 2 4 2 3 8 2" xfId="4251" xr:uid="{00000000-0005-0000-0000-000002080000}"/>
    <cellStyle name="Normal 2 4 2 3 9" xfId="2458" xr:uid="{00000000-0005-0000-0000-000003080000}"/>
    <cellStyle name="Normal 2 4 2 4" xfId="289" xr:uid="{00000000-0005-0000-0000-000004080000}"/>
    <cellStyle name="Normal 2 4 2 4 2" xfId="290" xr:uid="{00000000-0005-0000-0000-000005080000}"/>
    <cellStyle name="Normal 2 4 2 4 2 2" xfId="291" xr:uid="{00000000-0005-0000-0000-000006080000}"/>
    <cellStyle name="Normal 2 4 2 4 2 2 2" xfId="783" xr:uid="{00000000-0005-0000-0000-000007080000}"/>
    <cellStyle name="Normal 2 4 2 4 2 2 2 2" xfId="3022" xr:uid="{00000000-0005-0000-0000-000008080000}"/>
    <cellStyle name="Normal 2 4 2 4 2 2 3" xfId="1205" xr:uid="{00000000-0005-0000-0000-000009080000}"/>
    <cellStyle name="Normal 2 4 2 4 2 2 3 2" xfId="3435" xr:uid="{00000000-0005-0000-0000-00000A080000}"/>
    <cellStyle name="Normal 2 4 2 4 2 2 4" xfId="1618" xr:uid="{00000000-0005-0000-0000-00000B080000}"/>
    <cellStyle name="Normal 2 4 2 4 2 2 4 2" xfId="3848" xr:uid="{00000000-0005-0000-0000-00000C080000}"/>
    <cellStyle name="Normal 2 4 2 4 2 2 5" xfId="2032" xr:uid="{00000000-0005-0000-0000-00000D080000}"/>
    <cellStyle name="Normal 2 4 2 4 2 2 5 2" xfId="4261" xr:uid="{00000000-0005-0000-0000-00000E080000}"/>
    <cellStyle name="Normal 2 4 2 4 2 2 6" xfId="2468" xr:uid="{00000000-0005-0000-0000-00000F080000}"/>
    <cellStyle name="Normal 2 4 2 4 2 3" xfId="782" xr:uid="{00000000-0005-0000-0000-000010080000}"/>
    <cellStyle name="Normal 2 4 2 4 2 3 2" xfId="3021" xr:uid="{00000000-0005-0000-0000-000011080000}"/>
    <cellStyle name="Normal 2 4 2 4 2 4" xfId="1204" xr:uid="{00000000-0005-0000-0000-000012080000}"/>
    <cellStyle name="Normal 2 4 2 4 2 4 2" xfId="3434" xr:uid="{00000000-0005-0000-0000-000013080000}"/>
    <cellStyle name="Normal 2 4 2 4 2 5" xfId="1617" xr:uid="{00000000-0005-0000-0000-000014080000}"/>
    <cellStyle name="Normal 2 4 2 4 2 5 2" xfId="3847" xr:uid="{00000000-0005-0000-0000-000015080000}"/>
    <cellStyle name="Normal 2 4 2 4 2 6" xfId="2031" xr:uid="{00000000-0005-0000-0000-000016080000}"/>
    <cellStyle name="Normal 2 4 2 4 2 6 2" xfId="4260" xr:uid="{00000000-0005-0000-0000-000017080000}"/>
    <cellStyle name="Normal 2 4 2 4 2 7" xfId="2467" xr:uid="{00000000-0005-0000-0000-000018080000}"/>
    <cellStyle name="Normal 2 4 2 4 3" xfId="292" xr:uid="{00000000-0005-0000-0000-000019080000}"/>
    <cellStyle name="Normal 2 4 2 4 3 2" xfId="784" xr:uid="{00000000-0005-0000-0000-00001A080000}"/>
    <cellStyle name="Normal 2 4 2 4 3 2 2" xfId="3023" xr:uid="{00000000-0005-0000-0000-00001B080000}"/>
    <cellStyle name="Normal 2 4 2 4 3 3" xfId="1206" xr:uid="{00000000-0005-0000-0000-00001C080000}"/>
    <cellStyle name="Normal 2 4 2 4 3 3 2" xfId="3436" xr:uid="{00000000-0005-0000-0000-00001D080000}"/>
    <cellStyle name="Normal 2 4 2 4 3 4" xfId="1619" xr:uid="{00000000-0005-0000-0000-00001E080000}"/>
    <cellStyle name="Normal 2 4 2 4 3 4 2" xfId="3849" xr:uid="{00000000-0005-0000-0000-00001F080000}"/>
    <cellStyle name="Normal 2 4 2 4 3 5" xfId="2033" xr:uid="{00000000-0005-0000-0000-000020080000}"/>
    <cellStyle name="Normal 2 4 2 4 3 5 2" xfId="4262" xr:uid="{00000000-0005-0000-0000-000021080000}"/>
    <cellStyle name="Normal 2 4 2 4 3 6" xfId="2469" xr:uid="{00000000-0005-0000-0000-000022080000}"/>
    <cellStyle name="Normal 2 4 2 4 4" xfId="781" xr:uid="{00000000-0005-0000-0000-000023080000}"/>
    <cellStyle name="Normal 2 4 2 4 4 2" xfId="3020" xr:uid="{00000000-0005-0000-0000-000024080000}"/>
    <cellStyle name="Normal 2 4 2 4 5" xfId="1203" xr:uid="{00000000-0005-0000-0000-000025080000}"/>
    <cellStyle name="Normal 2 4 2 4 5 2" xfId="3433" xr:uid="{00000000-0005-0000-0000-000026080000}"/>
    <cellStyle name="Normal 2 4 2 4 6" xfId="1616" xr:uid="{00000000-0005-0000-0000-000027080000}"/>
    <cellStyle name="Normal 2 4 2 4 6 2" xfId="3846" xr:uid="{00000000-0005-0000-0000-000028080000}"/>
    <cellStyle name="Normal 2 4 2 4 7" xfId="2030" xr:uid="{00000000-0005-0000-0000-000029080000}"/>
    <cellStyle name="Normal 2 4 2 4 7 2" xfId="4259" xr:uid="{00000000-0005-0000-0000-00002A080000}"/>
    <cellStyle name="Normal 2 4 2 4 8" xfId="2466" xr:uid="{00000000-0005-0000-0000-00002B080000}"/>
    <cellStyle name="Normal 2 4 2 5" xfId="293" xr:uid="{00000000-0005-0000-0000-00002C080000}"/>
    <cellStyle name="Normal 2 4 2 5 2" xfId="294" xr:uid="{00000000-0005-0000-0000-00002D080000}"/>
    <cellStyle name="Normal 2 4 2 5 2 2" xfId="786" xr:uid="{00000000-0005-0000-0000-00002E080000}"/>
    <cellStyle name="Normal 2 4 2 5 2 2 2" xfId="3025" xr:uid="{00000000-0005-0000-0000-00002F080000}"/>
    <cellStyle name="Normal 2 4 2 5 2 3" xfId="1208" xr:uid="{00000000-0005-0000-0000-000030080000}"/>
    <cellStyle name="Normal 2 4 2 5 2 3 2" xfId="3438" xr:uid="{00000000-0005-0000-0000-000031080000}"/>
    <cellStyle name="Normal 2 4 2 5 2 4" xfId="1621" xr:uid="{00000000-0005-0000-0000-000032080000}"/>
    <cellStyle name="Normal 2 4 2 5 2 4 2" xfId="3851" xr:uid="{00000000-0005-0000-0000-000033080000}"/>
    <cellStyle name="Normal 2 4 2 5 2 5" xfId="2035" xr:uid="{00000000-0005-0000-0000-000034080000}"/>
    <cellStyle name="Normal 2 4 2 5 2 5 2" xfId="4264" xr:uid="{00000000-0005-0000-0000-000035080000}"/>
    <cellStyle name="Normal 2 4 2 5 2 6" xfId="2471" xr:uid="{00000000-0005-0000-0000-000036080000}"/>
    <cellStyle name="Normal 2 4 2 5 3" xfId="785" xr:uid="{00000000-0005-0000-0000-000037080000}"/>
    <cellStyle name="Normal 2 4 2 5 3 2" xfId="3024" xr:uid="{00000000-0005-0000-0000-000038080000}"/>
    <cellStyle name="Normal 2 4 2 5 4" xfId="1207" xr:uid="{00000000-0005-0000-0000-000039080000}"/>
    <cellStyle name="Normal 2 4 2 5 4 2" xfId="3437" xr:uid="{00000000-0005-0000-0000-00003A080000}"/>
    <cellStyle name="Normal 2 4 2 5 5" xfId="1620" xr:uid="{00000000-0005-0000-0000-00003B080000}"/>
    <cellStyle name="Normal 2 4 2 5 5 2" xfId="3850" xr:uid="{00000000-0005-0000-0000-00003C080000}"/>
    <cellStyle name="Normal 2 4 2 5 6" xfId="2034" xr:uid="{00000000-0005-0000-0000-00003D080000}"/>
    <cellStyle name="Normal 2 4 2 5 6 2" xfId="4263" xr:uid="{00000000-0005-0000-0000-00003E080000}"/>
    <cellStyle name="Normal 2 4 2 5 7" xfId="2470" xr:uid="{00000000-0005-0000-0000-00003F080000}"/>
    <cellStyle name="Normal 2 4 2 6" xfId="295" xr:uid="{00000000-0005-0000-0000-000040080000}"/>
    <cellStyle name="Normal 2 4 2 6 2" xfId="787" xr:uid="{00000000-0005-0000-0000-000041080000}"/>
    <cellStyle name="Normal 2 4 2 6 2 2" xfId="3026" xr:uid="{00000000-0005-0000-0000-000042080000}"/>
    <cellStyle name="Normal 2 4 2 6 3" xfId="1209" xr:uid="{00000000-0005-0000-0000-000043080000}"/>
    <cellStyle name="Normal 2 4 2 6 3 2" xfId="3439" xr:uid="{00000000-0005-0000-0000-000044080000}"/>
    <cellStyle name="Normal 2 4 2 6 4" xfId="1622" xr:uid="{00000000-0005-0000-0000-000045080000}"/>
    <cellStyle name="Normal 2 4 2 6 4 2" xfId="3852" xr:uid="{00000000-0005-0000-0000-000046080000}"/>
    <cellStyle name="Normal 2 4 2 6 5" xfId="2036" xr:uid="{00000000-0005-0000-0000-000047080000}"/>
    <cellStyle name="Normal 2 4 2 6 5 2" xfId="4265" xr:uid="{00000000-0005-0000-0000-000048080000}"/>
    <cellStyle name="Normal 2 4 2 6 6" xfId="2472" xr:uid="{00000000-0005-0000-0000-000049080000}"/>
    <cellStyle name="Normal 2 4 2 7" xfId="772" xr:uid="{00000000-0005-0000-0000-00004A080000}"/>
    <cellStyle name="Normal 2 4 2 7 2" xfId="3011" xr:uid="{00000000-0005-0000-0000-00004B080000}"/>
    <cellStyle name="Normal 2 4 2 8" xfId="1194" xr:uid="{00000000-0005-0000-0000-00004C080000}"/>
    <cellStyle name="Normal 2 4 2 8 2" xfId="3424" xr:uid="{00000000-0005-0000-0000-00004D080000}"/>
    <cellStyle name="Normal 2 4 2 9" xfId="1607" xr:uid="{00000000-0005-0000-0000-00004E080000}"/>
    <cellStyle name="Normal 2 4 2 9 2" xfId="3837" xr:uid="{00000000-0005-0000-0000-00004F080000}"/>
    <cellStyle name="Normal 2 4 3" xfId="296" xr:uid="{00000000-0005-0000-0000-000050080000}"/>
    <cellStyle name="Normal 2 4 3 2" xfId="297" xr:uid="{00000000-0005-0000-0000-000051080000}"/>
    <cellStyle name="Normal 2 4 3 3" xfId="298" xr:uid="{00000000-0005-0000-0000-000052080000}"/>
    <cellStyle name="Normal 2 4 3 3 2" xfId="299" xr:uid="{00000000-0005-0000-0000-000053080000}"/>
    <cellStyle name="Normal 2 4 3 3 2 2" xfId="300" xr:uid="{00000000-0005-0000-0000-000054080000}"/>
    <cellStyle name="Normal 2 4 3 3 2 2 2" xfId="791" xr:uid="{00000000-0005-0000-0000-000055080000}"/>
    <cellStyle name="Normal 2 4 3 3 2 2 2 2" xfId="3030" xr:uid="{00000000-0005-0000-0000-000056080000}"/>
    <cellStyle name="Normal 2 4 3 3 2 2 3" xfId="1213" xr:uid="{00000000-0005-0000-0000-000057080000}"/>
    <cellStyle name="Normal 2 4 3 3 2 2 3 2" xfId="3443" xr:uid="{00000000-0005-0000-0000-000058080000}"/>
    <cellStyle name="Normal 2 4 3 3 2 2 4" xfId="1626" xr:uid="{00000000-0005-0000-0000-000059080000}"/>
    <cellStyle name="Normal 2 4 3 3 2 2 4 2" xfId="3856" xr:uid="{00000000-0005-0000-0000-00005A080000}"/>
    <cellStyle name="Normal 2 4 3 3 2 2 5" xfId="2040" xr:uid="{00000000-0005-0000-0000-00005B080000}"/>
    <cellStyle name="Normal 2 4 3 3 2 2 5 2" xfId="4269" xr:uid="{00000000-0005-0000-0000-00005C080000}"/>
    <cellStyle name="Normal 2 4 3 3 2 2 6" xfId="2476" xr:uid="{00000000-0005-0000-0000-00005D080000}"/>
    <cellStyle name="Normal 2 4 3 3 2 3" xfId="790" xr:uid="{00000000-0005-0000-0000-00005E080000}"/>
    <cellStyle name="Normal 2 4 3 3 2 3 2" xfId="3029" xr:uid="{00000000-0005-0000-0000-00005F080000}"/>
    <cellStyle name="Normal 2 4 3 3 2 4" xfId="1212" xr:uid="{00000000-0005-0000-0000-000060080000}"/>
    <cellStyle name="Normal 2 4 3 3 2 4 2" xfId="3442" xr:uid="{00000000-0005-0000-0000-000061080000}"/>
    <cellStyle name="Normal 2 4 3 3 2 5" xfId="1625" xr:uid="{00000000-0005-0000-0000-000062080000}"/>
    <cellStyle name="Normal 2 4 3 3 2 5 2" xfId="3855" xr:uid="{00000000-0005-0000-0000-000063080000}"/>
    <cellStyle name="Normal 2 4 3 3 2 6" xfId="2039" xr:uid="{00000000-0005-0000-0000-000064080000}"/>
    <cellStyle name="Normal 2 4 3 3 2 6 2" xfId="4268" xr:uid="{00000000-0005-0000-0000-000065080000}"/>
    <cellStyle name="Normal 2 4 3 3 2 7" xfId="2475" xr:uid="{00000000-0005-0000-0000-000066080000}"/>
    <cellStyle name="Normal 2 4 3 3 3" xfId="301" xr:uid="{00000000-0005-0000-0000-000067080000}"/>
    <cellStyle name="Normal 2 4 3 3 3 2" xfId="792" xr:uid="{00000000-0005-0000-0000-000068080000}"/>
    <cellStyle name="Normal 2 4 3 3 3 2 2" xfId="3031" xr:uid="{00000000-0005-0000-0000-000069080000}"/>
    <cellStyle name="Normal 2 4 3 3 3 3" xfId="1214" xr:uid="{00000000-0005-0000-0000-00006A080000}"/>
    <cellStyle name="Normal 2 4 3 3 3 3 2" xfId="3444" xr:uid="{00000000-0005-0000-0000-00006B080000}"/>
    <cellStyle name="Normal 2 4 3 3 3 4" xfId="1627" xr:uid="{00000000-0005-0000-0000-00006C080000}"/>
    <cellStyle name="Normal 2 4 3 3 3 4 2" xfId="3857" xr:uid="{00000000-0005-0000-0000-00006D080000}"/>
    <cellStyle name="Normal 2 4 3 3 3 5" xfId="2041" xr:uid="{00000000-0005-0000-0000-00006E080000}"/>
    <cellStyle name="Normal 2 4 3 3 3 5 2" xfId="4270" xr:uid="{00000000-0005-0000-0000-00006F080000}"/>
    <cellStyle name="Normal 2 4 3 3 3 6" xfId="2477" xr:uid="{00000000-0005-0000-0000-000070080000}"/>
    <cellStyle name="Normal 2 4 3 3 4" xfId="789" xr:uid="{00000000-0005-0000-0000-000071080000}"/>
    <cellStyle name="Normal 2 4 3 3 4 2" xfId="3028" xr:uid="{00000000-0005-0000-0000-000072080000}"/>
    <cellStyle name="Normal 2 4 3 3 5" xfId="1211" xr:uid="{00000000-0005-0000-0000-000073080000}"/>
    <cellStyle name="Normal 2 4 3 3 5 2" xfId="3441" xr:uid="{00000000-0005-0000-0000-000074080000}"/>
    <cellStyle name="Normal 2 4 3 3 6" xfId="1624" xr:uid="{00000000-0005-0000-0000-000075080000}"/>
    <cellStyle name="Normal 2 4 3 3 6 2" xfId="3854" xr:uid="{00000000-0005-0000-0000-000076080000}"/>
    <cellStyle name="Normal 2 4 3 3 7" xfId="2038" xr:uid="{00000000-0005-0000-0000-000077080000}"/>
    <cellStyle name="Normal 2 4 3 3 7 2" xfId="4267" xr:uid="{00000000-0005-0000-0000-000078080000}"/>
    <cellStyle name="Normal 2 4 3 3 8" xfId="2474" xr:uid="{00000000-0005-0000-0000-000079080000}"/>
    <cellStyle name="Normal 2 4 3 4" xfId="788" xr:uid="{00000000-0005-0000-0000-00007A080000}"/>
    <cellStyle name="Normal 2 4 3 4 2" xfId="3027" xr:uid="{00000000-0005-0000-0000-00007B080000}"/>
    <cellStyle name="Normal 2 4 3 5" xfId="1210" xr:uid="{00000000-0005-0000-0000-00007C080000}"/>
    <cellStyle name="Normal 2 4 3 5 2" xfId="3440" xr:uid="{00000000-0005-0000-0000-00007D080000}"/>
    <cellStyle name="Normal 2 4 3 6" xfId="1623" xr:uid="{00000000-0005-0000-0000-00007E080000}"/>
    <cellStyle name="Normal 2 4 3 6 2" xfId="3853" xr:uid="{00000000-0005-0000-0000-00007F080000}"/>
    <cellStyle name="Normal 2 4 3 7" xfId="2037" xr:uid="{00000000-0005-0000-0000-000080080000}"/>
    <cellStyle name="Normal 2 4 3 7 2" xfId="4266" xr:uid="{00000000-0005-0000-0000-000081080000}"/>
    <cellStyle name="Normal 2 4 3 8" xfId="2473" xr:uid="{00000000-0005-0000-0000-000082080000}"/>
    <cellStyle name="Normal 2 4 4" xfId="302" xr:uid="{00000000-0005-0000-0000-000083080000}"/>
    <cellStyle name="Normal 2 4 5" xfId="303" xr:uid="{00000000-0005-0000-0000-000084080000}"/>
    <cellStyle name="Normal 2 4 5 2" xfId="304" xr:uid="{00000000-0005-0000-0000-000085080000}"/>
    <cellStyle name="Normal 2 4 5 2 2" xfId="305" xr:uid="{00000000-0005-0000-0000-000086080000}"/>
    <cellStyle name="Normal 2 4 5 2 2 2" xfId="306" xr:uid="{00000000-0005-0000-0000-000087080000}"/>
    <cellStyle name="Normal 2 4 5 2 2 2 2" xfId="796" xr:uid="{00000000-0005-0000-0000-000088080000}"/>
    <cellStyle name="Normal 2 4 5 2 2 2 2 2" xfId="3035" xr:uid="{00000000-0005-0000-0000-000089080000}"/>
    <cellStyle name="Normal 2 4 5 2 2 2 3" xfId="1218" xr:uid="{00000000-0005-0000-0000-00008A080000}"/>
    <cellStyle name="Normal 2 4 5 2 2 2 3 2" xfId="3448" xr:uid="{00000000-0005-0000-0000-00008B080000}"/>
    <cellStyle name="Normal 2 4 5 2 2 2 4" xfId="1631" xr:uid="{00000000-0005-0000-0000-00008C080000}"/>
    <cellStyle name="Normal 2 4 5 2 2 2 4 2" xfId="3861" xr:uid="{00000000-0005-0000-0000-00008D080000}"/>
    <cellStyle name="Normal 2 4 5 2 2 2 5" xfId="2045" xr:uid="{00000000-0005-0000-0000-00008E080000}"/>
    <cellStyle name="Normal 2 4 5 2 2 2 5 2" xfId="4274" xr:uid="{00000000-0005-0000-0000-00008F080000}"/>
    <cellStyle name="Normal 2 4 5 2 2 2 6" xfId="2481" xr:uid="{00000000-0005-0000-0000-000090080000}"/>
    <cellStyle name="Normal 2 4 5 2 2 3" xfId="795" xr:uid="{00000000-0005-0000-0000-000091080000}"/>
    <cellStyle name="Normal 2 4 5 2 2 3 2" xfId="3034" xr:uid="{00000000-0005-0000-0000-000092080000}"/>
    <cellStyle name="Normal 2 4 5 2 2 4" xfId="1217" xr:uid="{00000000-0005-0000-0000-000093080000}"/>
    <cellStyle name="Normal 2 4 5 2 2 4 2" xfId="3447" xr:uid="{00000000-0005-0000-0000-000094080000}"/>
    <cellStyle name="Normal 2 4 5 2 2 5" xfId="1630" xr:uid="{00000000-0005-0000-0000-000095080000}"/>
    <cellStyle name="Normal 2 4 5 2 2 5 2" xfId="3860" xr:uid="{00000000-0005-0000-0000-000096080000}"/>
    <cellStyle name="Normal 2 4 5 2 2 6" xfId="2044" xr:uid="{00000000-0005-0000-0000-000097080000}"/>
    <cellStyle name="Normal 2 4 5 2 2 6 2" xfId="4273" xr:uid="{00000000-0005-0000-0000-000098080000}"/>
    <cellStyle name="Normal 2 4 5 2 2 7" xfId="2480" xr:uid="{00000000-0005-0000-0000-000099080000}"/>
    <cellStyle name="Normal 2 4 5 2 3" xfId="307" xr:uid="{00000000-0005-0000-0000-00009A080000}"/>
    <cellStyle name="Normal 2 4 5 2 3 2" xfId="797" xr:uid="{00000000-0005-0000-0000-00009B080000}"/>
    <cellStyle name="Normal 2 4 5 2 3 2 2" xfId="3036" xr:uid="{00000000-0005-0000-0000-00009C080000}"/>
    <cellStyle name="Normal 2 4 5 2 3 3" xfId="1219" xr:uid="{00000000-0005-0000-0000-00009D080000}"/>
    <cellStyle name="Normal 2 4 5 2 3 3 2" xfId="3449" xr:uid="{00000000-0005-0000-0000-00009E080000}"/>
    <cellStyle name="Normal 2 4 5 2 3 4" xfId="1632" xr:uid="{00000000-0005-0000-0000-00009F080000}"/>
    <cellStyle name="Normal 2 4 5 2 3 4 2" xfId="3862" xr:uid="{00000000-0005-0000-0000-0000A0080000}"/>
    <cellStyle name="Normal 2 4 5 2 3 5" xfId="2046" xr:uid="{00000000-0005-0000-0000-0000A1080000}"/>
    <cellStyle name="Normal 2 4 5 2 3 5 2" xfId="4275" xr:uid="{00000000-0005-0000-0000-0000A2080000}"/>
    <cellStyle name="Normal 2 4 5 2 3 6" xfId="2482" xr:uid="{00000000-0005-0000-0000-0000A3080000}"/>
    <cellStyle name="Normal 2 4 5 2 4" xfId="794" xr:uid="{00000000-0005-0000-0000-0000A4080000}"/>
    <cellStyle name="Normal 2 4 5 2 4 2" xfId="3033" xr:uid="{00000000-0005-0000-0000-0000A5080000}"/>
    <cellStyle name="Normal 2 4 5 2 5" xfId="1216" xr:uid="{00000000-0005-0000-0000-0000A6080000}"/>
    <cellStyle name="Normal 2 4 5 2 5 2" xfId="3446" xr:uid="{00000000-0005-0000-0000-0000A7080000}"/>
    <cellStyle name="Normal 2 4 5 2 6" xfId="1629" xr:uid="{00000000-0005-0000-0000-0000A8080000}"/>
    <cellStyle name="Normal 2 4 5 2 6 2" xfId="3859" xr:uid="{00000000-0005-0000-0000-0000A9080000}"/>
    <cellStyle name="Normal 2 4 5 2 7" xfId="2043" xr:uid="{00000000-0005-0000-0000-0000AA080000}"/>
    <cellStyle name="Normal 2 4 5 2 7 2" xfId="4272" xr:uid="{00000000-0005-0000-0000-0000AB080000}"/>
    <cellStyle name="Normal 2 4 5 2 8" xfId="2479" xr:uid="{00000000-0005-0000-0000-0000AC080000}"/>
    <cellStyle name="Normal 2 4 5 3" xfId="308" xr:uid="{00000000-0005-0000-0000-0000AD080000}"/>
    <cellStyle name="Normal 2 4 5 3 2" xfId="309" xr:uid="{00000000-0005-0000-0000-0000AE080000}"/>
    <cellStyle name="Normal 2 4 5 3 2 2" xfId="799" xr:uid="{00000000-0005-0000-0000-0000AF080000}"/>
    <cellStyle name="Normal 2 4 5 3 2 2 2" xfId="3038" xr:uid="{00000000-0005-0000-0000-0000B0080000}"/>
    <cellStyle name="Normal 2 4 5 3 2 3" xfId="1221" xr:uid="{00000000-0005-0000-0000-0000B1080000}"/>
    <cellStyle name="Normal 2 4 5 3 2 3 2" xfId="3451" xr:uid="{00000000-0005-0000-0000-0000B2080000}"/>
    <cellStyle name="Normal 2 4 5 3 2 4" xfId="1634" xr:uid="{00000000-0005-0000-0000-0000B3080000}"/>
    <cellStyle name="Normal 2 4 5 3 2 4 2" xfId="3864" xr:uid="{00000000-0005-0000-0000-0000B4080000}"/>
    <cellStyle name="Normal 2 4 5 3 2 5" xfId="2048" xr:uid="{00000000-0005-0000-0000-0000B5080000}"/>
    <cellStyle name="Normal 2 4 5 3 2 5 2" xfId="4277" xr:uid="{00000000-0005-0000-0000-0000B6080000}"/>
    <cellStyle name="Normal 2 4 5 3 2 6" xfId="2484" xr:uid="{00000000-0005-0000-0000-0000B7080000}"/>
    <cellStyle name="Normal 2 4 5 3 3" xfId="798" xr:uid="{00000000-0005-0000-0000-0000B8080000}"/>
    <cellStyle name="Normal 2 4 5 3 3 2" xfId="3037" xr:uid="{00000000-0005-0000-0000-0000B9080000}"/>
    <cellStyle name="Normal 2 4 5 3 4" xfId="1220" xr:uid="{00000000-0005-0000-0000-0000BA080000}"/>
    <cellStyle name="Normal 2 4 5 3 4 2" xfId="3450" xr:uid="{00000000-0005-0000-0000-0000BB080000}"/>
    <cellStyle name="Normal 2 4 5 3 5" xfId="1633" xr:uid="{00000000-0005-0000-0000-0000BC080000}"/>
    <cellStyle name="Normal 2 4 5 3 5 2" xfId="3863" xr:uid="{00000000-0005-0000-0000-0000BD080000}"/>
    <cellStyle name="Normal 2 4 5 3 6" xfId="2047" xr:uid="{00000000-0005-0000-0000-0000BE080000}"/>
    <cellStyle name="Normal 2 4 5 3 6 2" xfId="4276" xr:uid="{00000000-0005-0000-0000-0000BF080000}"/>
    <cellStyle name="Normal 2 4 5 3 7" xfId="2483" xr:uid="{00000000-0005-0000-0000-0000C0080000}"/>
    <cellStyle name="Normal 2 4 5 4" xfId="310" xr:uid="{00000000-0005-0000-0000-0000C1080000}"/>
    <cellStyle name="Normal 2 4 5 4 2" xfId="800" xr:uid="{00000000-0005-0000-0000-0000C2080000}"/>
    <cellStyle name="Normal 2 4 5 4 2 2" xfId="3039" xr:uid="{00000000-0005-0000-0000-0000C3080000}"/>
    <cellStyle name="Normal 2 4 5 4 3" xfId="1222" xr:uid="{00000000-0005-0000-0000-0000C4080000}"/>
    <cellStyle name="Normal 2 4 5 4 3 2" xfId="3452" xr:uid="{00000000-0005-0000-0000-0000C5080000}"/>
    <cellStyle name="Normal 2 4 5 4 4" xfId="1635" xr:uid="{00000000-0005-0000-0000-0000C6080000}"/>
    <cellStyle name="Normal 2 4 5 4 4 2" xfId="3865" xr:uid="{00000000-0005-0000-0000-0000C7080000}"/>
    <cellStyle name="Normal 2 4 5 4 5" xfId="2049" xr:uid="{00000000-0005-0000-0000-0000C8080000}"/>
    <cellStyle name="Normal 2 4 5 4 5 2" xfId="4278" xr:uid="{00000000-0005-0000-0000-0000C9080000}"/>
    <cellStyle name="Normal 2 4 5 4 6" xfId="2485" xr:uid="{00000000-0005-0000-0000-0000CA080000}"/>
    <cellStyle name="Normal 2 4 5 5" xfId="793" xr:uid="{00000000-0005-0000-0000-0000CB080000}"/>
    <cellStyle name="Normal 2 4 5 5 2" xfId="3032" xr:uid="{00000000-0005-0000-0000-0000CC080000}"/>
    <cellStyle name="Normal 2 4 5 6" xfId="1215" xr:uid="{00000000-0005-0000-0000-0000CD080000}"/>
    <cellStyle name="Normal 2 4 5 6 2" xfId="3445" xr:uid="{00000000-0005-0000-0000-0000CE080000}"/>
    <cellStyle name="Normal 2 4 5 7" xfId="1628" xr:uid="{00000000-0005-0000-0000-0000CF080000}"/>
    <cellStyle name="Normal 2 4 5 7 2" xfId="3858" xr:uid="{00000000-0005-0000-0000-0000D0080000}"/>
    <cellStyle name="Normal 2 4 5 8" xfId="2042" xr:uid="{00000000-0005-0000-0000-0000D1080000}"/>
    <cellStyle name="Normal 2 4 5 8 2" xfId="4271" xr:uid="{00000000-0005-0000-0000-0000D2080000}"/>
    <cellStyle name="Normal 2 4 5 9" xfId="2478" xr:uid="{00000000-0005-0000-0000-0000D3080000}"/>
    <cellStyle name="Normal 2 4 6" xfId="311" xr:uid="{00000000-0005-0000-0000-0000D4080000}"/>
    <cellStyle name="Normal 2 4 7" xfId="312" xr:uid="{00000000-0005-0000-0000-0000D5080000}"/>
    <cellStyle name="Normal 2 4 7 2" xfId="313" xr:uid="{00000000-0005-0000-0000-0000D6080000}"/>
    <cellStyle name="Normal 2 4 7 2 2" xfId="802" xr:uid="{00000000-0005-0000-0000-0000D7080000}"/>
    <cellStyle name="Normal 2 4 7 2 2 2" xfId="3041" xr:uid="{00000000-0005-0000-0000-0000D8080000}"/>
    <cellStyle name="Normal 2 4 7 2 3" xfId="1224" xr:uid="{00000000-0005-0000-0000-0000D9080000}"/>
    <cellStyle name="Normal 2 4 7 2 3 2" xfId="3454" xr:uid="{00000000-0005-0000-0000-0000DA080000}"/>
    <cellStyle name="Normal 2 4 7 2 4" xfId="1637" xr:uid="{00000000-0005-0000-0000-0000DB080000}"/>
    <cellStyle name="Normal 2 4 7 2 4 2" xfId="3867" xr:uid="{00000000-0005-0000-0000-0000DC080000}"/>
    <cellStyle name="Normal 2 4 7 2 5" xfId="2051" xr:uid="{00000000-0005-0000-0000-0000DD080000}"/>
    <cellStyle name="Normal 2 4 7 2 5 2" xfId="4280" xr:uid="{00000000-0005-0000-0000-0000DE080000}"/>
    <cellStyle name="Normal 2 4 7 2 6" xfId="2487" xr:uid="{00000000-0005-0000-0000-0000DF080000}"/>
    <cellStyle name="Normal 2 4 7 3" xfId="801" xr:uid="{00000000-0005-0000-0000-0000E0080000}"/>
    <cellStyle name="Normal 2 4 7 3 2" xfId="3040" xr:uid="{00000000-0005-0000-0000-0000E1080000}"/>
    <cellStyle name="Normal 2 4 7 4" xfId="1223" xr:uid="{00000000-0005-0000-0000-0000E2080000}"/>
    <cellStyle name="Normal 2 4 7 4 2" xfId="3453" xr:uid="{00000000-0005-0000-0000-0000E3080000}"/>
    <cellStyle name="Normal 2 4 7 5" xfId="1636" xr:uid="{00000000-0005-0000-0000-0000E4080000}"/>
    <cellStyle name="Normal 2 4 7 5 2" xfId="3866" xr:uid="{00000000-0005-0000-0000-0000E5080000}"/>
    <cellStyle name="Normal 2 4 7 6" xfId="2050" xr:uid="{00000000-0005-0000-0000-0000E6080000}"/>
    <cellStyle name="Normal 2 4 7 6 2" xfId="4279" xr:uid="{00000000-0005-0000-0000-0000E7080000}"/>
    <cellStyle name="Normal 2 4 7 7" xfId="2486" xr:uid="{00000000-0005-0000-0000-0000E8080000}"/>
    <cellStyle name="Normal 2 4 8" xfId="314" xr:uid="{00000000-0005-0000-0000-0000E9080000}"/>
    <cellStyle name="Normal 2 4 8 2" xfId="803" xr:uid="{00000000-0005-0000-0000-0000EA080000}"/>
    <cellStyle name="Normal 2 4 8 2 2" xfId="3042" xr:uid="{00000000-0005-0000-0000-0000EB080000}"/>
    <cellStyle name="Normal 2 4 8 3" xfId="1225" xr:uid="{00000000-0005-0000-0000-0000EC080000}"/>
    <cellStyle name="Normal 2 4 8 3 2" xfId="3455" xr:uid="{00000000-0005-0000-0000-0000ED080000}"/>
    <cellStyle name="Normal 2 4 8 4" xfId="1638" xr:uid="{00000000-0005-0000-0000-0000EE080000}"/>
    <cellStyle name="Normal 2 4 8 4 2" xfId="3868" xr:uid="{00000000-0005-0000-0000-0000EF080000}"/>
    <cellStyle name="Normal 2 4 8 5" xfId="2052" xr:uid="{00000000-0005-0000-0000-0000F0080000}"/>
    <cellStyle name="Normal 2 4 8 5 2" xfId="4281" xr:uid="{00000000-0005-0000-0000-0000F1080000}"/>
    <cellStyle name="Normal 2 4 8 6" xfId="2488" xr:uid="{00000000-0005-0000-0000-0000F2080000}"/>
    <cellStyle name="Normal 2 5" xfId="315" xr:uid="{00000000-0005-0000-0000-0000F3080000}"/>
    <cellStyle name="Normal 2 5 2" xfId="316" xr:uid="{00000000-0005-0000-0000-0000F4080000}"/>
    <cellStyle name="Normal 2 5 3" xfId="317" xr:uid="{00000000-0005-0000-0000-0000F5080000}"/>
    <cellStyle name="Normal 2 5 4" xfId="318" xr:uid="{00000000-0005-0000-0000-0000F6080000}"/>
    <cellStyle name="Normal 2 5 4 2" xfId="319" xr:uid="{00000000-0005-0000-0000-0000F7080000}"/>
    <cellStyle name="Normal 2 5 4 2 2" xfId="320" xr:uid="{00000000-0005-0000-0000-0000F8080000}"/>
    <cellStyle name="Normal 2 5 4 2 2 2" xfId="807" xr:uid="{00000000-0005-0000-0000-0000F9080000}"/>
    <cellStyle name="Normal 2 5 4 2 2 2 2" xfId="3046" xr:uid="{00000000-0005-0000-0000-0000FA080000}"/>
    <cellStyle name="Normal 2 5 4 2 2 3" xfId="1229" xr:uid="{00000000-0005-0000-0000-0000FB080000}"/>
    <cellStyle name="Normal 2 5 4 2 2 3 2" xfId="3459" xr:uid="{00000000-0005-0000-0000-0000FC080000}"/>
    <cellStyle name="Normal 2 5 4 2 2 4" xfId="1642" xr:uid="{00000000-0005-0000-0000-0000FD080000}"/>
    <cellStyle name="Normal 2 5 4 2 2 4 2" xfId="3872" xr:uid="{00000000-0005-0000-0000-0000FE080000}"/>
    <cellStyle name="Normal 2 5 4 2 2 5" xfId="2056" xr:uid="{00000000-0005-0000-0000-0000FF080000}"/>
    <cellStyle name="Normal 2 5 4 2 2 5 2" xfId="4285" xr:uid="{00000000-0005-0000-0000-000000090000}"/>
    <cellStyle name="Normal 2 5 4 2 2 6" xfId="2492" xr:uid="{00000000-0005-0000-0000-000001090000}"/>
    <cellStyle name="Normal 2 5 4 2 3" xfId="806" xr:uid="{00000000-0005-0000-0000-000002090000}"/>
    <cellStyle name="Normal 2 5 4 2 3 2" xfId="3045" xr:uid="{00000000-0005-0000-0000-000003090000}"/>
    <cellStyle name="Normal 2 5 4 2 4" xfId="1228" xr:uid="{00000000-0005-0000-0000-000004090000}"/>
    <cellStyle name="Normal 2 5 4 2 4 2" xfId="3458" xr:uid="{00000000-0005-0000-0000-000005090000}"/>
    <cellStyle name="Normal 2 5 4 2 5" xfId="1641" xr:uid="{00000000-0005-0000-0000-000006090000}"/>
    <cellStyle name="Normal 2 5 4 2 5 2" xfId="3871" xr:uid="{00000000-0005-0000-0000-000007090000}"/>
    <cellStyle name="Normal 2 5 4 2 6" xfId="2055" xr:uid="{00000000-0005-0000-0000-000008090000}"/>
    <cellStyle name="Normal 2 5 4 2 6 2" xfId="4284" xr:uid="{00000000-0005-0000-0000-000009090000}"/>
    <cellStyle name="Normal 2 5 4 2 7" xfId="2491" xr:uid="{00000000-0005-0000-0000-00000A090000}"/>
    <cellStyle name="Normal 2 5 4 3" xfId="321" xr:uid="{00000000-0005-0000-0000-00000B090000}"/>
    <cellStyle name="Normal 2 5 4 3 2" xfId="808" xr:uid="{00000000-0005-0000-0000-00000C090000}"/>
    <cellStyle name="Normal 2 5 4 3 2 2" xfId="3047" xr:uid="{00000000-0005-0000-0000-00000D090000}"/>
    <cellStyle name="Normal 2 5 4 3 3" xfId="1230" xr:uid="{00000000-0005-0000-0000-00000E090000}"/>
    <cellStyle name="Normal 2 5 4 3 3 2" xfId="3460" xr:uid="{00000000-0005-0000-0000-00000F090000}"/>
    <cellStyle name="Normal 2 5 4 3 4" xfId="1643" xr:uid="{00000000-0005-0000-0000-000010090000}"/>
    <cellStyle name="Normal 2 5 4 3 4 2" xfId="3873" xr:uid="{00000000-0005-0000-0000-000011090000}"/>
    <cellStyle name="Normal 2 5 4 3 5" xfId="2057" xr:uid="{00000000-0005-0000-0000-000012090000}"/>
    <cellStyle name="Normal 2 5 4 3 5 2" xfId="4286" xr:uid="{00000000-0005-0000-0000-000013090000}"/>
    <cellStyle name="Normal 2 5 4 3 6" xfId="2493" xr:uid="{00000000-0005-0000-0000-000014090000}"/>
    <cellStyle name="Normal 2 5 4 4" xfId="805" xr:uid="{00000000-0005-0000-0000-000015090000}"/>
    <cellStyle name="Normal 2 5 4 4 2" xfId="3044" xr:uid="{00000000-0005-0000-0000-000016090000}"/>
    <cellStyle name="Normal 2 5 4 5" xfId="1227" xr:uid="{00000000-0005-0000-0000-000017090000}"/>
    <cellStyle name="Normal 2 5 4 5 2" xfId="3457" xr:uid="{00000000-0005-0000-0000-000018090000}"/>
    <cellStyle name="Normal 2 5 4 6" xfId="1640" xr:uid="{00000000-0005-0000-0000-000019090000}"/>
    <cellStyle name="Normal 2 5 4 6 2" xfId="3870" xr:uid="{00000000-0005-0000-0000-00001A090000}"/>
    <cellStyle name="Normal 2 5 4 7" xfId="2054" xr:uid="{00000000-0005-0000-0000-00001B090000}"/>
    <cellStyle name="Normal 2 5 4 7 2" xfId="4283" xr:uid="{00000000-0005-0000-0000-00001C090000}"/>
    <cellStyle name="Normal 2 5 4 8" xfId="2490" xr:uid="{00000000-0005-0000-0000-00001D090000}"/>
    <cellStyle name="Normal 2 5 5" xfId="804" xr:uid="{00000000-0005-0000-0000-00001E090000}"/>
    <cellStyle name="Normal 2 5 5 2" xfId="3043" xr:uid="{00000000-0005-0000-0000-00001F090000}"/>
    <cellStyle name="Normal 2 5 6" xfId="1226" xr:uid="{00000000-0005-0000-0000-000020090000}"/>
    <cellStyle name="Normal 2 5 6 2" xfId="3456" xr:uid="{00000000-0005-0000-0000-000021090000}"/>
    <cellStyle name="Normal 2 5 7" xfId="1639" xr:uid="{00000000-0005-0000-0000-000022090000}"/>
    <cellStyle name="Normal 2 5 7 2" xfId="3869" xr:uid="{00000000-0005-0000-0000-000023090000}"/>
    <cellStyle name="Normal 2 5 8" xfId="2053" xr:uid="{00000000-0005-0000-0000-000024090000}"/>
    <cellStyle name="Normal 2 5 8 2" xfId="4282" xr:uid="{00000000-0005-0000-0000-000025090000}"/>
    <cellStyle name="Normal 2 5 9" xfId="2489" xr:uid="{00000000-0005-0000-0000-000026090000}"/>
    <cellStyle name="Normal 2 6" xfId="322" xr:uid="{00000000-0005-0000-0000-000027090000}"/>
    <cellStyle name="Normal 2 7" xfId="770" xr:uid="{00000000-0005-0000-0000-000028090000}"/>
    <cellStyle name="Normal 3" xfId="323" xr:uid="{00000000-0005-0000-0000-000029090000}"/>
    <cellStyle name="Normal 3 2" xfId="324" xr:uid="{00000000-0005-0000-0000-00002A090000}"/>
    <cellStyle name="Normal 3 2 2" xfId="325" xr:uid="{00000000-0005-0000-0000-00002B090000}"/>
    <cellStyle name="Normal 3 2 2 2" xfId="811" xr:uid="{00000000-0005-0000-0000-00002C090000}"/>
    <cellStyle name="Normal 3 2 3" xfId="326" xr:uid="{00000000-0005-0000-0000-00002D090000}"/>
    <cellStyle name="Normal 3 2 3 2" xfId="327" xr:uid="{00000000-0005-0000-0000-00002E090000}"/>
    <cellStyle name="Normal 3 2 3 2 2" xfId="328" xr:uid="{00000000-0005-0000-0000-00002F090000}"/>
    <cellStyle name="Normal 3 2 3 2 2 2" xfId="814" xr:uid="{00000000-0005-0000-0000-000030090000}"/>
    <cellStyle name="Normal 3 2 3 2 2 2 2" xfId="3051" xr:uid="{00000000-0005-0000-0000-000031090000}"/>
    <cellStyle name="Normal 3 2 3 2 2 3" xfId="1234" xr:uid="{00000000-0005-0000-0000-000032090000}"/>
    <cellStyle name="Normal 3 2 3 2 2 3 2" xfId="3464" xr:uid="{00000000-0005-0000-0000-000033090000}"/>
    <cellStyle name="Normal 3 2 3 2 2 4" xfId="1647" xr:uid="{00000000-0005-0000-0000-000034090000}"/>
    <cellStyle name="Normal 3 2 3 2 2 4 2" xfId="3877" xr:uid="{00000000-0005-0000-0000-000035090000}"/>
    <cellStyle name="Normal 3 2 3 2 2 5" xfId="2061" xr:uid="{00000000-0005-0000-0000-000036090000}"/>
    <cellStyle name="Normal 3 2 3 2 2 5 2" xfId="4290" xr:uid="{00000000-0005-0000-0000-000037090000}"/>
    <cellStyle name="Normal 3 2 3 2 2 6" xfId="2497" xr:uid="{00000000-0005-0000-0000-000038090000}"/>
    <cellStyle name="Normal 3 2 3 2 3" xfId="813" xr:uid="{00000000-0005-0000-0000-000039090000}"/>
    <cellStyle name="Normal 3 2 3 2 3 2" xfId="3050" xr:uid="{00000000-0005-0000-0000-00003A090000}"/>
    <cellStyle name="Normal 3 2 3 2 4" xfId="1233" xr:uid="{00000000-0005-0000-0000-00003B090000}"/>
    <cellStyle name="Normal 3 2 3 2 4 2" xfId="3463" xr:uid="{00000000-0005-0000-0000-00003C090000}"/>
    <cellStyle name="Normal 3 2 3 2 5" xfId="1646" xr:uid="{00000000-0005-0000-0000-00003D090000}"/>
    <cellStyle name="Normal 3 2 3 2 5 2" xfId="3876" xr:uid="{00000000-0005-0000-0000-00003E090000}"/>
    <cellStyle name="Normal 3 2 3 2 6" xfId="2060" xr:uid="{00000000-0005-0000-0000-00003F090000}"/>
    <cellStyle name="Normal 3 2 3 2 6 2" xfId="4289" xr:uid="{00000000-0005-0000-0000-000040090000}"/>
    <cellStyle name="Normal 3 2 3 2 7" xfId="2496" xr:uid="{00000000-0005-0000-0000-000041090000}"/>
    <cellStyle name="Normal 3 2 3 3" xfId="329" xr:uid="{00000000-0005-0000-0000-000042090000}"/>
    <cellStyle name="Normal 3 2 3 3 2" xfId="815" xr:uid="{00000000-0005-0000-0000-000043090000}"/>
    <cellStyle name="Normal 3 2 3 3 2 2" xfId="3052" xr:uid="{00000000-0005-0000-0000-000044090000}"/>
    <cellStyle name="Normal 3 2 3 3 3" xfId="1235" xr:uid="{00000000-0005-0000-0000-000045090000}"/>
    <cellStyle name="Normal 3 2 3 3 3 2" xfId="3465" xr:uid="{00000000-0005-0000-0000-000046090000}"/>
    <cellStyle name="Normal 3 2 3 3 4" xfId="1648" xr:uid="{00000000-0005-0000-0000-000047090000}"/>
    <cellStyle name="Normal 3 2 3 3 4 2" xfId="3878" xr:uid="{00000000-0005-0000-0000-000048090000}"/>
    <cellStyle name="Normal 3 2 3 3 5" xfId="2062" xr:uid="{00000000-0005-0000-0000-000049090000}"/>
    <cellStyle name="Normal 3 2 3 3 5 2" xfId="4291" xr:uid="{00000000-0005-0000-0000-00004A090000}"/>
    <cellStyle name="Normal 3 2 3 3 6" xfId="2498" xr:uid="{00000000-0005-0000-0000-00004B090000}"/>
    <cellStyle name="Normal 3 2 3 4" xfId="812" xr:uid="{00000000-0005-0000-0000-00004C090000}"/>
    <cellStyle name="Normal 3 2 3 4 2" xfId="3049" xr:uid="{00000000-0005-0000-0000-00004D090000}"/>
    <cellStyle name="Normal 3 2 3 5" xfId="1232" xr:uid="{00000000-0005-0000-0000-00004E090000}"/>
    <cellStyle name="Normal 3 2 3 5 2" xfId="3462" xr:uid="{00000000-0005-0000-0000-00004F090000}"/>
    <cellStyle name="Normal 3 2 3 6" xfId="1645" xr:uid="{00000000-0005-0000-0000-000050090000}"/>
    <cellStyle name="Normal 3 2 3 6 2" xfId="3875" xr:uid="{00000000-0005-0000-0000-000051090000}"/>
    <cellStyle name="Normal 3 2 3 7" xfId="2059" xr:uid="{00000000-0005-0000-0000-000052090000}"/>
    <cellStyle name="Normal 3 2 3 7 2" xfId="4288" xr:uid="{00000000-0005-0000-0000-000053090000}"/>
    <cellStyle name="Normal 3 2 3 8" xfId="2495" xr:uid="{00000000-0005-0000-0000-000054090000}"/>
    <cellStyle name="Normal 3 2 4" xfId="810" xr:uid="{00000000-0005-0000-0000-000055090000}"/>
    <cellStyle name="Normal 3 2 4 2" xfId="3048" xr:uid="{00000000-0005-0000-0000-000056090000}"/>
    <cellStyle name="Normal 3 2 5" xfId="1231" xr:uid="{00000000-0005-0000-0000-000057090000}"/>
    <cellStyle name="Normal 3 2 5 2" xfId="3461" xr:uid="{00000000-0005-0000-0000-000058090000}"/>
    <cellStyle name="Normal 3 2 6" xfId="1644" xr:uid="{00000000-0005-0000-0000-000059090000}"/>
    <cellStyle name="Normal 3 2 6 2" xfId="3874" xr:uid="{00000000-0005-0000-0000-00005A090000}"/>
    <cellStyle name="Normal 3 2 7" xfId="2058" xr:uid="{00000000-0005-0000-0000-00005B090000}"/>
    <cellStyle name="Normal 3 2 7 2" xfId="4287" xr:uid="{00000000-0005-0000-0000-00005C090000}"/>
    <cellStyle name="Normal 3 2 8" xfId="2494" xr:uid="{00000000-0005-0000-0000-00005D090000}"/>
    <cellStyle name="Normal 3 3" xfId="330" xr:uid="{00000000-0005-0000-0000-00005E090000}"/>
    <cellStyle name="Normal 3 3 2" xfId="331" xr:uid="{00000000-0005-0000-0000-00005F090000}"/>
    <cellStyle name="Normal 3 3 3" xfId="332" xr:uid="{00000000-0005-0000-0000-000060090000}"/>
    <cellStyle name="Normal 3 4" xfId="333" xr:uid="{00000000-0005-0000-0000-000061090000}"/>
    <cellStyle name="Normal 3 5" xfId="334" xr:uid="{00000000-0005-0000-0000-000062090000}"/>
    <cellStyle name="Normal 3 6" xfId="809" xr:uid="{00000000-0005-0000-0000-000063090000}"/>
    <cellStyle name="Normal 4" xfId="335" xr:uid="{00000000-0005-0000-0000-000064090000}"/>
    <cellStyle name="Normal 4 2" xfId="336" xr:uid="{00000000-0005-0000-0000-000065090000}"/>
    <cellStyle name="Normal 4 2 2" xfId="337" xr:uid="{00000000-0005-0000-0000-000066090000}"/>
    <cellStyle name="Normal 4 2 2 10" xfId="2063" xr:uid="{00000000-0005-0000-0000-000067090000}"/>
    <cellStyle name="Normal 4 2 2 10 2" xfId="4292" xr:uid="{00000000-0005-0000-0000-000068090000}"/>
    <cellStyle name="Normal 4 2 2 11" xfId="2499" xr:uid="{00000000-0005-0000-0000-000069090000}"/>
    <cellStyle name="Normal 4 2 2 2" xfId="338" xr:uid="{00000000-0005-0000-0000-00006A090000}"/>
    <cellStyle name="Normal 4 2 2 3" xfId="339" xr:uid="{00000000-0005-0000-0000-00006B090000}"/>
    <cellStyle name="Normal 4 2 2 3 2" xfId="340" xr:uid="{00000000-0005-0000-0000-00006C090000}"/>
    <cellStyle name="Normal 4 2 2 3 2 2" xfId="341" xr:uid="{00000000-0005-0000-0000-00006D090000}"/>
    <cellStyle name="Normal 4 2 2 3 2 2 2" xfId="342" xr:uid="{00000000-0005-0000-0000-00006E090000}"/>
    <cellStyle name="Normal 4 2 2 3 2 2 2 2" xfId="820" xr:uid="{00000000-0005-0000-0000-00006F090000}"/>
    <cellStyle name="Normal 4 2 2 3 2 2 2 2 2" xfId="3057" xr:uid="{00000000-0005-0000-0000-000070090000}"/>
    <cellStyle name="Normal 4 2 2 3 2 2 2 3" xfId="1240" xr:uid="{00000000-0005-0000-0000-000071090000}"/>
    <cellStyle name="Normal 4 2 2 3 2 2 2 3 2" xfId="3470" xr:uid="{00000000-0005-0000-0000-000072090000}"/>
    <cellStyle name="Normal 4 2 2 3 2 2 2 4" xfId="1653" xr:uid="{00000000-0005-0000-0000-000073090000}"/>
    <cellStyle name="Normal 4 2 2 3 2 2 2 4 2" xfId="3883" xr:uid="{00000000-0005-0000-0000-000074090000}"/>
    <cellStyle name="Normal 4 2 2 3 2 2 2 5" xfId="2067" xr:uid="{00000000-0005-0000-0000-000075090000}"/>
    <cellStyle name="Normal 4 2 2 3 2 2 2 5 2" xfId="4296" xr:uid="{00000000-0005-0000-0000-000076090000}"/>
    <cellStyle name="Normal 4 2 2 3 2 2 2 6" xfId="2503" xr:uid="{00000000-0005-0000-0000-000077090000}"/>
    <cellStyle name="Normal 4 2 2 3 2 2 3" xfId="819" xr:uid="{00000000-0005-0000-0000-000078090000}"/>
    <cellStyle name="Normal 4 2 2 3 2 2 3 2" xfId="3056" xr:uid="{00000000-0005-0000-0000-000079090000}"/>
    <cellStyle name="Normal 4 2 2 3 2 2 4" xfId="1239" xr:uid="{00000000-0005-0000-0000-00007A090000}"/>
    <cellStyle name="Normal 4 2 2 3 2 2 4 2" xfId="3469" xr:uid="{00000000-0005-0000-0000-00007B090000}"/>
    <cellStyle name="Normal 4 2 2 3 2 2 5" xfId="1652" xr:uid="{00000000-0005-0000-0000-00007C090000}"/>
    <cellStyle name="Normal 4 2 2 3 2 2 5 2" xfId="3882" xr:uid="{00000000-0005-0000-0000-00007D090000}"/>
    <cellStyle name="Normal 4 2 2 3 2 2 6" xfId="2066" xr:uid="{00000000-0005-0000-0000-00007E090000}"/>
    <cellStyle name="Normal 4 2 2 3 2 2 6 2" xfId="4295" xr:uid="{00000000-0005-0000-0000-00007F090000}"/>
    <cellStyle name="Normal 4 2 2 3 2 2 7" xfId="2502" xr:uid="{00000000-0005-0000-0000-000080090000}"/>
    <cellStyle name="Normal 4 2 2 3 2 3" xfId="343" xr:uid="{00000000-0005-0000-0000-000081090000}"/>
    <cellStyle name="Normal 4 2 2 3 2 3 2" xfId="821" xr:uid="{00000000-0005-0000-0000-000082090000}"/>
    <cellStyle name="Normal 4 2 2 3 2 3 2 2" xfId="3058" xr:uid="{00000000-0005-0000-0000-000083090000}"/>
    <cellStyle name="Normal 4 2 2 3 2 3 3" xfId="1241" xr:uid="{00000000-0005-0000-0000-000084090000}"/>
    <cellStyle name="Normal 4 2 2 3 2 3 3 2" xfId="3471" xr:uid="{00000000-0005-0000-0000-000085090000}"/>
    <cellStyle name="Normal 4 2 2 3 2 3 4" xfId="1654" xr:uid="{00000000-0005-0000-0000-000086090000}"/>
    <cellStyle name="Normal 4 2 2 3 2 3 4 2" xfId="3884" xr:uid="{00000000-0005-0000-0000-000087090000}"/>
    <cellStyle name="Normal 4 2 2 3 2 3 5" xfId="2068" xr:uid="{00000000-0005-0000-0000-000088090000}"/>
    <cellStyle name="Normal 4 2 2 3 2 3 5 2" xfId="4297" xr:uid="{00000000-0005-0000-0000-000089090000}"/>
    <cellStyle name="Normal 4 2 2 3 2 3 6" xfId="2504" xr:uid="{00000000-0005-0000-0000-00008A090000}"/>
    <cellStyle name="Normal 4 2 2 3 2 4" xfId="818" xr:uid="{00000000-0005-0000-0000-00008B090000}"/>
    <cellStyle name="Normal 4 2 2 3 2 4 2" xfId="3055" xr:uid="{00000000-0005-0000-0000-00008C090000}"/>
    <cellStyle name="Normal 4 2 2 3 2 5" xfId="1238" xr:uid="{00000000-0005-0000-0000-00008D090000}"/>
    <cellStyle name="Normal 4 2 2 3 2 5 2" xfId="3468" xr:uid="{00000000-0005-0000-0000-00008E090000}"/>
    <cellStyle name="Normal 4 2 2 3 2 6" xfId="1651" xr:uid="{00000000-0005-0000-0000-00008F090000}"/>
    <cellStyle name="Normal 4 2 2 3 2 6 2" xfId="3881" xr:uid="{00000000-0005-0000-0000-000090090000}"/>
    <cellStyle name="Normal 4 2 2 3 2 7" xfId="2065" xr:uid="{00000000-0005-0000-0000-000091090000}"/>
    <cellStyle name="Normal 4 2 2 3 2 7 2" xfId="4294" xr:uid="{00000000-0005-0000-0000-000092090000}"/>
    <cellStyle name="Normal 4 2 2 3 2 8" xfId="2501" xr:uid="{00000000-0005-0000-0000-000093090000}"/>
    <cellStyle name="Normal 4 2 2 3 3" xfId="344" xr:uid="{00000000-0005-0000-0000-000094090000}"/>
    <cellStyle name="Normal 4 2 2 3 3 2" xfId="345" xr:uid="{00000000-0005-0000-0000-000095090000}"/>
    <cellStyle name="Normal 4 2 2 3 3 2 2" xfId="823" xr:uid="{00000000-0005-0000-0000-000096090000}"/>
    <cellStyle name="Normal 4 2 2 3 3 2 2 2" xfId="3060" xr:uid="{00000000-0005-0000-0000-000097090000}"/>
    <cellStyle name="Normal 4 2 2 3 3 2 3" xfId="1243" xr:uid="{00000000-0005-0000-0000-000098090000}"/>
    <cellStyle name="Normal 4 2 2 3 3 2 3 2" xfId="3473" xr:uid="{00000000-0005-0000-0000-000099090000}"/>
    <cellStyle name="Normal 4 2 2 3 3 2 4" xfId="1656" xr:uid="{00000000-0005-0000-0000-00009A090000}"/>
    <cellStyle name="Normal 4 2 2 3 3 2 4 2" xfId="3886" xr:uid="{00000000-0005-0000-0000-00009B090000}"/>
    <cellStyle name="Normal 4 2 2 3 3 2 5" xfId="2070" xr:uid="{00000000-0005-0000-0000-00009C090000}"/>
    <cellStyle name="Normal 4 2 2 3 3 2 5 2" xfId="4299" xr:uid="{00000000-0005-0000-0000-00009D090000}"/>
    <cellStyle name="Normal 4 2 2 3 3 2 6" xfId="2506" xr:uid="{00000000-0005-0000-0000-00009E090000}"/>
    <cellStyle name="Normal 4 2 2 3 3 3" xfId="822" xr:uid="{00000000-0005-0000-0000-00009F090000}"/>
    <cellStyle name="Normal 4 2 2 3 3 3 2" xfId="3059" xr:uid="{00000000-0005-0000-0000-0000A0090000}"/>
    <cellStyle name="Normal 4 2 2 3 3 4" xfId="1242" xr:uid="{00000000-0005-0000-0000-0000A1090000}"/>
    <cellStyle name="Normal 4 2 2 3 3 4 2" xfId="3472" xr:uid="{00000000-0005-0000-0000-0000A2090000}"/>
    <cellStyle name="Normal 4 2 2 3 3 5" xfId="1655" xr:uid="{00000000-0005-0000-0000-0000A3090000}"/>
    <cellStyle name="Normal 4 2 2 3 3 5 2" xfId="3885" xr:uid="{00000000-0005-0000-0000-0000A4090000}"/>
    <cellStyle name="Normal 4 2 2 3 3 6" xfId="2069" xr:uid="{00000000-0005-0000-0000-0000A5090000}"/>
    <cellStyle name="Normal 4 2 2 3 3 6 2" xfId="4298" xr:uid="{00000000-0005-0000-0000-0000A6090000}"/>
    <cellStyle name="Normal 4 2 2 3 3 7" xfId="2505" xr:uid="{00000000-0005-0000-0000-0000A7090000}"/>
    <cellStyle name="Normal 4 2 2 3 4" xfId="346" xr:uid="{00000000-0005-0000-0000-0000A8090000}"/>
    <cellStyle name="Normal 4 2 2 3 4 2" xfId="824" xr:uid="{00000000-0005-0000-0000-0000A9090000}"/>
    <cellStyle name="Normal 4 2 2 3 4 2 2" xfId="3061" xr:uid="{00000000-0005-0000-0000-0000AA090000}"/>
    <cellStyle name="Normal 4 2 2 3 4 3" xfId="1244" xr:uid="{00000000-0005-0000-0000-0000AB090000}"/>
    <cellStyle name="Normal 4 2 2 3 4 3 2" xfId="3474" xr:uid="{00000000-0005-0000-0000-0000AC090000}"/>
    <cellStyle name="Normal 4 2 2 3 4 4" xfId="1657" xr:uid="{00000000-0005-0000-0000-0000AD090000}"/>
    <cellStyle name="Normal 4 2 2 3 4 4 2" xfId="3887" xr:uid="{00000000-0005-0000-0000-0000AE090000}"/>
    <cellStyle name="Normal 4 2 2 3 4 5" xfId="2071" xr:uid="{00000000-0005-0000-0000-0000AF090000}"/>
    <cellStyle name="Normal 4 2 2 3 4 5 2" xfId="4300" xr:uid="{00000000-0005-0000-0000-0000B0090000}"/>
    <cellStyle name="Normal 4 2 2 3 4 6" xfId="2507" xr:uid="{00000000-0005-0000-0000-0000B1090000}"/>
    <cellStyle name="Normal 4 2 2 3 5" xfId="817" xr:uid="{00000000-0005-0000-0000-0000B2090000}"/>
    <cellStyle name="Normal 4 2 2 3 5 2" xfId="3054" xr:uid="{00000000-0005-0000-0000-0000B3090000}"/>
    <cellStyle name="Normal 4 2 2 3 6" xfId="1237" xr:uid="{00000000-0005-0000-0000-0000B4090000}"/>
    <cellStyle name="Normal 4 2 2 3 6 2" xfId="3467" xr:uid="{00000000-0005-0000-0000-0000B5090000}"/>
    <cellStyle name="Normal 4 2 2 3 7" xfId="1650" xr:uid="{00000000-0005-0000-0000-0000B6090000}"/>
    <cellStyle name="Normal 4 2 2 3 7 2" xfId="3880" xr:uid="{00000000-0005-0000-0000-0000B7090000}"/>
    <cellStyle name="Normal 4 2 2 3 8" xfId="2064" xr:uid="{00000000-0005-0000-0000-0000B8090000}"/>
    <cellStyle name="Normal 4 2 2 3 8 2" xfId="4293" xr:uid="{00000000-0005-0000-0000-0000B9090000}"/>
    <cellStyle name="Normal 4 2 2 3 9" xfId="2500" xr:uid="{00000000-0005-0000-0000-0000BA090000}"/>
    <cellStyle name="Normal 4 2 2 4" xfId="347" xr:uid="{00000000-0005-0000-0000-0000BB090000}"/>
    <cellStyle name="Normal 4 2 2 4 2" xfId="348" xr:uid="{00000000-0005-0000-0000-0000BC090000}"/>
    <cellStyle name="Normal 4 2 2 4 2 2" xfId="349" xr:uid="{00000000-0005-0000-0000-0000BD090000}"/>
    <cellStyle name="Normal 4 2 2 4 2 2 2" xfId="827" xr:uid="{00000000-0005-0000-0000-0000BE090000}"/>
    <cellStyle name="Normal 4 2 2 4 2 2 2 2" xfId="3064" xr:uid="{00000000-0005-0000-0000-0000BF090000}"/>
    <cellStyle name="Normal 4 2 2 4 2 2 3" xfId="1247" xr:uid="{00000000-0005-0000-0000-0000C0090000}"/>
    <cellStyle name="Normal 4 2 2 4 2 2 3 2" xfId="3477" xr:uid="{00000000-0005-0000-0000-0000C1090000}"/>
    <cellStyle name="Normal 4 2 2 4 2 2 4" xfId="1660" xr:uid="{00000000-0005-0000-0000-0000C2090000}"/>
    <cellStyle name="Normal 4 2 2 4 2 2 4 2" xfId="3890" xr:uid="{00000000-0005-0000-0000-0000C3090000}"/>
    <cellStyle name="Normal 4 2 2 4 2 2 5" xfId="2074" xr:uid="{00000000-0005-0000-0000-0000C4090000}"/>
    <cellStyle name="Normal 4 2 2 4 2 2 5 2" xfId="4303" xr:uid="{00000000-0005-0000-0000-0000C5090000}"/>
    <cellStyle name="Normal 4 2 2 4 2 2 6" xfId="2510" xr:uid="{00000000-0005-0000-0000-0000C6090000}"/>
    <cellStyle name="Normal 4 2 2 4 2 3" xfId="826" xr:uid="{00000000-0005-0000-0000-0000C7090000}"/>
    <cellStyle name="Normal 4 2 2 4 2 3 2" xfId="3063" xr:uid="{00000000-0005-0000-0000-0000C8090000}"/>
    <cellStyle name="Normal 4 2 2 4 2 4" xfId="1246" xr:uid="{00000000-0005-0000-0000-0000C9090000}"/>
    <cellStyle name="Normal 4 2 2 4 2 4 2" xfId="3476" xr:uid="{00000000-0005-0000-0000-0000CA090000}"/>
    <cellStyle name="Normal 4 2 2 4 2 5" xfId="1659" xr:uid="{00000000-0005-0000-0000-0000CB090000}"/>
    <cellStyle name="Normal 4 2 2 4 2 5 2" xfId="3889" xr:uid="{00000000-0005-0000-0000-0000CC090000}"/>
    <cellStyle name="Normal 4 2 2 4 2 6" xfId="2073" xr:uid="{00000000-0005-0000-0000-0000CD090000}"/>
    <cellStyle name="Normal 4 2 2 4 2 6 2" xfId="4302" xr:uid="{00000000-0005-0000-0000-0000CE090000}"/>
    <cellStyle name="Normal 4 2 2 4 2 7" xfId="2509" xr:uid="{00000000-0005-0000-0000-0000CF090000}"/>
    <cellStyle name="Normal 4 2 2 4 3" xfId="350" xr:uid="{00000000-0005-0000-0000-0000D0090000}"/>
    <cellStyle name="Normal 4 2 2 4 3 2" xfId="828" xr:uid="{00000000-0005-0000-0000-0000D1090000}"/>
    <cellStyle name="Normal 4 2 2 4 3 2 2" xfId="3065" xr:uid="{00000000-0005-0000-0000-0000D2090000}"/>
    <cellStyle name="Normal 4 2 2 4 3 3" xfId="1248" xr:uid="{00000000-0005-0000-0000-0000D3090000}"/>
    <cellStyle name="Normal 4 2 2 4 3 3 2" xfId="3478" xr:uid="{00000000-0005-0000-0000-0000D4090000}"/>
    <cellStyle name="Normal 4 2 2 4 3 4" xfId="1661" xr:uid="{00000000-0005-0000-0000-0000D5090000}"/>
    <cellStyle name="Normal 4 2 2 4 3 4 2" xfId="3891" xr:uid="{00000000-0005-0000-0000-0000D6090000}"/>
    <cellStyle name="Normal 4 2 2 4 3 5" xfId="2075" xr:uid="{00000000-0005-0000-0000-0000D7090000}"/>
    <cellStyle name="Normal 4 2 2 4 3 5 2" xfId="4304" xr:uid="{00000000-0005-0000-0000-0000D8090000}"/>
    <cellStyle name="Normal 4 2 2 4 3 6" xfId="2511" xr:uid="{00000000-0005-0000-0000-0000D9090000}"/>
    <cellStyle name="Normal 4 2 2 4 4" xfId="825" xr:uid="{00000000-0005-0000-0000-0000DA090000}"/>
    <cellStyle name="Normal 4 2 2 4 4 2" xfId="3062" xr:uid="{00000000-0005-0000-0000-0000DB090000}"/>
    <cellStyle name="Normal 4 2 2 4 5" xfId="1245" xr:uid="{00000000-0005-0000-0000-0000DC090000}"/>
    <cellStyle name="Normal 4 2 2 4 5 2" xfId="3475" xr:uid="{00000000-0005-0000-0000-0000DD090000}"/>
    <cellStyle name="Normal 4 2 2 4 6" xfId="1658" xr:uid="{00000000-0005-0000-0000-0000DE090000}"/>
    <cellStyle name="Normal 4 2 2 4 6 2" xfId="3888" xr:uid="{00000000-0005-0000-0000-0000DF090000}"/>
    <cellStyle name="Normal 4 2 2 4 7" xfId="2072" xr:uid="{00000000-0005-0000-0000-0000E0090000}"/>
    <cellStyle name="Normal 4 2 2 4 7 2" xfId="4301" xr:uid="{00000000-0005-0000-0000-0000E1090000}"/>
    <cellStyle name="Normal 4 2 2 4 8" xfId="2508" xr:uid="{00000000-0005-0000-0000-0000E2090000}"/>
    <cellStyle name="Normal 4 2 2 5" xfId="351" xr:uid="{00000000-0005-0000-0000-0000E3090000}"/>
    <cellStyle name="Normal 4 2 2 5 2" xfId="352" xr:uid="{00000000-0005-0000-0000-0000E4090000}"/>
    <cellStyle name="Normal 4 2 2 5 2 2" xfId="830" xr:uid="{00000000-0005-0000-0000-0000E5090000}"/>
    <cellStyle name="Normal 4 2 2 5 2 2 2" xfId="3067" xr:uid="{00000000-0005-0000-0000-0000E6090000}"/>
    <cellStyle name="Normal 4 2 2 5 2 3" xfId="1250" xr:uid="{00000000-0005-0000-0000-0000E7090000}"/>
    <cellStyle name="Normal 4 2 2 5 2 3 2" xfId="3480" xr:uid="{00000000-0005-0000-0000-0000E8090000}"/>
    <cellStyle name="Normal 4 2 2 5 2 4" xfId="1663" xr:uid="{00000000-0005-0000-0000-0000E9090000}"/>
    <cellStyle name="Normal 4 2 2 5 2 4 2" xfId="3893" xr:uid="{00000000-0005-0000-0000-0000EA090000}"/>
    <cellStyle name="Normal 4 2 2 5 2 5" xfId="2077" xr:uid="{00000000-0005-0000-0000-0000EB090000}"/>
    <cellStyle name="Normal 4 2 2 5 2 5 2" xfId="4306" xr:uid="{00000000-0005-0000-0000-0000EC090000}"/>
    <cellStyle name="Normal 4 2 2 5 2 6" xfId="2513" xr:uid="{00000000-0005-0000-0000-0000ED090000}"/>
    <cellStyle name="Normal 4 2 2 5 3" xfId="829" xr:uid="{00000000-0005-0000-0000-0000EE090000}"/>
    <cellStyle name="Normal 4 2 2 5 3 2" xfId="3066" xr:uid="{00000000-0005-0000-0000-0000EF090000}"/>
    <cellStyle name="Normal 4 2 2 5 4" xfId="1249" xr:uid="{00000000-0005-0000-0000-0000F0090000}"/>
    <cellStyle name="Normal 4 2 2 5 4 2" xfId="3479" xr:uid="{00000000-0005-0000-0000-0000F1090000}"/>
    <cellStyle name="Normal 4 2 2 5 5" xfId="1662" xr:uid="{00000000-0005-0000-0000-0000F2090000}"/>
    <cellStyle name="Normal 4 2 2 5 5 2" xfId="3892" xr:uid="{00000000-0005-0000-0000-0000F3090000}"/>
    <cellStyle name="Normal 4 2 2 5 6" xfId="2076" xr:uid="{00000000-0005-0000-0000-0000F4090000}"/>
    <cellStyle name="Normal 4 2 2 5 6 2" xfId="4305" xr:uid="{00000000-0005-0000-0000-0000F5090000}"/>
    <cellStyle name="Normal 4 2 2 5 7" xfId="2512" xr:uid="{00000000-0005-0000-0000-0000F6090000}"/>
    <cellStyle name="Normal 4 2 2 6" xfId="353" xr:uid="{00000000-0005-0000-0000-0000F7090000}"/>
    <cellStyle name="Normal 4 2 2 6 2" xfId="831" xr:uid="{00000000-0005-0000-0000-0000F8090000}"/>
    <cellStyle name="Normal 4 2 2 6 2 2" xfId="3068" xr:uid="{00000000-0005-0000-0000-0000F9090000}"/>
    <cellStyle name="Normal 4 2 2 6 3" xfId="1251" xr:uid="{00000000-0005-0000-0000-0000FA090000}"/>
    <cellStyle name="Normal 4 2 2 6 3 2" xfId="3481" xr:uid="{00000000-0005-0000-0000-0000FB090000}"/>
    <cellStyle name="Normal 4 2 2 6 4" xfId="1664" xr:uid="{00000000-0005-0000-0000-0000FC090000}"/>
    <cellStyle name="Normal 4 2 2 6 4 2" xfId="3894" xr:uid="{00000000-0005-0000-0000-0000FD090000}"/>
    <cellStyle name="Normal 4 2 2 6 5" xfId="2078" xr:uid="{00000000-0005-0000-0000-0000FE090000}"/>
    <cellStyle name="Normal 4 2 2 6 5 2" xfId="4307" xr:uid="{00000000-0005-0000-0000-0000FF090000}"/>
    <cellStyle name="Normal 4 2 2 6 6" xfId="2514" xr:uid="{00000000-0005-0000-0000-0000000A0000}"/>
    <cellStyle name="Normal 4 2 2 7" xfId="816" xr:uid="{00000000-0005-0000-0000-0000010A0000}"/>
    <cellStyle name="Normal 4 2 2 7 2" xfId="3053" xr:uid="{00000000-0005-0000-0000-0000020A0000}"/>
    <cellStyle name="Normal 4 2 2 8" xfId="1236" xr:uid="{00000000-0005-0000-0000-0000030A0000}"/>
    <cellStyle name="Normal 4 2 2 8 2" xfId="3466" xr:uid="{00000000-0005-0000-0000-0000040A0000}"/>
    <cellStyle name="Normal 4 2 2 9" xfId="1649" xr:uid="{00000000-0005-0000-0000-0000050A0000}"/>
    <cellStyle name="Normal 4 2 2 9 2" xfId="3879" xr:uid="{00000000-0005-0000-0000-0000060A0000}"/>
    <cellStyle name="Normal 4 2 3" xfId="354" xr:uid="{00000000-0005-0000-0000-0000070A0000}"/>
    <cellStyle name="Normal 4 2 4" xfId="355" xr:uid="{00000000-0005-0000-0000-0000080A0000}"/>
    <cellStyle name="Normal 4 2 4 2" xfId="356" xr:uid="{00000000-0005-0000-0000-0000090A0000}"/>
    <cellStyle name="Normal 4 2 4 2 2" xfId="357" xr:uid="{00000000-0005-0000-0000-00000A0A0000}"/>
    <cellStyle name="Normal 4 2 4 2 2 2" xfId="358" xr:uid="{00000000-0005-0000-0000-00000B0A0000}"/>
    <cellStyle name="Normal 4 2 4 2 2 2 2" xfId="835" xr:uid="{00000000-0005-0000-0000-00000C0A0000}"/>
    <cellStyle name="Normal 4 2 4 2 2 2 2 2" xfId="3072" xr:uid="{00000000-0005-0000-0000-00000D0A0000}"/>
    <cellStyle name="Normal 4 2 4 2 2 2 3" xfId="1255" xr:uid="{00000000-0005-0000-0000-00000E0A0000}"/>
    <cellStyle name="Normal 4 2 4 2 2 2 3 2" xfId="3485" xr:uid="{00000000-0005-0000-0000-00000F0A0000}"/>
    <cellStyle name="Normal 4 2 4 2 2 2 4" xfId="1668" xr:uid="{00000000-0005-0000-0000-0000100A0000}"/>
    <cellStyle name="Normal 4 2 4 2 2 2 4 2" xfId="3898" xr:uid="{00000000-0005-0000-0000-0000110A0000}"/>
    <cellStyle name="Normal 4 2 4 2 2 2 5" xfId="2082" xr:uid="{00000000-0005-0000-0000-0000120A0000}"/>
    <cellStyle name="Normal 4 2 4 2 2 2 5 2" xfId="4311" xr:uid="{00000000-0005-0000-0000-0000130A0000}"/>
    <cellStyle name="Normal 4 2 4 2 2 2 6" xfId="2518" xr:uid="{00000000-0005-0000-0000-0000140A0000}"/>
    <cellStyle name="Normal 4 2 4 2 2 3" xfId="834" xr:uid="{00000000-0005-0000-0000-0000150A0000}"/>
    <cellStyle name="Normal 4 2 4 2 2 3 2" xfId="3071" xr:uid="{00000000-0005-0000-0000-0000160A0000}"/>
    <cellStyle name="Normal 4 2 4 2 2 4" xfId="1254" xr:uid="{00000000-0005-0000-0000-0000170A0000}"/>
    <cellStyle name="Normal 4 2 4 2 2 4 2" xfId="3484" xr:uid="{00000000-0005-0000-0000-0000180A0000}"/>
    <cellStyle name="Normal 4 2 4 2 2 5" xfId="1667" xr:uid="{00000000-0005-0000-0000-0000190A0000}"/>
    <cellStyle name="Normal 4 2 4 2 2 5 2" xfId="3897" xr:uid="{00000000-0005-0000-0000-00001A0A0000}"/>
    <cellStyle name="Normal 4 2 4 2 2 6" xfId="2081" xr:uid="{00000000-0005-0000-0000-00001B0A0000}"/>
    <cellStyle name="Normal 4 2 4 2 2 6 2" xfId="4310" xr:uid="{00000000-0005-0000-0000-00001C0A0000}"/>
    <cellStyle name="Normal 4 2 4 2 2 7" xfId="2517" xr:uid="{00000000-0005-0000-0000-00001D0A0000}"/>
    <cellStyle name="Normal 4 2 4 2 3" xfId="359" xr:uid="{00000000-0005-0000-0000-00001E0A0000}"/>
    <cellStyle name="Normal 4 2 4 2 3 2" xfId="836" xr:uid="{00000000-0005-0000-0000-00001F0A0000}"/>
    <cellStyle name="Normal 4 2 4 2 3 2 2" xfId="3073" xr:uid="{00000000-0005-0000-0000-0000200A0000}"/>
    <cellStyle name="Normal 4 2 4 2 3 3" xfId="1256" xr:uid="{00000000-0005-0000-0000-0000210A0000}"/>
    <cellStyle name="Normal 4 2 4 2 3 3 2" xfId="3486" xr:uid="{00000000-0005-0000-0000-0000220A0000}"/>
    <cellStyle name="Normal 4 2 4 2 3 4" xfId="1669" xr:uid="{00000000-0005-0000-0000-0000230A0000}"/>
    <cellStyle name="Normal 4 2 4 2 3 4 2" xfId="3899" xr:uid="{00000000-0005-0000-0000-0000240A0000}"/>
    <cellStyle name="Normal 4 2 4 2 3 5" xfId="2083" xr:uid="{00000000-0005-0000-0000-0000250A0000}"/>
    <cellStyle name="Normal 4 2 4 2 3 5 2" xfId="4312" xr:uid="{00000000-0005-0000-0000-0000260A0000}"/>
    <cellStyle name="Normal 4 2 4 2 3 6" xfId="2519" xr:uid="{00000000-0005-0000-0000-0000270A0000}"/>
    <cellStyle name="Normal 4 2 4 2 4" xfId="833" xr:uid="{00000000-0005-0000-0000-0000280A0000}"/>
    <cellStyle name="Normal 4 2 4 2 4 2" xfId="3070" xr:uid="{00000000-0005-0000-0000-0000290A0000}"/>
    <cellStyle name="Normal 4 2 4 2 5" xfId="1253" xr:uid="{00000000-0005-0000-0000-00002A0A0000}"/>
    <cellStyle name="Normal 4 2 4 2 5 2" xfId="3483" xr:uid="{00000000-0005-0000-0000-00002B0A0000}"/>
    <cellStyle name="Normal 4 2 4 2 6" xfId="1666" xr:uid="{00000000-0005-0000-0000-00002C0A0000}"/>
    <cellStyle name="Normal 4 2 4 2 6 2" xfId="3896" xr:uid="{00000000-0005-0000-0000-00002D0A0000}"/>
    <cellStyle name="Normal 4 2 4 2 7" xfId="2080" xr:uid="{00000000-0005-0000-0000-00002E0A0000}"/>
    <cellStyle name="Normal 4 2 4 2 7 2" xfId="4309" xr:uid="{00000000-0005-0000-0000-00002F0A0000}"/>
    <cellStyle name="Normal 4 2 4 2 8" xfId="2516" xr:uid="{00000000-0005-0000-0000-0000300A0000}"/>
    <cellStyle name="Normal 4 2 4 3" xfId="360" xr:uid="{00000000-0005-0000-0000-0000310A0000}"/>
    <cellStyle name="Normal 4 2 4 3 2" xfId="361" xr:uid="{00000000-0005-0000-0000-0000320A0000}"/>
    <cellStyle name="Normal 4 2 4 3 2 2" xfId="838" xr:uid="{00000000-0005-0000-0000-0000330A0000}"/>
    <cellStyle name="Normal 4 2 4 3 2 2 2" xfId="3075" xr:uid="{00000000-0005-0000-0000-0000340A0000}"/>
    <cellStyle name="Normal 4 2 4 3 2 3" xfId="1258" xr:uid="{00000000-0005-0000-0000-0000350A0000}"/>
    <cellStyle name="Normal 4 2 4 3 2 3 2" xfId="3488" xr:uid="{00000000-0005-0000-0000-0000360A0000}"/>
    <cellStyle name="Normal 4 2 4 3 2 4" xfId="1671" xr:uid="{00000000-0005-0000-0000-0000370A0000}"/>
    <cellStyle name="Normal 4 2 4 3 2 4 2" xfId="3901" xr:uid="{00000000-0005-0000-0000-0000380A0000}"/>
    <cellStyle name="Normal 4 2 4 3 2 5" xfId="2085" xr:uid="{00000000-0005-0000-0000-0000390A0000}"/>
    <cellStyle name="Normal 4 2 4 3 2 5 2" xfId="4314" xr:uid="{00000000-0005-0000-0000-00003A0A0000}"/>
    <cellStyle name="Normal 4 2 4 3 2 6" xfId="2521" xr:uid="{00000000-0005-0000-0000-00003B0A0000}"/>
    <cellStyle name="Normal 4 2 4 3 3" xfId="837" xr:uid="{00000000-0005-0000-0000-00003C0A0000}"/>
    <cellStyle name="Normal 4 2 4 3 3 2" xfId="3074" xr:uid="{00000000-0005-0000-0000-00003D0A0000}"/>
    <cellStyle name="Normal 4 2 4 3 4" xfId="1257" xr:uid="{00000000-0005-0000-0000-00003E0A0000}"/>
    <cellStyle name="Normal 4 2 4 3 4 2" xfId="3487" xr:uid="{00000000-0005-0000-0000-00003F0A0000}"/>
    <cellStyle name="Normal 4 2 4 3 5" xfId="1670" xr:uid="{00000000-0005-0000-0000-0000400A0000}"/>
    <cellStyle name="Normal 4 2 4 3 5 2" xfId="3900" xr:uid="{00000000-0005-0000-0000-0000410A0000}"/>
    <cellStyle name="Normal 4 2 4 3 6" xfId="2084" xr:uid="{00000000-0005-0000-0000-0000420A0000}"/>
    <cellStyle name="Normal 4 2 4 3 6 2" xfId="4313" xr:uid="{00000000-0005-0000-0000-0000430A0000}"/>
    <cellStyle name="Normal 4 2 4 3 7" xfId="2520" xr:uid="{00000000-0005-0000-0000-0000440A0000}"/>
    <cellStyle name="Normal 4 2 4 4" xfId="362" xr:uid="{00000000-0005-0000-0000-0000450A0000}"/>
    <cellStyle name="Normal 4 2 4 4 2" xfId="839" xr:uid="{00000000-0005-0000-0000-0000460A0000}"/>
    <cellStyle name="Normal 4 2 4 4 2 2" xfId="3076" xr:uid="{00000000-0005-0000-0000-0000470A0000}"/>
    <cellStyle name="Normal 4 2 4 4 3" xfId="1259" xr:uid="{00000000-0005-0000-0000-0000480A0000}"/>
    <cellStyle name="Normal 4 2 4 4 3 2" xfId="3489" xr:uid="{00000000-0005-0000-0000-0000490A0000}"/>
    <cellStyle name="Normal 4 2 4 4 4" xfId="1672" xr:uid="{00000000-0005-0000-0000-00004A0A0000}"/>
    <cellStyle name="Normal 4 2 4 4 4 2" xfId="3902" xr:uid="{00000000-0005-0000-0000-00004B0A0000}"/>
    <cellStyle name="Normal 4 2 4 4 5" xfId="2086" xr:uid="{00000000-0005-0000-0000-00004C0A0000}"/>
    <cellStyle name="Normal 4 2 4 4 5 2" xfId="4315" xr:uid="{00000000-0005-0000-0000-00004D0A0000}"/>
    <cellStyle name="Normal 4 2 4 4 6" xfId="2522" xr:uid="{00000000-0005-0000-0000-00004E0A0000}"/>
    <cellStyle name="Normal 4 2 4 5" xfId="832" xr:uid="{00000000-0005-0000-0000-00004F0A0000}"/>
    <cellStyle name="Normal 4 2 4 5 2" xfId="3069" xr:uid="{00000000-0005-0000-0000-0000500A0000}"/>
    <cellStyle name="Normal 4 2 4 6" xfId="1252" xr:uid="{00000000-0005-0000-0000-0000510A0000}"/>
    <cellStyle name="Normal 4 2 4 6 2" xfId="3482" xr:uid="{00000000-0005-0000-0000-0000520A0000}"/>
    <cellStyle name="Normal 4 2 4 7" xfId="1665" xr:uid="{00000000-0005-0000-0000-0000530A0000}"/>
    <cellStyle name="Normal 4 2 4 7 2" xfId="3895" xr:uid="{00000000-0005-0000-0000-0000540A0000}"/>
    <cellStyle name="Normal 4 2 4 8" xfId="2079" xr:uid="{00000000-0005-0000-0000-0000550A0000}"/>
    <cellStyle name="Normal 4 2 4 8 2" xfId="4308" xr:uid="{00000000-0005-0000-0000-0000560A0000}"/>
    <cellStyle name="Normal 4 2 4 9" xfId="2515" xr:uid="{00000000-0005-0000-0000-0000570A0000}"/>
    <cellStyle name="Normal 4 2 5" xfId="363" xr:uid="{00000000-0005-0000-0000-0000580A0000}"/>
    <cellStyle name="Normal 4 2 5 2" xfId="364" xr:uid="{00000000-0005-0000-0000-0000590A0000}"/>
    <cellStyle name="Normal 4 2 5 2 2" xfId="841" xr:uid="{00000000-0005-0000-0000-00005A0A0000}"/>
    <cellStyle name="Normal 4 2 5 2 2 2" xfId="3078" xr:uid="{00000000-0005-0000-0000-00005B0A0000}"/>
    <cellStyle name="Normal 4 2 5 2 3" xfId="1261" xr:uid="{00000000-0005-0000-0000-00005C0A0000}"/>
    <cellStyle name="Normal 4 2 5 2 3 2" xfId="3491" xr:uid="{00000000-0005-0000-0000-00005D0A0000}"/>
    <cellStyle name="Normal 4 2 5 2 4" xfId="1674" xr:uid="{00000000-0005-0000-0000-00005E0A0000}"/>
    <cellStyle name="Normal 4 2 5 2 4 2" xfId="3904" xr:uid="{00000000-0005-0000-0000-00005F0A0000}"/>
    <cellStyle name="Normal 4 2 5 2 5" xfId="2088" xr:uid="{00000000-0005-0000-0000-0000600A0000}"/>
    <cellStyle name="Normal 4 2 5 2 5 2" xfId="4317" xr:uid="{00000000-0005-0000-0000-0000610A0000}"/>
    <cellStyle name="Normal 4 2 5 2 6" xfId="2524" xr:uid="{00000000-0005-0000-0000-0000620A0000}"/>
    <cellStyle name="Normal 4 2 5 3" xfId="840" xr:uid="{00000000-0005-0000-0000-0000630A0000}"/>
    <cellStyle name="Normal 4 2 5 3 2" xfId="3077" xr:uid="{00000000-0005-0000-0000-0000640A0000}"/>
    <cellStyle name="Normal 4 2 5 4" xfId="1260" xr:uid="{00000000-0005-0000-0000-0000650A0000}"/>
    <cellStyle name="Normal 4 2 5 4 2" xfId="3490" xr:uid="{00000000-0005-0000-0000-0000660A0000}"/>
    <cellStyle name="Normal 4 2 5 5" xfId="1673" xr:uid="{00000000-0005-0000-0000-0000670A0000}"/>
    <cellStyle name="Normal 4 2 5 5 2" xfId="3903" xr:uid="{00000000-0005-0000-0000-0000680A0000}"/>
    <cellStyle name="Normal 4 2 5 6" xfId="2087" xr:uid="{00000000-0005-0000-0000-0000690A0000}"/>
    <cellStyle name="Normal 4 2 5 6 2" xfId="4316" xr:uid="{00000000-0005-0000-0000-00006A0A0000}"/>
    <cellStyle name="Normal 4 2 5 7" xfId="2523" xr:uid="{00000000-0005-0000-0000-00006B0A0000}"/>
    <cellStyle name="Normal 4 2 6" xfId="365" xr:uid="{00000000-0005-0000-0000-00006C0A0000}"/>
    <cellStyle name="Normal 4 2 6 2" xfId="842" xr:uid="{00000000-0005-0000-0000-00006D0A0000}"/>
    <cellStyle name="Normal 4 2 6 2 2" xfId="3079" xr:uid="{00000000-0005-0000-0000-00006E0A0000}"/>
    <cellStyle name="Normal 4 2 6 3" xfId="1262" xr:uid="{00000000-0005-0000-0000-00006F0A0000}"/>
    <cellStyle name="Normal 4 2 6 3 2" xfId="3492" xr:uid="{00000000-0005-0000-0000-0000700A0000}"/>
    <cellStyle name="Normal 4 2 6 4" xfId="1675" xr:uid="{00000000-0005-0000-0000-0000710A0000}"/>
    <cellStyle name="Normal 4 2 6 4 2" xfId="3905" xr:uid="{00000000-0005-0000-0000-0000720A0000}"/>
    <cellStyle name="Normal 4 2 6 5" xfId="2089" xr:uid="{00000000-0005-0000-0000-0000730A0000}"/>
    <cellStyle name="Normal 4 2 6 5 2" xfId="4318" xr:uid="{00000000-0005-0000-0000-0000740A0000}"/>
    <cellStyle name="Normal 4 2 6 6" xfId="2525" xr:uid="{00000000-0005-0000-0000-0000750A0000}"/>
    <cellStyle name="Normal 4 3" xfId="366" xr:uid="{00000000-0005-0000-0000-0000760A0000}"/>
    <cellStyle name="Normal 4 3 2" xfId="367" xr:uid="{00000000-0005-0000-0000-0000770A0000}"/>
    <cellStyle name="Normal 4 3 2 2" xfId="368" xr:uid="{00000000-0005-0000-0000-0000780A0000}"/>
    <cellStyle name="Normal 4 3 2 2 2" xfId="369" xr:uid="{00000000-0005-0000-0000-0000790A0000}"/>
    <cellStyle name="Normal 4 3 2 2 2 2" xfId="370" xr:uid="{00000000-0005-0000-0000-00007A0A0000}"/>
    <cellStyle name="Normal 4 3 2 2 2 2 2" xfId="371" xr:uid="{00000000-0005-0000-0000-00007B0A0000}"/>
    <cellStyle name="Normal 4 3 2 2 2 2 2 2" xfId="847" xr:uid="{00000000-0005-0000-0000-00007C0A0000}"/>
    <cellStyle name="Normal 4 3 2 2 2 2 2 2 2" xfId="3083" xr:uid="{00000000-0005-0000-0000-00007D0A0000}"/>
    <cellStyle name="Normal 4 3 2 2 2 2 2 3" xfId="1266" xr:uid="{00000000-0005-0000-0000-00007E0A0000}"/>
    <cellStyle name="Normal 4 3 2 2 2 2 2 3 2" xfId="3496" xr:uid="{00000000-0005-0000-0000-00007F0A0000}"/>
    <cellStyle name="Normal 4 3 2 2 2 2 2 4" xfId="1679" xr:uid="{00000000-0005-0000-0000-0000800A0000}"/>
    <cellStyle name="Normal 4 3 2 2 2 2 2 4 2" xfId="3909" xr:uid="{00000000-0005-0000-0000-0000810A0000}"/>
    <cellStyle name="Normal 4 3 2 2 2 2 2 5" xfId="2093" xr:uid="{00000000-0005-0000-0000-0000820A0000}"/>
    <cellStyle name="Normal 4 3 2 2 2 2 2 5 2" xfId="4322" xr:uid="{00000000-0005-0000-0000-0000830A0000}"/>
    <cellStyle name="Normal 4 3 2 2 2 2 2 6" xfId="2529" xr:uid="{00000000-0005-0000-0000-0000840A0000}"/>
    <cellStyle name="Normal 4 3 2 2 2 2 3" xfId="846" xr:uid="{00000000-0005-0000-0000-0000850A0000}"/>
    <cellStyle name="Normal 4 3 2 2 2 2 3 2" xfId="3082" xr:uid="{00000000-0005-0000-0000-0000860A0000}"/>
    <cellStyle name="Normal 4 3 2 2 2 2 4" xfId="1265" xr:uid="{00000000-0005-0000-0000-0000870A0000}"/>
    <cellStyle name="Normal 4 3 2 2 2 2 4 2" xfId="3495" xr:uid="{00000000-0005-0000-0000-0000880A0000}"/>
    <cellStyle name="Normal 4 3 2 2 2 2 5" xfId="1678" xr:uid="{00000000-0005-0000-0000-0000890A0000}"/>
    <cellStyle name="Normal 4 3 2 2 2 2 5 2" xfId="3908" xr:uid="{00000000-0005-0000-0000-00008A0A0000}"/>
    <cellStyle name="Normal 4 3 2 2 2 2 6" xfId="2092" xr:uid="{00000000-0005-0000-0000-00008B0A0000}"/>
    <cellStyle name="Normal 4 3 2 2 2 2 6 2" xfId="4321" xr:uid="{00000000-0005-0000-0000-00008C0A0000}"/>
    <cellStyle name="Normal 4 3 2 2 2 2 7" xfId="2528" xr:uid="{00000000-0005-0000-0000-00008D0A0000}"/>
    <cellStyle name="Normal 4 3 2 2 2 3" xfId="372" xr:uid="{00000000-0005-0000-0000-00008E0A0000}"/>
    <cellStyle name="Normal 4 3 2 2 2 3 2" xfId="848" xr:uid="{00000000-0005-0000-0000-00008F0A0000}"/>
    <cellStyle name="Normal 4 3 2 2 2 3 2 2" xfId="3084" xr:uid="{00000000-0005-0000-0000-0000900A0000}"/>
    <cellStyle name="Normal 4 3 2 2 2 3 3" xfId="1267" xr:uid="{00000000-0005-0000-0000-0000910A0000}"/>
    <cellStyle name="Normal 4 3 2 2 2 3 3 2" xfId="3497" xr:uid="{00000000-0005-0000-0000-0000920A0000}"/>
    <cellStyle name="Normal 4 3 2 2 2 3 4" xfId="1680" xr:uid="{00000000-0005-0000-0000-0000930A0000}"/>
    <cellStyle name="Normal 4 3 2 2 2 3 4 2" xfId="3910" xr:uid="{00000000-0005-0000-0000-0000940A0000}"/>
    <cellStyle name="Normal 4 3 2 2 2 3 5" xfId="2094" xr:uid="{00000000-0005-0000-0000-0000950A0000}"/>
    <cellStyle name="Normal 4 3 2 2 2 3 5 2" xfId="4323" xr:uid="{00000000-0005-0000-0000-0000960A0000}"/>
    <cellStyle name="Normal 4 3 2 2 2 3 6" xfId="2530" xr:uid="{00000000-0005-0000-0000-0000970A0000}"/>
    <cellStyle name="Normal 4 3 2 2 2 4" xfId="845" xr:uid="{00000000-0005-0000-0000-0000980A0000}"/>
    <cellStyle name="Normal 4 3 2 2 2 4 2" xfId="3081" xr:uid="{00000000-0005-0000-0000-0000990A0000}"/>
    <cellStyle name="Normal 4 3 2 2 2 5" xfId="1264" xr:uid="{00000000-0005-0000-0000-00009A0A0000}"/>
    <cellStyle name="Normal 4 3 2 2 2 5 2" xfId="3494" xr:uid="{00000000-0005-0000-0000-00009B0A0000}"/>
    <cellStyle name="Normal 4 3 2 2 2 6" xfId="1677" xr:uid="{00000000-0005-0000-0000-00009C0A0000}"/>
    <cellStyle name="Normal 4 3 2 2 2 6 2" xfId="3907" xr:uid="{00000000-0005-0000-0000-00009D0A0000}"/>
    <cellStyle name="Normal 4 3 2 2 2 7" xfId="2091" xr:uid="{00000000-0005-0000-0000-00009E0A0000}"/>
    <cellStyle name="Normal 4 3 2 2 2 7 2" xfId="4320" xr:uid="{00000000-0005-0000-0000-00009F0A0000}"/>
    <cellStyle name="Normal 4 3 2 2 2 8" xfId="2527" xr:uid="{00000000-0005-0000-0000-0000A00A0000}"/>
    <cellStyle name="Normal 4 3 2 3" xfId="373" xr:uid="{00000000-0005-0000-0000-0000A10A0000}"/>
    <cellStyle name="Normal 4 3 2 3 2" xfId="849" xr:uid="{00000000-0005-0000-0000-0000A20A0000}"/>
    <cellStyle name="Normal 4 3 2 4" xfId="844" xr:uid="{00000000-0005-0000-0000-0000A30A0000}"/>
    <cellStyle name="Normal 4 3 3" xfId="374" xr:uid="{00000000-0005-0000-0000-0000A40A0000}"/>
    <cellStyle name="Normal 4 3 3 2" xfId="375" xr:uid="{00000000-0005-0000-0000-0000A50A0000}"/>
    <cellStyle name="Normal 4 3 3 2 2" xfId="376" xr:uid="{00000000-0005-0000-0000-0000A60A0000}"/>
    <cellStyle name="Normal 4 3 3 2 2 2" xfId="852" xr:uid="{00000000-0005-0000-0000-0000A70A0000}"/>
    <cellStyle name="Normal 4 3 3 2 2 2 2" xfId="3087" xr:uid="{00000000-0005-0000-0000-0000A80A0000}"/>
    <cellStyle name="Normal 4 3 3 2 2 3" xfId="1270" xr:uid="{00000000-0005-0000-0000-0000A90A0000}"/>
    <cellStyle name="Normal 4 3 3 2 2 3 2" xfId="3500" xr:uid="{00000000-0005-0000-0000-0000AA0A0000}"/>
    <cellStyle name="Normal 4 3 3 2 2 4" xfId="1683" xr:uid="{00000000-0005-0000-0000-0000AB0A0000}"/>
    <cellStyle name="Normal 4 3 3 2 2 4 2" xfId="3913" xr:uid="{00000000-0005-0000-0000-0000AC0A0000}"/>
    <cellStyle name="Normal 4 3 3 2 2 5" xfId="2097" xr:uid="{00000000-0005-0000-0000-0000AD0A0000}"/>
    <cellStyle name="Normal 4 3 3 2 2 5 2" xfId="4326" xr:uid="{00000000-0005-0000-0000-0000AE0A0000}"/>
    <cellStyle name="Normal 4 3 3 2 2 6" xfId="2533" xr:uid="{00000000-0005-0000-0000-0000AF0A0000}"/>
    <cellStyle name="Normal 4 3 3 2 3" xfId="851" xr:uid="{00000000-0005-0000-0000-0000B00A0000}"/>
    <cellStyle name="Normal 4 3 3 2 3 2" xfId="3086" xr:uid="{00000000-0005-0000-0000-0000B10A0000}"/>
    <cellStyle name="Normal 4 3 3 2 4" xfId="1269" xr:uid="{00000000-0005-0000-0000-0000B20A0000}"/>
    <cellStyle name="Normal 4 3 3 2 4 2" xfId="3499" xr:uid="{00000000-0005-0000-0000-0000B30A0000}"/>
    <cellStyle name="Normal 4 3 3 2 5" xfId="1682" xr:uid="{00000000-0005-0000-0000-0000B40A0000}"/>
    <cellStyle name="Normal 4 3 3 2 5 2" xfId="3912" xr:uid="{00000000-0005-0000-0000-0000B50A0000}"/>
    <cellStyle name="Normal 4 3 3 2 6" xfId="2096" xr:uid="{00000000-0005-0000-0000-0000B60A0000}"/>
    <cellStyle name="Normal 4 3 3 2 6 2" xfId="4325" xr:uid="{00000000-0005-0000-0000-0000B70A0000}"/>
    <cellStyle name="Normal 4 3 3 2 7" xfId="2532" xr:uid="{00000000-0005-0000-0000-0000B80A0000}"/>
    <cellStyle name="Normal 4 3 3 3" xfId="377" xr:uid="{00000000-0005-0000-0000-0000B90A0000}"/>
    <cellStyle name="Normal 4 3 3 3 2" xfId="853" xr:uid="{00000000-0005-0000-0000-0000BA0A0000}"/>
    <cellStyle name="Normal 4 3 3 3 2 2" xfId="3088" xr:uid="{00000000-0005-0000-0000-0000BB0A0000}"/>
    <cellStyle name="Normal 4 3 3 3 3" xfId="1271" xr:uid="{00000000-0005-0000-0000-0000BC0A0000}"/>
    <cellStyle name="Normal 4 3 3 3 3 2" xfId="3501" xr:uid="{00000000-0005-0000-0000-0000BD0A0000}"/>
    <cellStyle name="Normal 4 3 3 3 4" xfId="1684" xr:uid="{00000000-0005-0000-0000-0000BE0A0000}"/>
    <cellStyle name="Normal 4 3 3 3 4 2" xfId="3914" xr:uid="{00000000-0005-0000-0000-0000BF0A0000}"/>
    <cellStyle name="Normal 4 3 3 3 5" xfId="2098" xr:uid="{00000000-0005-0000-0000-0000C00A0000}"/>
    <cellStyle name="Normal 4 3 3 3 5 2" xfId="4327" xr:uid="{00000000-0005-0000-0000-0000C10A0000}"/>
    <cellStyle name="Normal 4 3 3 3 6" xfId="2534" xr:uid="{00000000-0005-0000-0000-0000C20A0000}"/>
    <cellStyle name="Normal 4 3 3 4" xfId="850" xr:uid="{00000000-0005-0000-0000-0000C30A0000}"/>
    <cellStyle name="Normal 4 3 3 4 2" xfId="3085" xr:uid="{00000000-0005-0000-0000-0000C40A0000}"/>
    <cellStyle name="Normal 4 3 3 5" xfId="1268" xr:uid="{00000000-0005-0000-0000-0000C50A0000}"/>
    <cellStyle name="Normal 4 3 3 5 2" xfId="3498" xr:uid="{00000000-0005-0000-0000-0000C60A0000}"/>
    <cellStyle name="Normal 4 3 3 6" xfId="1681" xr:uid="{00000000-0005-0000-0000-0000C70A0000}"/>
    <cellStyle name="Normal 4 3 3 6 2" xfId="3911" xr:uid="{00000000-0005-0000-0000-0000C80A0000}"/>
    <cellStyle name="Normal 4 3 3 7" xfId="2095" xr:uid="{00000000-0005-0000-0000-0000C90A0000}"/>
    <cellStyle name="Normal 4 3 3 7 2" xfId="4324" xr:uid="{00000000-0005-0000-0000-0000CA0A0000}"/>
    <cellStyle name="Normal 4 3 3 8" xfId="2531" xr:uid="{00000000-0005-0000-0000-0000CB0A0000}"/>
    <cellStyle name="Normal 4 3 4" xfId="843" xr:uid="{00000000-0005-0000-0000-0000CC0A0000}"/>
    <cellStyle name="Normal 4 3 4 2" xfId="3080" xr:uid="{00000000-0005-0000-0000-0000CD0A0000}"/>
    <cellStyle name="Normal 4 3 5" xfId="1263" xr:uid="{00000000-0005-0000-0000-0000CE0A0000}"/>
    <cellStyle name="Normal 4 3 5 2" xfId="3493" xr:uid="{00000000-0005-0000-0000-0000CF0A0000}"/>
    <cellStyle name="Normal 4 3 6" xfId="1676" xr:uid="{00000000-0005-0000-0000-0000D00A0000}"/>
    <cellStyle name="Normal 4 3 6 2" xfId="3906" xr:uid="{00000000-0005-0000-0000-0000D10A0000}"/>
    <cellStyle name="Normal 4 3 7" xfId="2090" xr:uid="{00000000-0005-0000-0000-0000D20A0000}"/>
    <cellStyle name="Normal 4 3 7 2" xfId="4319" xr:uid="{00000000-0005-0000-0000-0000D30A0000}"/>
    <cellStyle name="Normal 4 3 8" xfId="2526" xr:uid="{00000000-0005-0000-0000-0000D40A0000}"/>
    <cellStyle name="Normal 4 4" xfId="378" xr:uid="{00000000-0005-0000-0000-0000D50A0000}"/>
    <cellStyle name="Normal 4 4 10" xfId="2535" xr:uid="{00000000-0005-0000-0000-0000D60A0000}"/>
    <cellStyle name="Normal 4 4 2" xfId="379" xr:uid="{00000000-0005-0000-0000-0000D70A0000}"/>
    <cellStyle name="Normal 4 4 2 2" xfId="380" xr:uid="{00000000-0005-0000-0000-0000D80A0000}"/>
    <cellStyle name="Normal 4 4 2 2 2" xfId="381" xr:uid="{00000000-0005-0000-0000-0000D90A0000}"/>
    <cellStyle name="Normal 4 4 2 2 2 2" xfId="382" xr:uid="{00000000-0005-0000-0000-0000DA0A0000}"/>
    <cellStyle name="Normal 4 4 2 2 2 2 2" xfId="858" xr:uid="{00000000-0005-0000-0000-0000DB0A0000}"/>
    <cellStyle name="Normal 4 4 2 2 2 2 2 2" xfId="3093" xr:uid="{00000000-0005-0000-0000-0000DC0A0000}"/>
    <cellStyle name="Normal 4 4 2 2 2 2 3" xfId="1276" xr:uid="{00000000-0005-0000-0000-0000DD0A0000}"/>
    <cellStyle name="Normal 4 4 2 2 2 2 3 2" xfId="3506" xr:uid="{00000000-0005-0000-0000-0000DE0A0000}"/>
    <cellStyle name="Normal 4 4 2 2 2 2 4" xfId="1689" xr:uid="{00000000-0005-0000-0000-0000DF0A0000}"/>
    <cellStyle name="Normal 4 4 2 2 2 2 4 2" xfId="3919" xr:uid="{00000000-0005-0000-0000-0000E00A0000}"/>
    <cellStyle name="Normal 4 4 2 2 2 2 5" xfId="2103" xr:uid="{00000000-0005-0000-0000-0000E10A0000}"/>
    <cellStyle name="Normal 4 4 2 2 2 2 5 2" xfId="4332" xr:uid="{00000000-0005-0000-0000-0000E20A0000}"/>
    <cellStyle name="Normal 4 4 2 2 2 2 6" xfId="2539" xr:uid="{00000000-0005-0000-0000-0000E30A0000}"/>
    <cellStyle name="Normal 4 4 2 2 2 3" xfId="857" xr:uid="{00000000-0005-0000-0000-0000E40A0000}"/>
    <cellStyle name="Normal 4 4 2 2 2 3 2" xfId="3092" xr:uid="{00000000-0005-0000-0000-0000E50A0000}"/>
    <cellStyle name="Normal 4 4 2 2 2 4" xfId="1275" xr:uid="{00000000-0005-0000-0000-0000E60A0000}"/>
    <cellStyle name="Normal 4 4 2 2 2 4 2" xfId="3505" xr:uid="{00000000-0005-0000-0000-0000E70A0000}"/>
    <cellStyle name="Normal 4 4 2 2 2 5" xfId="1688" xr:uid="{00000000-0005-0000-0000-0000E80A0000}"/>
    <cellStyle name="Normal 4 4 2 2 2 5 2" xfId="3918" xr:uid="{00000000-0005-0000-0000-0000E90A0000}"/>
    <cellStyle name="Normal 4 4 2 2 2 6" xfId="2102" xr:uid="{00000000-0005-0000-0000-0000EA0A0000}"/>
    <cellStyle name="Normal 4 4 2 2 2 6 2" xfId="4331" xr:uid="{00000000-0005-0000-0000-0000EB0A0000}"/>
    <cellStyle name="Normal 4 4 2 2 2 7" xfId="2538" xr:uid="{00000000-0005-0000-0000-0000EC0A0000}"/>
    <cellStyle name="Normal 4 4 2 2 3" xfId="383" xr:uid="{00000000-0005-0000-0000-0000ED0A0000}"/>
    <cellStyle name="Normal 4 4 2 2 3 2" xfId="859" xr:uid="{00000000-0005-0000-0000-0000EE0A0000}"/>
    <cellStyle name="Normal 4 4 2 2 3 2 2" xfId="3094" xr:uid="{00000000-0005-0000-0000-0000EF0A0000}"/>
    <cellStyle name="Normal 4 4 2 2 3 3" xfId="1277" xr:uid="{00000000-0005-0000-0000-0000F00A0000}"/>
    <cellStyle name="Normal 4 4 2 2 3 3 2" xfId="3507" xr:uid="{00000000-0005-0000-0000-0000F10A0000}"/>
    <cellStyle name="Normal 4 4 2 2 3 4" xfId="1690" xr:uid="{00000000-0005-0000-0000-0000F20A0000}"/>
    <cellStyle name="Normal 4 4 2 2 3 4 2" xfId="3920" xr:uid="{00000000-0005-0000-0000-0000F30A0000}"/>
    <cellStyle name="Normal 4 4 2 2 3 5" xfId="2104" xr:uid="{00000000-0005-0000-0000-0000F40A0000}"/>
    <cellStyle name="Normal 4 4 2 2 3 5 2" xfId="4333" xr:uid="{00000000-0005-0000-0000-0000F50A0000}"/>
    <cellStyle name="Normal 4 4 2 2 3 6" xfId="2540" xr:uid="{00000000-0005-0000-0000-0000F60A0000}"/>
    <cellStyle name="Normal 4 4 2 2 4" xfId="856" xr:uid="{00000000-0005-0000-0000-0000F70A0000}"/>
    <cellStyle name="Normal 4 4 2 2 4 2" xfId="3091" xr:uid="{00000000-0005-0000-0000-0000F80A0000}"/>
    <cellStyle name="Normal 4 4 2 2 5" xfId="1274" xr:uid="{00000000-0005-0000-0000-0000F90A0000}"/>
    <cellStyle name="Normal 4 4 2 2 5 2" xfId="3504" xr:uid="{00000000-0005-0000-0000-0000FA0A0000}"/>
    <cellStyle name="Normal 4 4 2 2 6" xfId="1687" xr:uid="{00000000-0005-0000-0000-0000FB0A0000}"/>
    <cellStyle name="Normal 4 4 2 2 6 2" xfId="3917" xr:uid="{00000000-0005-0000-0000-0000FC0A0000}"/>
    <cellStyle name="Normal 4 4 2 2 7" xfId="2101" xr:uid="{00000000-0005-0000-0000-0000FD0A0000}"/>
    <cellStyle name="Normal 4 4 2 2 7 2" xfId="4330" xr:uid="{00000000-0005-0000-0000-0000FE0A0000}"/>
    <cellStyle name="Normal 4 4 2 2 8" xfId="2537" xr:uid="{00000000-0005-0000-0000-0000FF0A0000}"/>
    <cellStyle name="Normal 4 4 2 3" xfId="384" xr:uid="{00000000-0005-0000-0000-0000000B0000}"/>
    <cellStyle name="Normal 4 4 2 3 2" xfId="385" xr:uid="{00000000-0005-0000-0000-0000010B0000}"/>
    <cellStyle name="Normal 4 4 2 3 2 2" xfId="861" xr:uid="{00000000-0005-0000-0000-0000020B0000}"/>
    <cellStyle name="Normal 4 4 2 3 2 2 2" xfId="3096" xr:uid="{00000000-0005-0000-0000-0000030B0000}"/>
    <cellStyle name="Normal 4 4 2 3 2 3" xfId="1279" xr:uid="{00000000-0005-0000-0000-0000040B0000}"/>
    <cellStyle name="Normal 4 4 2 3 2 3 2" xfId="3509" xr:uid="{00000000-0005-0000-0000-0000050B0000}"/>
    <cellStyle name="Normal 4 4 2 3 2 4" xfId="1692" xr:uid="{00000000-0005-0000-0000-0000060B0000}"/>
    <cellStyle name="Normal 4 4 2 3 2 4 2" xfId="3922" xr:uid="{00000000-0005-0000-0000-0000070B0000}"/>
    <cellStyle name="Normal 4 4 2 3 2 5" xfId="2106" xr:uid="{00000000-0005-0000-0000-0000080B0000}"/>
    <cellStyle name="Normal 4 4 2 3 2 5 2" xfId="4335" xr:uid="{00000000-0005-0000-0000-0000090B0000}"/>
    <cellStyle name="Normal 4 4 2 3 2 6" xfId="2542" xr:uid="{00000000-0005-0000-0000-00000A0B0000}"/>
    <cellStyle name="Normal 4 4 2 3 3" xfId="860" xr:uid="{00000000-0005-0000-0000-00000B0B0000}"/>
    <cellStyle name="Normal 4 4 2 3 3 2" xfId="3095" xr:uid="{00000000-0005-0000-0000-00000C0B0000}"/>
    <cellStyle name="Normal 4 4 2 3 4" xfId="1278" xr:uid="{00000000-0005-0000-0000-00000D0B0000}"/>
    <cellStyle name="Normal 4 4 2 3 4 2" xfId="3508" xr:uid="{00000000-0005-0000-0000-00000E0B0000}"/>
    <cellStyle name="Normal 4 4 2 3 5" xfId="1691" xr:uid="{00000000-0005-0000-0000-00000F0B0000}"/>
    <cellStyle name="Normal 4 4 2 3 5 2" xfId="3921" xr:uid="{00000000-0005-0000-0000-0000100B0000}"/>
    <cellStyle name="Normal 4 4 2 3 6" xfId="2105" xr:uid="{00000000-0005-0000-0000-0000110B0000}"/>
    <cellStyle name="Normal 4 4 2 3 6 2" xfId="4334" xr:uid="{00000000-0005-0000-0000-0000120B0000}"/>
    <cellStyle name="Normal 4 4 2 3 7" xfId="2541" xr:uid="{00000000-0005-0000-0000-0000130B0000}"/>
    <cellStyle name="Normal 4 4 2 4" xfId="386" xr:uid="{00000000-0005-0000-0000-0000140B0000}"/>
    <cellStyle name="Normal 4 4 2 4 2" xfId="862" xr:uid="{00000000-0005-0000-0000-0000150B0000}"/>
    <cellStyle name="Normal 4 4 2 4 2 2" xfId="3097" xr:uid="{00000000-0005-0000-0000-0000160B0000}"/>
    <cellStyle name="Normal 4 4 2 4 3" xfId="1280" xr:uid="{00000000-0005-0000-0000-0000170B0000}"/>
    <cellStyle name="Normal 4 4 2 4 3 2" xfId="3510" xr:uid="{00000000-0005-0000-0000-0000180B0000}"/>
    <cellStyle name="Normal 4 4 2 4 4" xfId="1693" xr:uid="{00000000-0005-0000-0000-0000190B0000}"/>
    <cellStyle name="Normal 4 4 2 4 4 2" xfId="3923" xr:uid="{00000000-0005-0000-0000-00001A0B0000}"/>
    <cellStyle name="Normal 4 4 2 4 5" xfId="2107" xr:uid="{00000000-0005-0000-0000-00001B0B0000}"/>
    <cellStyle name="Normal 4 4 2 4 5 2" xfId="4336" xr:uid="{00000000-0005-0000-0000-00001C0B0000}"/>
    <cellStyle name="Normal 4 4 2 4 6" xfId="2543" xr:uid="{00000000-0005-0000-0000-00001D0B0000}"/>
    <cellStyle name="Normal 4 4 2 5" xfId="855" xr:uid="{00000000-0005-0000-0000-00001E0B0000}"/>
    <cellStyle name="Normal 4 4 2 5 2" xfId="3090" xr:uid="{00000000-0005-0000-0000-00001F0B0000}"/>
    <cellStyle name="Normal 4 4 2 6" xfId="1273" xr:uid="{00000000-0005-0000-0000-0000200B0000}"/>
    <cellStyle name="Normal 4 4 2 6 2" xfId="3503" xr:uid="{00000000-0005-0000-0000-0000210B0000}"/>
    <cellStyle name="Normal 4 4 2 7" xfId="1686" xr:uid="{00000000-0005-0000-0000-0000220B0000}"/>
    <cellStyle name="Normal 4 4 2 7 2" xfId="3916" xr:uid="{00000000-0005-0000-0000-0000230B0000}"/>
    <cellStyle name="Normal 4 4 2 8" xfId="2100" xr:uid="{00000000-0005-0000-0000-0000240B0000}"/>
    <cellStyle name="Normal 4 4 2 8 2" xfId="4329" xr:uid="{00000000-0005-0000-0000-0000250B0000}"/>
    <cellStyle name="Normal 4 4 2 9" xfId="2536" xr:uid="{00000000-0005-0000-0000-0000260B0000}"/>
    <cellStyle name="Normal 4 4 3" xfId="387" xr:uid="{00000000-0005-0000-0000-0000270B0000}"/>
    <cellStyle name="Normal 4 4 3 2" xfId="388" xr:uid="{00000000-0005-0000-0000-0000280B0000}"/>
    <cellStyle name="Normal 4 4 3 2 2" xfId="389" xr:uid="{00000000-0005-0000-0000-0000290B0000}"/>
    <cellStyle name="Normal 4 4 3 2 2 2" xfId="865" xr:uid="{00000000-0005-0000-0000-00002A0B0000}"/>
    <cellStyle name="Normal 4 4 3 2 2 2 2" xfId="3100" xr:uid="{00000000-0005-0000-0000-00002B0B0000}"/>
    <cellStyle name="Normal 4 4 3 2 2 3" xfId="1283" xr:uid="{00000000-0005-0000-0000-00002C0B0000}"/>
    <cellStyle name="Normal 4 4 3 2 2 3 2" xfId="3513" xr:uid="{00000000-0005-0000-0000-00002D0B0000}"/>
    <cellStyle name="Normal 4 4 3 2 2 4" xfId="1696" xr:uid="{00000000-0005-0000-0000-00002E0B0000}"/>
    <cellStyle name="Normal 4 4 3 2 2 4 2" xfId="3926" xr:uid="{00000000-0005-0000-0000-00002F0B0000}"/>
    <cellStyle name="Normal 4 4 3 2 2 5" xfId="2110" xr:uid="{00000000-0005-0000-0000-0000300B0000}"/>
    <cellStyle name="Normal 4 4 3 2 2 5 2" xfId="4339" xr:uid="{00000000-0005-0000-0000-0000310B0000}"/>
    <cellStyle name="Normal 4 4 3 2 2 6" xfId="2546" xr:uid="{00000000-0005-0000-0000-0000320B0000}"/>
    <cellStyle name="Normal 4 4 3 2 3" xfId="864" xr:uid="{00000000-0005-0000-0000-0000330B0000}"/>
    <cellStyle name="Normal 4 4 3 2 3 2" xfId="3099" xr:uid="{00000000-0005-0000-0000-0000340B0000}"/>
    <cellStyle name="Normal 4 4 3 2 4" xfId="1282" xr:uid="{00000000-0005-0000-0000-0000350B0000}"/>
    <cellStyle name="Normal 4 4 3 2 4 2" xfId="3512" xr:uid="{00000000-0005-0000-0000-0000360B0000}"/>
    <cellStyle name="Normal 4 4 3 2 5" xfId="1695" xr:uid="{00000000-0005-0000-0000-0000370B0000}"/>
    <cellStyle name="Normal 4 4 3 2 5 2" xfId="3925" xr:uid="{00000000-0005-0000-0000-0000380B0000}"/>
    <cellStyle name="Normal 4 4 3 2 6" xfId="2109" xr:uid="{00000000-0005-0000-0000-0000390B0000}"/>
    <cellStyle name="Normal 4 4 3 2 6 2" xfId="4338" xr:uid="{00000000-0005-0000-0000-00003A0B0000}"/>
    <cellStyle name="Normal 4 4 3 2 7" xfId="2545" xr:uid="{00000000-0005-0000-0000-00003B0B0000}"/>
    <cellStyle name="Normal 4 4 3 3" xfId="390" xr:uid="{00000000-0005-0000-0000-00003C0B0000}"/>
    <cellStyle name="Normal 4 4 3 3 2" xfId="866" xr:uid="{00000000-0005-0000-0000-00003D0B0000}"/>
    <cellStyle name="Normal 4 4 3 3 2 2" xfId="3101" xr:uid="{00000000-0005-0000-0000-00003E0B0000}"/>
    <cellStyle name="Normal 4 4 3 3 3" xfId="1284" xr:uid="{00000000-0005-0000-0000-00003F0B0000}"/>
    <cellStyle name="Normal 4 4 3 3 3 2" xfId="3514" xr:uid="{00000000-0005-0000-0000-0000400B0000}"/>
    <cellStyle name="Normal 4 4 3 3 4" xfId="1697" xr:uid="{00000000-0005-0000-0000-0000410B0000}"/>
    <cellStyle name="Normal 4 4 3 3 4 2" xfId="3927" xr:uid="{00000000-0005-0000-0000-0000420B0000}"/>
    <cellStyle name="Normal 4 4 3 3 5" xfId="2111" xr:uid="{00000000-0005-0000-0000-0000430B0000}"/>
    <cellStyle name="Normal 4 4 3 3 5 2" xfId="4340" xr:uid="{00000000-0005-0000-0000-0000440B0000}"/>
    <cellStyle name="Normal 4 4 3 3 6" xfId="2547" xr:uid="{00000000-0005-0000-0000-0000450B0000}"/>
    <cellStyle name="Normal 4 4 3 4" xfId="863" xr:uid="{00000000-0005-0000-0000-0000460B0000}"/>
    <cellStyle name="Normal 4 4 3 4 2" xfId="3098" xr:uid="{00000000-0005-0000-0000-0000470B0000}"/>
    <cellStyle name="Normal 4 4 3 5" xfId="1281" xr:uid="{00000000-0005-0000-0000-0000480B0000}"/>
    <cellStyle name="Normal 4 4 3 5 2" xfId="3511" xr:uid="{00000000-0005-0000-0000-0000490B0000}"/>
    <cellStyle name="Normal 4 4 3 6" xfId="1694" xr:uid="{00000000-0005-0000-0000-00004A0B0000}"/>
    <cellStyle name="Normal 4 4 3 6 2" xfId="3924" xr:uid="{00000000-0005-0000-0000-00004B0B0000}"/>
    <cellStyle name="Normal 4 4 3 7" xfId="2108" xr:uid="{00000000-0005-0000-0000-00004C0B0000}"/>
    <cellStyle name="Normal 4 4 3 7 2" xfId="4337" xr:uid="{00000000-0005-0000-0000-00004D0B0000}"/>
    <cellStyle name="Normal 4 4 3 8" xfId="2544" xr:uid="{00000000-0005-0000-0000-00004E0B0000}"/>
    <cellStyle name="Normal 4 4 4" xfId="391" xr:uid="{00000000-0005-0000-0000-00004F0B0000}"/>
    <cellStyle name="Normal 4 4 4 2" xfId="392" xr:uid="{00000000-0005-0000-0000-0000500B0000}"/>
    <cellStyle name="Normal 4 4 4 2 2" xfId="868" xr:uid="{00000000-0005-0000-0000-0000510B0000}"/>
    <cellStyle name="Normal 4 4 4 2 2 2" xfId="3103" xr:uid="{00000000-0005-0000-0000-0000520B0000}"/>
    <cellStyle name="Normal 4 4 4 2 3" xfId="1286" xr:uid="{00000000-0005-0000-0000-0000530B0000}"/>
    <cellStyle name="Normal 4 4 4 2 3 2" xfId="3516" xr:uid="{00000000-0005-0000-0000-0000540B0000}"/>
    <cellStyle name="Normal 4 4 4 2 4" xfId="1699" xr:uid="{00000000-0005-0000-0000-0000550B0000}"/>
    <cellStyle name="Normal 4 4 4 2 4 2" xfId="3929" xr:uid="{00000000-0005-0000-0000-0000560B0000}"/>
    <cellStyle name="Normal 4 4 4 2 5" xfId="2113" xr:uid="{00000000-0005-0000-0000-0000570B0000}"/>
    <cellStyle name="Normal 4 4 4 2 5 2" xfId="4342" xr:uid="{00000000-0005-0000-0000-0000580B0000}"/>
    <cellStyle name="Normal 4 4 4 2 6" xfId="2549" xr:uid="{00000000-0005-0000-0000-0000590B0000}"/>
    <cellStyle name="Normal 4 4 4 3" xfId="867" xr:uid="{00000000-0005-0000-0000-00005A0B0000}"/>
    <cellStyle name="Normal 4 4 4 3 2" xfId="3102" xr:uid="{00000000-0005-0000-0000-00005B0B0000}"/>
    <cellStyle name="Normal 4 4 4 4" xfId="1285" xr:uid="{00000000-0005-0000-0000-00005C0B0000}"/>
    <cellStyle name="Normal 4 4 4 4 2" xfId="3515" xr:uid="{00000000-0005-0000-0000-00005D0B0000}"/>
    <cellStyle name="Normal 4 4 4 5" xfId="1698" xr:uid="{00000000-0005-0000-0000-00005E0B0000}"/>
    <cellStyle name="Normal 4 4 4 5 2" xfId="3928" xr:uid="{00000000-0005-0000-0000-00005F0B0000}"/>
    <cellStyle name="Normal 4 4 4 6" xfId="2112" xr:uid="{00000000-0005-0000-0000-0000600B0000}"/>
    <cellStyle name="Normal 4 4 4 6 2" xfId="4341" xr:uid="{00000000-0005-0000-0000-0000610B0000}"/>
    <cellStyle name="Normal 4 4 4 7" xfId="2548" xr:uid="{00000000-0005-0000-0000-0000620B0000}"/>
    <cellStyle name="Normal 4 4 5" xfId="393" xr:uid="{00000000-0005-0000-0000-0000630B0000}"/>
    <cellStyle name="Normal 4 4 5 2" xfId="869" xr:uid="{00000000-0005-0000-0000-0000640B0000}"/>
    <cellStyle name="Normal 4 4 5 2 2" xfId="3104" xr:uid="{00000000-0005-0000-0000-0000650B0000}"/>
    <cellStyle name="Normal 4 4 5 3" xfId="1287" xr:uid="{00000000-0005-0000-0000-0000660B0000}"/>
    <cellStyle name="Normal 4 4 5 3 2" xfId="3517" xr:uid="{00000000-0005-0000-0000-0000670B0000}"/>
    <cellStyle name="Normal 4 4 5 4" xfId="1700" xr:uid="{00000000-0005-0000-0000-0000680B0000}"/>
    <cellStyle name="Normal 4 4 5 4 2" xfId="3930" xr:uid="{00000000-0005-0000-0000-0000690B0000}"/>
    <cellStyle name="Normal 4 4 5 5" xfId="2114" xr:uid="{00000000-0005-0000-0000-00006A0B0000}"/>
    <cellStyle name="Normal 4 4 5 5 2" xfId="4343" xr:uid="{00000000-0005-0000-0000-00006B0B0000}"/>
    <cellStyle name="Normal 4 4 5 6" xfId="2550" xr:uid="{00000000-0005-0000-0000-00006C0B0000}"/>
    <cellStyle name="Normal 4 4 6" xfId="854" xr:uid="{00000000-0005-0000-0000-00006D0B0000}"/>
    <cellStyle name="Normal 4 4 6 2" xfId="3089" xr:uid="{00000000-0005-0000-0000-00006E0B0000}"/>
    <cellStyle name="Normal 4 4 7" xfId="1272" xr:uid="{00000000-0005-0000-0000-00006F0B0000}"/>
    <cellStyle name="Normal 4 4 7 2" xfId="3502" xr:uid="{00000000-0005-0000-0000-0000700B0000}"/>
    <cellStyle name="Normal 4 4 8" xfId="1685" xr:uid="{00000000-0005-0000-0000-0000710B0000}"/>
    <cellStyle name="Normal 4 4 8 2" xfId="3915" xr:uid="{00000000-0005-0000-0000-0000720B0000}"/>
    <cellStyle name="Normal 4 4 9" xfId="2099" xr:uid="{00000000-0005-0000-0000-0000730B0000}"/>
    <cellStyle name="Normal 4 4 9 2" xfId="4328" xr:uid="{00000000-0005-0000-0000-0000740B0000}"/>
    <cellStyle name="Normal 4 5" xfId="394" xr:uid="{00000000-0005-0000-0000-0000750B0000}"/>
    <cellStyle name="Normal 4 6" xfId="395" xr:uid="{00000000-0005-0000-0000-0000760B0000}"/>
    <cellStyle name="Normal 4 6 2" xfId="396" xr:uid="{00000000-0005-0000-0000-0000770B0000}"/>
    <cellStyle name="Normal 4 6 2 2" xfId="397" xr:uid="{00000000-0005-0000-0000-0000780B0000}"/>
    <cellStyle name="Normal 4 6 2 2 2" xfId="398" xr:uid="{00000000-0005-0000-0000-0000790B0000}"/>
    <cellStyle name="Normal 4 6 2 2 2 2" xfId="873" xr:uid="{00000000-0005-0000-0000-00007A0B0000}"/>
    <cellStyle name="Normal 4 6 2 2 2 2 2" xfId="3108" xr:uid="{00000000-0005-0000-0000-00007B0B0000}"/>
    <cellStyle name="Normal 4 6 2 2 2 3" xfId="1291" xr:uid="{00000000-0005-0000-0000-00007C0B0000}"/>
    <cellStyle name="Normal 4 6 2 2 2 3 2" xfId="3521" xr:uid="{00000000-0005-0000-0000-00007D0B0000}"/>
    <cellStyle name="Normal 4 6 2 2 2 4" xfId="1704" xr:uid="{00000000-0005-0000-0000-00007E0B0000}"/>
    <cellStyle name="Normal 4 6 2 2 2 4 2" xfId="3934" xr:uid="{00000000-0005-0000-0000-00007F0B0000}"/>
    <cellStyle name="Normal 4 6 2 2 2 5" xfId="2118" xr:uid="{00000000-0005-0000-0000-0000800B0000}"/>
    <cellStyle name="Normal 4 6 2 2 2 5 2" xfId="4347" xr:uid="{00000000-0005-0000-0000-0000810B0000}"/>
    <cellStyle name="Normal 4 6 2 2 2 6" xfId="2554" xr:uid="{00000000-0005-0000-0000-0000820B0000}"/>
    <cellStyle name="Normal 4 6 2 2 3" xfId="872" xr:uid="{00000000-0005-0000-0000-0000830B0000}"/>
    <cellStyle name="Normal 4 6 2 2 3 2" xfId="3107" xr:uid="{00000000-0005-0000-0000-0000840B0000}"/>
    <cellStyle name="Normal 4 6 2 2 4" xfId="1290" xr:uid="{00000000-0005-0000-0000-0000850B0000}"/>
    <cellStyle name="Normal 4 6 2 2 4 2" xfId="3520" xr:uid="{00000000-0005-0000-0000-0000860B0000}"/>
    <cellStyle name="Normal 4 6 2 2 5" xfId="1703" xr:uid="{00000000-0005-0000-0000-0000870B0000}"/>
    <cellStyle name="Normal 4 6 2 2 5 2" xfId="3933" xr:uid="{00000000-0005-0000-0000-0000880B0000}"/>
    <cellStyle name="Normal 4 6 2 2 6" xfId="2117" xr:uid="{00000000-0005-0000-0000-0000890B0000}"/>
    <cellStyle name="Normal 4 6 2 2 6 2" xfId="4346" xr:uid="{00000000-0005-0000-0000-00008A0B0000}"/>
    <cellStyle name="Normal 4 6 2 2 7" xfId="2553" xr:uid="{00000000-0005-0000-0000-00008B0B0000}"/>
    <cellStyle name="Normal 4 6 2 3" xfId="399" xr:uid="{00000000-0005-0000-0000-00008C0B0000}"/>
    <cellStyle name="Normal 4 6 2 3 2" xfId="874" xr:uid="{00000000-0005-0000-0000-00008D0B0000}"/>
    <cellStyle name="Normal 4 6 2 3 2 2" xfId="3109" xr:uid="{00000000-0005-0000-0000-00008E0B0000}"/>
    <cellStyle name="Normal 4 6 2 3 3" xfId="1292" xr:uid="{00000000-0005-0000-0000-00008F0B0000}"/>
    <cellStyle name="Normal 4 6 2 3 3 2" xfId="3522" xr:uid="{00000000-0005-0000-0000-0000900B0000}"/>
    <cellStyle name="Normal 4 6 2 3 4" xfId="1705" xr:uid="{00000000-0005-0000-0000-0000910B0000}"/>
    <cellStyle name="Normal 4 6 2 3 4 2" xfId="3935" xr:uid="{00000000-0005-0000-0000-0000920B0000}"/>
    <cellStyle name="Normal 4 6 2 3 5" xfId="2119" xr:uid="{00000000-0005-0000-0000-0000930B0000}"/>
    <cellStyle name="Normal 4 6 2 3 5 2" xfId="4348" xr:uid="{00000000-0005-0000-0000-0000940B0000}"/>
    <cellStyle name="Normal 4 6 2 3 6" xfId="2555" xr:uid="{00000000-0005-0000-0000-0000950B0000}"/>
    <cellStyle name="Normal 4 6 2 4" xfId="871" xr:uid="{00000000-0005-0000-0000-0000960B0000}"/>
    <cellStyle name="Normal 4 6 2 4 2" xfId="3106" xr:uid="{00000000-0005-0000-0000-0000970B0000}"/>
    <cellStyle name="Normal 4 6 2 5" xfId="1289" xr:uid="{00000000-0005-0000-0000-0000980B0000}"/>
    <cellStyle name="Normal 4 6 2 5 2" xfId="3519" xr:uid="{00000000-0005-0000-0000-0000990B0000}"/>
    <cellStyle name="Normal 4 6 2 6" xfId="1702" xr:uid="{00000000-0005-0000-0000-00009A0B0000}"/>
    <cellStyle name="Normal 4 6 2 6 2" xfId="3932" xr:uid="{00000000-0005-0000-0000-00009B0B0000}"/>
    <cellStyle name="Normal 4 6 2 7" xfId="2116" xr:uid="{00000000-0005-0000-0000-00009C0B0000}"/>
    <cellStyle name="Normal 4 6 2 7 2" xfId="4345" xr:uid="{00000000-0005-0000-0000-00009D0B0000}"/>
    <cellStyle name="Normal 4 6 2 8" xfId="2552" xr:uid="{00000000-0005-0000-0000-00009E0B0000}"/>
    <cellStyle name="Normal 4 6 3" xfId="400" xr:uid="{00000000-0005-0000-0000-00009F0B0000}"/>
    <cellStyle name="Normal 4 6 3 2" xfId="401" xr:uid="{00000000-0005-0000-0000-0000A00B0000}"/>
    <cellStyle name="Normal 4 6 3 2 2" xfId="876" xr:uid="{00000000-0005-0000-0000-0000A10B0000}"/>
    <cellStyle name="Normal 4 6 3 2 2 2" xfId="3111" xr:uid="{00000000-0005-0000-0000-0000A20B0000}"/>
    <cellStyle name="Normal 4 6 3 2 3" xfId="1294" xr:uid="{00000000-0005-0000-0000-0000A30B0000}"/>
    <cellStyle name="Normal 4 6 3 2 3 2" xfId="3524" xr:uid="{00000000-0005-0000-0000-0000A40B0000}"/>
    <cellStyle name="Normal 4 6 3 2 4" xfId="1707" xr:uid="{00000000-0005-0000-0000-0000A50B0000}"/>
    <cellStyle name="Normal 4 6 3 2 4 2" xfId="3937" xr:uid="{00000000-0005-0000-0000-0000A60B0000}"/>
    <cellStyle name="Normal 4 6 3 2 5" xfId="2121" xr:uid="{00000000-0005-0000-0000-0000A70B0000}"/>
    <cellStyle name="Normal 4 6 3 2 5 2" xfId="4350" xr:uid="{00000000-0005-0000-0000-0000A80B0000}"/>
    <cellStyle name="Normal 4 6 3 2 6" xfId="2557" xr:uid="{00000000-0005-0000-0000-0000A90B0000}"/>
    <cellStyle name="Normal 4 6 3 3" xfId="875" xr:uid="{00000000-0005-0000-0000-0000AA0B0000}"/>
    <cellStyle name="Normal 4 6 3 3 2" xfId="3110" xr:uid="{00000000-0005-0000-0000-0000AB0B0000}"/>
    <cellStyle name="Normal 4 6 3 4" xfId="1293" xr:uid="{00000000-0005-0000-0000-0000AC0B0000}"/>
    <cellStyle name="Normal 4 6 3 4 2" xfId="3523" xr:uid="{00000000-0005-0000-0000-0000AD0B0000}"/>
    <cellStyle name="Normal 4 6 3 5" xfId="1706" xr:uid="{00000000-0005-0000-0000-0000AE0B0000}"/>
    <cellStyle name="Normal 4 6 3 5 2" xfId="3936" xr:uid="{00000000-0005-0000-0000-0000AF0B0000}"/>
    <cellStyle name="Normal 4 6 3 6" xfId="2120" xr:uid="{00000000-0005-0000-0000-0000B00B0000}"/>
    <cellStyle name="Normal 4 6 3 6 2" xfId="4349" xr:uid="{00000000-0005-0000-0000-0000B10B0000}"/>
    <cellStyle name="Normal 4 6 3 7" xfId="2556" xr:uid="{00000000-0005-0000-0000-0000B20B0000}"/>
    <cellStyle name="Normal 4 6 4" xfId="402" xr:uid="{00000000-0005-0000-0000-0000B30B0000}"/>
    <cellStyle name="Normal 4 6 4 2" xfId="877" xr:uid="{00000000-0005-0000-0000-0000B40B0000}"/>
    <cellStyle name="Normal 4 6 4 2 2" xfId="3112" xr:uid="{00000000-0005-0000-0000-0000B50B0000}"/>
    <cellStyle name="Normal 4 6 4 3" xfId="1295" xr:uid="{00000000-0005-0000-0000-0000B60B0000}"/>
    <cellStyle name="Normal 4 6 4 3 2" xfId="3525" xr:uid="{00000000-0005-0000-0000-0000B70B0000}"/>
    <cellStyle name="Normal 4 6 4 4" xfId="1708" xr:uid="{00000000-0005-0000-0000-0000B80B0000}"/>
    <cellStyle name="Normal 4 6 4 4 2" xfId="3938" xr:uid="{00000000-0005-0000-0000-0000B90B0000}"/>
    <cellStyle name="Normal 4 6 4 5" xfId="2122" xr:uid="{00000000-0005-0000-0000-0000BA0B0000}"/>
    <cellStyle name="Normal 4 6 4 5 2" xfId="4351" xr:uid="{00000000-0005-0000-0000-0000BB0B0000}"/>
    <cellStyle name="Normal 4 6 4 6" xfId="2558" xr:uid="{00000000-0005-0000-0000-0000BC0B0000}"/>
    <cellStyle name="Normal 4 6 5" xfId="870" xr:uid="{00000000-0005-0000-0000-0000BD0B0000}"/>
    <cellStyle name="Normal 4 6 5 2" xfId="3105" xr:uid="{00000000-0005-0000-0000-0000BE0B0000}"/>
    <cellStyle name="Normal 4 6 6" xfId="1288" xr:uid="{00000000-0005-0000-0000-0000BF0B0000}"/>
    <cellStyle name="Normal 4 6 6 2" xfId="3518" xr:uid="{00000000-0005-0000-0000-0000C00B0000}"/>
    <cellStyle name="Normal 4 6 7" xfId="1701" xr:uid="{00000000-0005-0000-0000-0000C10B0000}"/>
    <cellStyle name="Normal 4 6 7 2" xfId="3931" xr:uid="{00000000-0005-0000-0000-0000C20B0000}"/>
    <cellStyle name="Normal 4 6 8" xfId="2115" xr:uid="{00000000-0005-0000-0000-0000C30B0000}"/>
    <cellStyle name="Normal 4 6 8 2" xfId="4344" xr:uid="{00000000-0005-0000-0000-0000C40B0000}"/>
    <cellStyle name="Normal 4 6 9" xfId="2551" xr:uid="{00000000-0005-0000-0000-0000C50B0000}"/>
    <cellStyle name="Normal 4 7" xfId="403" xr:uid="{00000000-0005-0000-0000-0000C60B0000}"/>
    <cellStyle name="Normal 4 7 2" xfId="404" xr:uid="{00000000-0005-0000-0000-0000C70B0000}"/>
    <cellStyle name="Normal 4 7 2 2" xfId="879" xr:uid="{00000000-0005-0000-0000-0000C80B0000}"/>
    <cellStyle name="Normal 4 7 2 2 2" xfId="3114" xr:uid="{00000000-0005-0000-0000-0000C90B0000}"/>
    <cellStyle name="Normal 4 7 2 3" xfId="1297" xr:uid="{00000000-0005-0000-0000-0000CA0B0000}"/>
    <cellStyle name="Normal 4 7 2 3 2" xfId="3527" xr:uid="{00000000-0005-0000-0000-0000CB0B0000}"/>
    <cellStyle name="Normal 4 7 2 4" xfId="1710" xr:uid="{00000000-0005-0000-0000-0000CC0B0000}"/>
    <cellStyle name="Normal 4 7 2 4 2" xfId="3940" xr:uid="{00000000-0005-0000-0000-0000CD0B0000}"/>
    <cellStyle name="Normal 4 7 2 5" xfId="2124" xr:uid="{00000000-0005-0000-0000-0000CE0B0000}"/>
    <cellStyle name="Normal 4 7 2 5 2" xfId="4353" xr:uid="{00000000-0005-0000-0000-0000CF0B0000}"/>
    <cellStyle name="Normal 4 7 2 6" xfId="2560" xr:uid="{00000000-0005-0000-0000-0000D00B0000}"/>
    <cellStyle name="Normal 4 7 3" xfId="878" xr:uid="{00000000-0005-0000-0000-0000D10B0000}"/>
    <cellStyle name="Normal 4 7 3 2" xfId="3113" xr:uid="{00000000-0005-0000-0000-0000D20B0000}"/>
    <cellStyle name="Normal 4 7 4" xfId="1296" xr:uid="{00000000-0005-0000-0000-0000D30B0000}"/>
    <cellStyle name="Normal 4 7 4 2" xfId="3526" xr:uid="{00000000-0005-0000-0000-0000D40B0000}"/>
    <cellStyle name="Normal 4 7 5" xfId="1709" xr:uid="{00000000-0005-0000-0000-0000D50B0000}"/>
    <cellStyle name="Normal 4 7 5 2" xfId="3939" xr:uid="{00000000-0005-0000-0000-0000D60B0000}"/>
    <cellStyle name="Normal 4 7 6" xfId="2123" xr:uid="{00000000-0005-0000-0000-0000D70B0000}"/>
    <cellStyle name="Normal 4 7 6 2" xfId="4352" xr:uid="{00000000-0005-0000-0000-0000D80B0000}"/>
    <cellStyle name="Normal 4 7 7" xfId="2559" xr:uid="{00000000-0005-0000-0000-0000D90B0000}"/>
    <cellStyle name="Normal 4 8" xfId="405" xr:uid="{00000000-0005-0000-0000-0000DA0B0000}"/>
    <cellStyle name="Normal 4 8 2" xfId="880" xr:uid="{00000000-0005-0000-0000-0000DB0B0000}"/>
    <cellStyle name="Normal 4 8 2 2" xfId="3115" xr:uid="{00000000-0005-0000-0000-0000DC0B0000}"/>
    <cellStyle name="Normal 4 8 3" xfId="1298" xr:uid="{00000000-0005-0000-0000-0000DD0B0000}"/>
    <cellStyle name="Normal 4 8 3 2" xfId="3528" xr:uid="{00000000-0005-0000-0000-0000DE0B0000}"/>
    <cellStyle name="Normal 4 8 4" xfId="1711" xr:uid="{00000000-0005-0000-0000-0000DF0B0000}"/>
    <cellStyle name="Normal 4 8 4 2" xfId="3941" xr:uid="{00000000-0005-0000-0000-0000E00B0000}"/>
    <cellStyle name="Normal 4 8 5" xfId="2125" xr:uid="{00000000-0005-0000-0000-0000E10B0000}"/>
    <cellStyle name="Normal 4 8 5 2" xfId="4354" xr:uid="{00000000-0005-0000-0000-0000E20B0000}"/>
    <cellStyle name="Normal 4 8 6" xfId="2561" xr:uid="{00000000-0005-0000-0000-0000E30B0000}"/>
    <cellStyle name="Normal 5" xfId="406" xr:uid="{00000000-0005-0000-0000-0000E40B0000}"/>
    <cellStyle name="Normal 5 10" xfId="1712" xr:uid="{00000000-0005-0000-0000-0000E50B0000}"/>
    <cellStyle name="Normal 5 10 2" xfId="3942" xr:uid="{00000000-0005-0000-0000-0000E60B0000}"/>
    <cellStyle name="Normal 5 11" xfId="2126" xr:uid="{00000000-0005-0000-0000-0000E70B0000}"/>
    <cellStyle name="Normal 5 11 2" xfId="4355" xr:uid="{00000000-0005-0000-0000-0000E80B0000}"/>
    <cellStyle name="Normal 5 12" xfId="2562" xr:uid="{00000000-0005-0000-0000-0000E90B0000}"/>
    <cellStyle name="Normal 5 2" xfId="407" xr:uid="{00000000-0005-0000-0000-0000EA0B0000}"/>
    <cellStyle name="Normal 5 2 10" xfId="2127" xr:uid="{00000000-0005-0000-0000-0000EB0B0000}"/>
    <cellStyle name="Normal 5 2 10 2" xfId="4356" xr:uid="{00000000-0005-0000-0000-0000EC0B0000}"/>
    <cellStyle name="Normal 5 2 11" xfId="2563" xr:uid="{00000000-0005-0000-0000-0000ED0B0000}"/>
    <cellStyle name="Normal 5 2 2" xfId="408" xr:uid="{00000000-0005-0000-0000-0000EE0B0000}"/>
    <cellStyle name="Normal 5 2 2 10" xfId="2564" xr:uid="{00000000-0005-0000-0000-0000EF0B0000}"/>
    <cellStyle name="Normal 5 2 2 2" xfId="409" xr:uid="{00000000-0005-0000-0000-0000F00B0000}"/>
    <cellStyle name="Normal 5 2 2 2 2" xfId="410" xr:uid="{00000000-0005-0000-0000-0000F10B0000}"/>
    <cellStyle name="Normal 5 2 2 2 2 2" xfId="411" xr:uid="{00000000-0005-0000-0000-0000F20B0000}"/>
    <cellStyle name="Normal 5 2 2 2 2 2 2" xfId="412" xr:uid="{00000000-0005-0000-0000-0000F30B0000}"/>
    <cellStyle name="Normal 5 2 2 2 2 2 2 2" xfId="887" xr:uid="{00000000-0005-0000-0000-0000F40B0000}"/>
    <cellStyle name="Normal 5 2 2 2 2 2 2 2 2" xfId="3122" xr:uid="{00000000-0005-0000-0000-0000F50B0000}"/>
    <cellStyle name="Normal 5 2 2 2 2 2 2 3" xfId="1305" xr:uid="{00000000-0005-0000-0000-0000F60B0000}"/>
    <cellStyle name="Normal 5 2 2 2 2 2 2 3 2" xfId="3535" xr:uid="{00000000-0005-0000-0000-0000F70B0000}"/>
    <cellStyle name="Normal 5 2 2 2 2 2 2 4" xfId="1718" xr:uid="{00000000-0005-0000-0000-0000F80B0000}"/>
    <cellStyle name="Normal 5 2 2 2 2 2 2 4 2" xfId="3948" xr:uid="{00000000-0005-0000-0000-0000F90B0000}"/>
    <cellStyle name="Normal 5 2 2 2 2 2 2 5" xfId="2132" xr:uid="{00000000-0005-0000-0000-0000FA0B0000}"/>
    <cellStyle name="Normal 5 2 2 2 2 2 2 5 2" xfId="4361" xr:uid="{00000000-0005-0000-0000-0000FB0B0000}"/>
    <cellStyle name="Normal 5 2 2 2 2 2 2 6" xfId="2568" xr:uid="{00000000-0005-0000-0000-0000FC0B0000}"/>
    <cellStyle name="Normal 5 2 2 2 2 2 3" xfId="886" xr:uid="{00000000-0005-0000-0000-0000FD0B0000}"/>
    <cellStyle name="Normal 5 2 2 2 2 2 3 2" xfId="3121" xr:uid="{00000000-0005-0000-0000-0000FE0B0000}"/>
    <cellStyle name="Normal 5 2 2 2 2 2 4" xfId="1304" xr:uid="{00000000-0005-0000-0000-0000FF0B0000}"/>
    <cellStyle name="Normal 5 2 2 2 2 2 4 2" xfId="3534" xr:uid="{00000000-0005-0000-0000-0000000C0000}"/>
    <cellStyle name="Normal 5 2 2 2 2 2 5" xfId="1717" xr:uid="{00000000-0005-0000-0000-0000010C0000}"/>
    <cellStyle name="Normal 5 2 2 2 2 2 5 2" xfId="3947" xr:uid="{00000000-0005-0000-0000-0000020C0000}"/>
    <cellStyle name="Normal 5 2 2 2 2 2 6" xfId="2131" xr:uid="{00000000-0005-0000-0000-0000030C0000}"/>
    <cellStyle name="Normal 5 2 2 2 2 2 6 2" xfId="4360" xr:uid="{00000000-0005-0000-0000-0000040C0000}"/>
    <cellStyle name="Normal 5 2 2 2 2 2 7" xfId="2567" xr:uid="{00000000-0005-0000-0000-0000050C0000}"/>
    <cellStyle name="Normal 5 2 2 2 2 3" xfId="413" xr:uid="{00000000-0005-0000-0000-0000060C0000}"/>
    <cellStyle name="Normal 5 2 2 2 2 3 2" xfId="888" xr:uid="{00000000-0005-0000-0000-0000070C0000}"/>
    <cellStyle name="Normal 5 2 2 2 2 3 2 2" xfId="3123" xr:uid="{00000000-0005-0000-0000-0000080C0000}"/>
    <cellStyle name="Normal 5 2 2 2 2 3 3" xfId="1306" xr:uid="{00000000-0005-0000-0000-0000090C0000}"/>
    <cellStyle name="Normal 5 2 2 2 2 3 3 2" xfId="3536" xr:uid="{00000000-0005-0000-0000-00000A0C0000}"/>
    <cellStyle name="Normal 5 2 2 2 2 3 4" xfId="1719" xr:uid="{00000000-0005-0000-0000-00000B0C0000}"/>
    <cellStyle name="Normal 5 2 2 2 2 3 4 2" xfId="3949" xr:uid="{00000000-0005-0000-0000-00000C0C0000}"/>
    <cellStyle name="Normal 5 2 2 2 2 3 5" xfId="2133" xr:uid="{00000000-0005-0000-0000-00000D0C0000}"/>
    <cellStyle name="Normal 5 2 2 2 2 3 5 2" xfId="4362" xr:uid="{00000000-0005-0000-0000-00000E0C0000}"/>
    <cellStyle name="Normal 5 2 2 2 2 3 6" xfId="2569" xr:uid="{00000000-0005-0000-0000-00000F0C0000}"/>
    <cellStyle name="Normal 5 2 2 2 2 4" xfId="885" xr:uid="{00000000-0005-0000-0000-0000100C0000}"/>
    <cellStyle name="Normal 5 2 2 2 2 4 2" xfId="3120" xr:uid="{00000000-0005-0000-0000-0000110C0000}"/>
    <cellStyle name="Normal 5 2 2 2 2 5" xfId="1303" xr:uid="{00000000-0005-0000-0000-0000120C0000}"/>
    <cellStyle name="Normal 5 2 2 2 2 5 2" xfId="3533" xr:uid="{00000000-0005-0000-0000-0000130C0000}"/>
    <cellStyle name="Normal 5 2 2 2 2 6" xfId="1716" xr:uid="{00000000-0005-0000-0000-0000140C0000}"/>
    <cellStyle name="Normal 5 2 2 2 2 6 2" xfId="3946" xr:uid="{00000000-0005-0000-0000-0000150C0000}"/>
    <cellStyle name="Normal 5 2 2 2 2 7" xfId="2130" xr:uid="{00000000-0005-0000-0000-0000160C0000}"/>
    <cellStyle name="Normal 5 2 2 2 2 7 2" xfId="4359" xr:uid="{00000000-0005-0000-0000-0000170C0000}"/>
    <cellStyle name="Normal 5 2 2 2 2 8" xfId="2566" xr:uid="{00000000-0005-0000-0000-0000180C0000}"/>
    <cellStyle name="Normal 5 2 2 2 3" xfId="414" xr:uid="{00000000-0005-0000-0000-0000190C0000}"/>
    <cellStyle name="Normal 5 2 2 2 3 2" xfId="415" xr:uid="{00000000-0005-0000-0000-00001A0C0000}"/>
    <cellStyle name="Normal 5 2 2 2 3 2 2" xfId="890" xr:uid="{00000000-0005-0000-0000-00001B0C0000}"/>
    <cellStyle name="Normal 5 2 2 2 3 2 2 2" xfId="3125" xr:uid="{00000000-0005-0000-0000-00001C0C0000}"/>
    <cellStyle name="Normal 5 2 2 2 3 2 3" xfId="1308" xr:uid="{00000000-0005-0000-0000-00001D0C0000}"/>
    <cellStyle name="Normal 5 2 2 2 3 2 3 2" xfId="3538" xr:uid="{00000000-0005-0000-0000-00001E0C0000}"/>
    <cellStyle name="Normal 5 2 2 2 3 2 4" xfId="1721" xr:uid="{00000000-0005-0000-0000-00001F0C0000}"/>
    <cellStyle name="Normal 5 2 2 2 3 2 4 2" xfId="3951" xr:uid="{00000000-0005-0000-0000-0000200C0000}"/>
    <cellStyle name="Normal 5 2 2 2 3 2 5" xfId="2135" xr:uid="{00000000-0005-0000-0000-0000210C0000}"/>
    <cellStyle name="Normal 5 2 2 2 3 2 5 2" xfId="4364" xr:uid="{00000000-0005-0000-0000-0000220C0000}"/>
    <cellStyle name="Normal 5 2 2 2 3 2 6" xfId="2571" xr:uid="{00000000-0005-0000-0000-0000230C0000}"/>
    <cellStyle name="Normal 5 2 2 2 3 3" xfId="889" xr:uid="{00000000-0005-0000-0000-0000240C0000}"/>
    <cellStyle name="Normal 5 2 2 2 3 3 2" xfId="3124" xr:uid="{00000000-0005-0000-0000-0000250C0000}"/>
    <cellStyle name="Normal 5 2 2 2 3 4" xfId="1307" xr:uid="{00000000-0005-0000-0000-0000260C0000}"/>
    <cellStyle name="Normal 5 2 2 2 3 4 2" xfId="3537" xr:uid="{00000000-0005-0000-0000-0000270C0000}"/>
    <cellStyle name="Normal 5 2 2 2 3 5" xfId="1720" xr:uid="{00000000-0005-0000-0000-0000280C0000}"/>
    <cellStyle name="Normal 5 2 2 2 3 5 2" xfId="3950" xr:uid="{00000000-0005-0000-0000-0000290C0000}"/>
    <cellStyle name="Normal 5 2 2 2 3 6" xfId="2134" xr:uid="{00000000-0005-0000-0000-00002A0C0000}"/>
    <cellStyle name="Normal 5 2 2 2 3 6 2" xfId="4363" xr:uid="{00000000-0005-0000-0000-00002B0C0000}"/>
    <cellStyle name="Normal 5 2 2 2 3 7" xfId="2570" xr:uid="{00000000-0005-0000-0000-00002C0C0000}"/>
    <cellStyle name="Normal 5 2 2 2 4" xfId="416" xr:uid="{00000000-0005-0000-0000-00002D0C0000}"/>
    <cellStyle name="Normal 5 2 2 2 4 2" xfId="891" xr:uid="{00000000-0005-0000-0000-00002E0C0000}"/>
    <cellStyle name="Normal 5 2 2 2 4 2 2" xfId="3126" xr:uid="{00000000-0005-0000-0000-00002F0C0000}"/>
    <cellStyle name="Normal 5 2 2 2 4 3" xfId="1309" xr:uid="{00000000-0005-0000-0000-0000300C0000}"/>
    <cellStyle name="Normal 5 2 2 2 4 3 2" xfId="3539" xr:uid="{00000000-0005-0000-0000-0000310C0000}"/>
    <cellStyle name="Normal 5 2 2 2 4 4" xfId="1722" xr:uid="{00000000-0005-0000-0000-0000320C0000}"/>
    <cellStyle name="Normal 5 2 2 2 4 4 2" xfId="3952" xr:uid="{00000000-0005-0000-0000-0000330C0000}"/>
    <cellStyle name="Normal 5 2 2 2 4 5" xfId="2136" xr:uid="{00000000-0005-0000-0000-0000340C0000}"/>
    <cellStyle name="Normal 5 2 2 2 4 5 2" xfId="4365" xr:uid="{00000000-0005-0000-0000-0000350C0000}"/>
    <cellStyle name="Normal 5 2 2 2 4 6" xfId="2572" xr:uid="{00000000-0005-0000-0000-0000360C0000}"/>
    <cellStyle name="Normal 5 2 2 2 5" xfId="884" xr:uid="{00000000-0005-0000-0000-0000370C0000}"/>
    <cellStyle name="Normal 5 2 2 2 5 2" xfId="3119" xr:uid="{00000000-0005-0000-0000-0000380C0000}"/>
    <cellStyle name="Normal 5 2 2 2 6" xfId="1302" xr:uid="{00000000-0005-0000-0000-0000390C0000}"/>
    <cellStyle name="Normal 5 2 2 2 6 2" xfId="3532" xr:uid="{00000000-0005-0000-0000-00003A0C0000}"/>
    <cellStyle name="Normal 5 2 2 2 7" xfId="1715" xr:uid="{00000000-0005-0000-0000-00003B0C0000}"/>
    <cellStyle name="Normal 5 2 2 2 7 2" xfId="3945" xr:uid="{00000000-0005-0000-0000-00003C0C0000}"/>
    <cellStyle name="Normal 5 2 2 2 8" xfId="2129" xr:uid="{00000000-0005-0000-0000-00003D0C0000}"/>
    <cellStyle name="Normal 5 2 2 2 8 2" xfId="4358" xr:uid="{00000000-0005-0000-0000-00003E0C0000}"/>
    <cellStyle name="Normal 5 2 2 2 9" xfId="2565" xr:uid="{00000000-0005-0000-0000-00003F0C0000}"/>
    <cellStyle name="Normal 5 2 2 3" xfId="417" xr:uid="{00000000-0005-0000-0000-0000400C0000}"/>
    <cellStyle name="Normal 5 2 2 3 2" xfId="418" xr:uid="{00000000-0005-0000-0000-0000410C0000}"/>
    <cellStyle name="Normal 5 2 2 3 2 2" xfId="419" xr:uid="{00000000-0005-0000-0000-0000420C0000}"/>
    <cellStyle name="Normal 5 2 2 3 2 2 2" xfId="894" xr:uid="{00000000-0005-0000-0000-0000430C0000}"/>
    <cellStyle name="Normal 5 2 2 3 2 2 2 2" xfId="3129" xr:uid="{00000000-0005-0000-0000-0000440C0000}"/>
    <cellStyle name="Normal 5 2 2 3 2 2 3" xfId="1312" xr:uid="{00000000-0005-0000-0000-0000450C0000}"/>
    <cellStyle name="Normal 5 2 2 3 2 2 3 2" xfId="3542" xr:uid="{00000000-0005-0000-0000-0000460C0000}"/>
    <cellStyle name="Normal 5 2 2 3 2 2 4" xfId="1725" xr:uid="{00000000-0005-0000-0000-0000470C0000}"/>
    <cellStyle name="Normal 5 2 2 3 2 2 4 2" xfId="3955" xr:uid="{00000000-0005-0000-0000-0000480C0000}"/>
    <cellStyle name="Normal 5 2 2 3 2 2 5" xfId="2139" xr:uid="{00000000-0005-0000-0000-0000490C0000}"/>
    <cellStyle name="Normal 5 2 2 3 2 2 5 2" xfId="4368" xr:uid="{00000000-0005-0000-0000-00004A0C0000}"/>
    <cellStyle name="Normal 5 2 2 3 2 2 6" xfId="2575" xr:uid="{00000000-0005-0000-0000-00004B0C0000}"/>
    <cellStyle name="Normal 5 2 2 3 2 3" xfId="893" xr:uid="{00000000-0005-0000-0000-00004C0C0000}"/>
    <cellStyle name="Normal 5 2 2 3 2 3 2" xfId="3128" xr:uid="{00000000-0005-0000-0000-00004D0C0000}"/>
    <cellStyle name="Normal 5 2 2 3 2 4" xfId="1311" xr:uid="{00000000-0005-0000-0000-00004E0C0000}"/>
    <cellStyle name="Normal 5 2 2 3 2 4 2" xfId="3541" xr:uid="{00000000-0005-0000-0000-00004F0C0000}"/>
    <cellStyle name="Normal 5 2 2 3 2 5" xfId="1724" xr:uid="{00000000-0005-0000-0000-0000500C0000}"/>
    <cellStyle name="Normal 5 2 2 3 2 5 2" xfId="3954" xr:uid="{00000000-0005-0000-0000-0000510C0000}"/>
    <cellStyle name="Normal 5 2 2 3 2 6" xfId="2138" xr:uid="{00000000-0005-0000-0000-0000520C0000}"/>
    <cellStyle name="Normal 5 2 2 3 2 6 2" xfId="4367" xr:uid="{00000000-0005-0000-0000-0000530C0000}"/>
    <cellStyle name="Normal 5 2 2 3 2 7" xfId="2574" xr:uid="{00000000-0005-0000-0000-0000540C0000}"/>
    <cellStyle name="Normal 5 2 2 3 3" xfId="420" xr:uid="{00000000-0005-0000-0000-0000550C0000}"/>
    <cellStyle name="Normal 5 2 2 3 3 2" xfId="895" xr:uid="{00000000-0005-0000-0000-0000560C0000}"/>
    <cellStyle name="Normal 5 2 2 3 3 2 2" xfId="3130" xr:uid="{00000000-0005-0000-0000-0000570C0000}"/>
    <cellStyle name="Normal 5 2 2 3 3 3" xfId="1313" xr:uid="{00000000-0005-0000-0000-0000580C0000}"/>
    <cellStyle name="Normal 5 2 2 3 3 3 2" xfId="3543" xr:uid="{00000000-0005-0000-0000-0000590C0000}"/>
    <cellStyle name="Normal 5 2 2 3 3 4" xfId="1726" xr:uid="{00000000-0005-0000-0000-00005A0C0000}"/>
    <cellStyle name="Normal 5 2 2 3 3 4 2" xfId="3956" xr:uid="{00000000-0005-0000-0000-00005B0C0000}"/>
    <cellStyle name="Normal 5 2 2 3 3 5" xfId="2140" xr:uid="{00000000-0005-0000-0000-00005C0C0000}"/>
    <cellStyle name="Normal 5 2 2 3 3 5 2" xfId="4369" xr:uid="{00000000-0005-0000-0000-00005D0C0000}"/>
    <cellStyle name="Normal 5 2 2 3 3 6" xfId="2576" xr:uid="{00000000-0005-0000-0000-00005E0C0000}"/>
    <cellStyle name="Normal 5 2 2 3 4" xfId="892" xr:uid="{00000000-0005-0000-0000-00005F0C0000}"/>
    <cellStyle name="Normal 5 2 2 3 4 2" xfId="3127" xr:uid="{00000000-0005-0000-0000-0000600C0000}"/>
    <cellStyle name="Normal 5 2 2 3 5" xfId="1310" xr:uid="{00000000-0005-0000-0000-0000610C0000}"/>
    <cellStyle name="Normal 5 2 2 3 5 2" xfId="3540" xr:uid="{00000000-0005-0000-0000-0000620C0000}"/>
    <cellStyle name="Normal 5 2 2 3 6" xfId="1723" xr:uid="{00000000-0005-0000-0000-0000630C0000}"/>
    <cellStyle name="Normal 5 2 2 3 6 2" xfId="3953" xr:uid="{00000000-0005-0000-0000-0000640C0000}"/>
    <cellStyle name="Normal 5 2 2 3 7" xfId="2137" xr:uid="{00000000-0005-0000-0000-0000650C0000}"/>
    <cellStyle name="Normal 5 2 2 3 7 2" xfId="4366" xr:uid="{00000000-0005-0000-0000-0000660C0000}"/>
    <cellStyle name="Normal 5 2 2 3 8" xfId="2573" xr:uid="{00000000-0005-0000-0000-0000670C0000}"/>
    <cellStyle name="Normal 5 2 2 4" xfId="421" xr:uid="{00000000-0005-0000-0000-0000680C0000}"/>
    <cellStyle name="Normal 5 2 2 4 2" xfId="422" xr:uid="{00000000-0005-0000-0000-0000690C0000}"/>
    <cellStyle name="Normal 5 2 2 4 2 2" xfId="897" xr:uid="{00000000-0005-0000-0000-00006A0C0000}"/>
    <cellStyle name="Normal 5 2 2 4 2 2 2" xfId="3132" xr:uid="{00000000-0005-0000-0000-00006B0C0000}"/>
    <cellStyle name="Normal 5 2 2 4 2 3" xfId="1315" xr:uid="{00000000-0005-0000-0000-00006C0C0000}"/>
    <cellStyle name="Normal 5 2 2 4 2 3 2" xfId="3545" xr:uid="{00000000-0005-0000-0000-00006D0C0000}"/>
    <cellStyle name="Normal 5 2 2 4 2 4" xfId="1728" xr:uid="{00000000-0005-0000-0000-00006E0C0000}"/>
    <cellStyle name="Normal 5 2 2 4 2 4 2" xfId="3958" xr:uid="{00000000-0005-0000-0000-00006F0C0000}"/>
    <cellStyle name="Normal 5 2 2 4 2 5" xfId="2142" xr:uid="{00000000-0005-0000-0000-0000700C0000}"/>
    <cellStyle name="Normal 5 2 2 4 2 5 2" xfId="4371" xr:uid="{00000000-0005-0000-0000-0000710C0000}"/>
    <cellStyle name="Normal 5 2 2 4 2 6" xfId="2578" xr:uid="{00000000-0005-0000-0000-0000720C0000}"/>
    <cellStyle name="Normal 5 2 2 4 3" xfId="896" xr:uid="{00000000-0005-0000-0000-0000730C0000}"/>
    <cellStyle name="Normal 5 2 2 4 3 2" xfId="3131" xr:uid="{00000000-0005-0000-0000-0000740C0000}"/>
    <cellStyle name="Normal 5 2 2 4 4" xfId="1314" xr:uid="{00000000-0005-0000-0000-0000750C0000}"/>
    <cellStyle name="Normal 5 2 2 4 4 2" xfId="3544" xr:uid="{00000000-0005-0000-0000-0000760C0000}"/>
    <cellStyle name="Normal 5 2 2 4 5" xfId="1727" xr:uid="{00000000-0005-0000-0000-0000770C0000}"/>
    <cellStyle name="Normal 5 2 2 4 5 2" xfId="3957" xr:uid="{00000000-0005-0000-0000-0000780C0000}"/>
    <cellStyle name="Normal 5 2 2 4 6" xfId="2141" xr:uid="{00000000-0005-0000-0000-0000790C0000}"/>
    <cellStyle name="Normal 5 2 2 4 6 2" xfId="4370" xr:uid="{00000000-0005-0000-0000-00007A0C0000}"/>
    <cellStyle name="Normal 5 2 2 4 7" xfId="2577" xr:uid="{00000000-0005-0000-0000-00007B0C0000}"/>
    <cellStyle name="Normal 5 2 2 5" xfId="423" xr:uid="{00000000-0005-0000-0000-00007C0C0000}"/>
    <cellStyle name="Normal 5 2 2 5 2" xfId="898" xr:uid="{00000000-0005-0000-0000-00007D0C0000}"/>
    <cellStyle name="Normal 5 2 2 5 2 2" xfId="3133" xr:uid="{00000000-0005-0000-0000-00007E0C0000}"/>
    <cellStyle name="Normal 5 2 2 5 3" xfId="1316" xr:uid="{00000000-0005-0000-0000-00007F0C0000}"/>
    <cellStyle name="Normal 5 2 2 5 3 2" xfId="3546" xr:uid="{00000000-0005-0000-0000-0000800C0000}"/>
    <cellStyle name="Normal 5 2 2 5 4" xfId="1729" xr:uid="{00000000-0005-0000-0000-0000810C0000}"/>
    <cellStyle name="Normal 5 2 2 5 4 2" xfId="3959" xr:uid="{00000000-0005-0000-0000-0000820C0000}"/>
    <cellStyle name="Normal 5 2 2 5 5" xfId="2143" xr:uid="{00000000-0005-0000-0000-0000830C0000}"/>
    <cellStyle name="Normal 5 2 2 5 5 2" xfId="4372" xr:uid="{00000000-0005-0000-0000-0000840C0000}"/>
    <cellStyle name="Normal 5 2 2 5 6" xfId="2579" xr:uid="{00000000-0005-0000-0000-0000850C0000}"/>
    <cellStyle name="Normal 5 2 2 6" xfId="883" xr:uid="{00000000-0005-0000-0000-0000860C0000}"/>
    <cellStyle name="Normal 5 2 2 6 2" xfId="3118" xr:uid="{00000000-0005-0000-0000-0000870C0000}"/>
    <cellStyle name="Normal 5 2 2 7" xfId="1301" xr:uid="{00000000-0005-0000-0000-0000880C0000}"/>
    <cellStyle name="Normal 5 2 2 7 2" xfId="3531" xr:uid="{00000000-0005-0000-0000-0000890C0000}"/>
    <cellStyle name="Normal 5 2 2 8" xfId="1714" xr:uid="{00000000-0005-0000-0000-00008A0C0000}"/>
    <cellStyle name="Normal 5 2 2 8 2" xfId="3944" xr:uid="{00000000-0005-0000-0000-00008B0C0000}"/>
    <cellStyle name="Normal 5 2 2 9" xfId="2128" xr:uid="{00000000-0005-0000-0000-00008C0C0000}"/>
    <cellStyle name="Normal 5 2 2 9 2" xfId="4357" xr:uid="{00000000-0005-0000-0000-00008D0C0000}"/>
    <cellStyle name="Normal 5 2 3" xfId="424" xr:uid="{00000000-0005-0000-0000-00008E0C0000}"/>
    <cellStyle name="Normal 5 2 3 2" xfId="425" xr:uid="{00000000-0005-0000-0000-00008F0C0000}"/>
    <cellStyle name="Normal 5 2 3 2 2" xfId="426" xr:uid="{00000000-0005-0000-0000-0000900C0000}"/>
    <cellStyle name="Normal 5 2 3 2 2 2" xfId="427" xr:uid="{00000000-0005-0000-0000-0000910C0000}"/>
    <cellStyle name="Normal 5 2 3 2 2 2 2" xfId="902" xr:uid="{00000000-0005-0000-0000-0000920C0000}"/>
    <cellStyle name="Normal 5 2 3 2 2 2 2 2" xfId="3137" xr:uid="{00000000-0005-0000-0000-0000930C0000}"/>
    <cellStyle name="Normal 5 2 3 2 2 2 3" xfId="1320" xr:uid="{00000000-0005-0000-0000-0000940C0000}"/>
    <cellStyle name="Normal 5 2 3 2 2 2 3 2" xfId="3550" xr:uid="{00000000-0005-0000-0000-0000950C0000}"/>
    <cellStyle name="Normal 5 2 3 2 2 2 4" xfId="1733" xr:uid="{00000000-0005-0000-0000-0000960C0000}"/>
    <cellStyle name="Normal 5 2 3 2 2 2 4 2" xfId="3963" xr:uid="{00000000-0005-0000-0000-0000970C0000}"/>
    <cellStyle name="Normal 5 2 3 2 2 2 5" xfId="2147" xr:uid="{00000000-0005-0000-0000-0000980C0000}"/>
    <cellStyle name="Normal 5 2 3 2 2 2 5 2" xfId="4376" xr:uid="{00000000-0005-0000-0000-0000990C0000}"/>
    <cellStyle name="Normal 5 2 3 2 2 2 6" xfId="2583" xr:uid="{00000000-0005-0000-0000-00009A0C0000}"/>
    <cellStyle name="Normal 5 2 3 2 2 3" xfId="901" xr:uid="{00000000-0005-0000-0000-00009B0C0000}"/>
    <cellStyle name="Normal 5 2 3 2 2 3 2" xfId="3136" xr:uid="{00000000-0005-0000-0000-00009C0C0000}"/>
    <cellStyle name="Normal 5 2 3 2 2 4" xfId="1319" xr:uid="{00000000-0005-0000-0000-00009D0C0000}"/>
    <cellStyle name="Normal 5 2 3 2 2 4 2" xfId="3549" xr:uid="{00000000-0005-0000-0000-00009E0C0000}"/>
    <cellStyle name="Normal 5 2 3 2 2 5" xfId="1732" xr:uid="{00000000-0005-0000-0000-00009F0C0000}"/>
    <cellStyle name="Normal 5 2 3 2 2 5 2" xfId="3962" xr:uid="{00000000-0005-0000-0000-0000A00C0000}"/>
    <cellStyle name="Normal 5 2 3 2 2 6" xfId="2146" xr:uid="{00000000-0005-0000-0000-0000A10C0000}"/>
    <cellStyle name="Normal 5 2 3 2 2 6 2" xfId="4375" xr:uid="{00000000-0005-0000-0000-0000A20C0000}"/>
    <cellStyle name="Normal 5 2 3 2 2 7" xfId="2582" xr:uid="{00000000-0005-0000-0000-0000A30C0000}"/>
    <cellStyle name="Normal 5 2 3 2 3" xfId="428" xr:uid="{00000000-0005-0000-0000-0000A40C0000}"/>
    <cellStyle name="Normal 5 2 3 2 3 2" xfId="903" xr:uid="{00000000-0005-0000-0000-0000A50C0000}"/>
    <cellStyle name="Normal 5 2 3 2 3 2 2" xfId="3138" xr:uid="{00000000-0005-0000-0000-0000A60C0000}"/>
    <cellStyle name="Normal 5 2 3 2 3 3" xfId="1321" xr:uid="{00000000-0005-0000-0000-0000A70C0000}"/>
    <cellStyle name="Normal 5 2 3 2 3 3 2" xfId="3551" xr:uid="{00000000-0005-0000-0000-0000A80C0000}"/>
    <cellStyle name="Normal 5 2 3 2 3 4" xfId="1734" xr:uid="{00000000-0005-0000-0000-0000A90C0000}"/>
    <cellStyle name="Normal 5 2 3 2 3 4 2" xfId="3964" xr:uid="{00000000-0005-0000-0000-0000AA0C0000}"/>
    <cellStyle name="Normal 5 2 3 2 3 5" xfId="2148" xr:uid="{00000000-0005-0000-0000-0000AB0C0000}"/>
    <cellStyle name="Normal 5 2 3 2 3 5 2" xfId="4377" xr:uid="{00000000-0005-0000-0000-0000AC0C0000}"/>
    <cellStyle name="Normal 5 2 3 2 3 6" xfId="2584" xr:uid="{00000000-0005-0000-0000-0000AD0C0000}"/>
    <cellStyle name="Normal 5 2 3 2 4" xfId="900" xr:uid="{00000000-0005-0000-0000-0000AE0C0000}"/>
    <cellStyle name="Normal 5 2 3 2 4 2" xfId="3135" xr:uid="{00000000-0005-0000-0000-0000AF0C0000}"/>
    <cellStyle name="Normal 5 2 3 2 5" xfId="1318" xr:uid="{00000000-0005-0000-0000-0000B00C0000}"/>
    <cellStyle name="Normal 5 2 3 2 5 2" xfId="3548" xr:uid="{00000000-0005-0000-0000-0000B10C0000}"/>
    <cellStyle name="Normal 5 2 3 2 6" xfId="1731" xr:uid="{00000000-0005-0000-0000-0000B20C0000}"/>
    <cellStyle name="Normal 5 2 3 2 6 2" xfId="3961" xr:uid="{00000000-0005-0000-0000-0000B30C0000}"/>
    <cellStyle name="Normal 5 2 3 2 7" xfId="2145" xr:uid="{00000000-0005-0000-0000-0000B40C0000}"/>
    <cellStyle name="Normal 5 2 3 2 7 2" xfId="4374" xr:uid="{00000000-0005-0000-0000-0000B50C0000}"/>
    <cellStyle name="Normal 5 2 3 2 8" xfId="2581" xr:uid="{00000000-0005-0000-0000-0000B60C0000}"/>
    <cellStyle name="Normal 5 2 3 3" xfId="429" xr:uid="{00000000-0005-0000-0000-0000B70C0000}"/>
    <cellStyle name="Normal 5 2 3 3 2" xfId="430" xr:uid="{00000000-0005-0000-0000-0000B80C0000}"/>
    <cellStyle name="Normal 5 2 3 3 2 2" xfId="905" xr:uid="{00000000-0005-0000-0000-0000B90C0000}"/>
    <cellStyle name="Normal 5 2 3 3 2 2 2" xfId="3140" xr:uid="{00000000-0005-0000-0000-0000BA0C0000}"/>
    <cellStyle name="Normal 5 2 3 3 2 3" xfId="1323" xr:uid="{00000000-0005-0000-0000-0000BB0C0000}"/>
    <cellStyle name="Normal 5 2 3 3 2 3 2" xfId="3553" xr:uid="{00000000-0005-0000-0000-0000BC0C0000}"/>
    <cellStyle name="Normal 5 2 3 3 2 4" xfId="1736" xr:uid="{00000000-0005-0000-0000-0000BD0C0000}"/>
    <cellStyle name="Normal 5 2 3 3 2 4 2" xfId="3966" xr:uid="{00000000-0005-0000-0000-0000BE0C0000}"/>
    <cellStyle name="Normal 5 2 3 3 2 5" xfId="2150" xr:uid="{00000000-0005-0000-0000-0000BF0C0000}"/>
    <cellStyle name="Normal 5 2 3 3 2 5 2" xfId="4379" xr:uid="{00000000-0005-0000-0000-0000C00C0000}"/>
    <cellStyle name="Normal 5 2 3 3 2 6" xfId="2586" xr:uid="{00000000-0005-0000-0000-0000C10C0000}"/>
    <cellStyle name="Normal 5 2 3 3 3" xfId="904" xr:uid="{00000000-0005-0000-0000-0000C20C0000}"/>
    <cellStyle name="Normal 5 2 3 3 3 2" xfId="3139" xr:uid="{00000000-0005-0000-0000-0000C30C0000}"/>
    <cellStyle name="Normal 5 2 3 3 4" xfId="1322" xr:uid="{00000000-0005-0000-0000-0000C40C0000}"/>
    <cellStyle name="Normal 5 2 3 3 4 2" xfId="3552" xr:uid="{00000000-0005-0000-0000-0000C50C0000}"/>
    <cellStyle name="Normal 5 2 3 3 5" xfId="1735" xr:uid="{00000000-0005-0000-0000-0000C60C0000}"/>
    <cellStyle name="Normal 5 2 3 3 5 2" xfId="3965" xr:uid="{00000000-0005-0000-0000-0000C70C0000}"/>
    <cellStyle name="Normal 5 2 3 3 6" xfId="2149" xr:uid="{00000000-0005-0000-0000-0000C80C0000}"/>
    <cellStyle name="Normal 5 2 3 3 6 2" xfId="4378" xr:uid="{00000000-0005-0000-0000-0000C90C0000}"/>
    <cellStyle name="Normal 5 2 3 3 7" xfId="2585" xr:uid="{00000000-0005-0000-0000-0000CA0C0000}"/>
    <cellStyle name="Normal 5 2 3 4" xfId="431" xr:uid="{00000000-0005-0000-0000-0000CB0C0000}"/>
    <cellStyle name="Normal 5 2 3 4 2" xfId="906" xr:uid="{00000000-0005-0000-0000-0000CC0C0000}"/>
    <cellStyle name="Normal 5 2 3 4 2 2" xfId="3141" xr:uid="{00000000-0005-0000-0000-0000CD0C0000}"/>
    <cellStyle name="Normal 5 2 3 4 3" xfId="1324" xr:uid="{00000000-0005-0000-0000-0000CE0C0000}"/>
    <cellStyle name="Normal 5 2 3 4 3 2" xfId="3554" xr:uid="{00000000-0005-0000-0000-0000CF0C0000}"/>
    <cellStyle name="Normal 5 2 3 4 4" xfId="1737" xr:uid="{00000000-0005-0000-0000-0000D00C0000}"/>
    <cellStyle name="Normal 5 2 3 4 4 2" xfId="3967" xr:uid="{00000000-0005-0000-0000-0000D10C0000}"/>
    <cellStyle name="Normal 5 2 3 4 5" xfId="2151" xr:uid="{00000000-0005-0000-0000-0000D20C0000}"/>
    <cellStyle name="Normal 5 2 3 4 5 2" xfId="4380" xr:uid="{00000000-0005-0000-0000-0000D30C0000}"/>
    <cellStyle name="Normal 5 2 3 4 6" xfId="2587" xr:uid="{00000000-0005-0000-0000-0000D40C0000}"/>
    <cellStyle name="Normal 5 2 3 5" xfId="899" xr:uid="{00000000-0005-0000-0000-0000D50C0000}"/>
    <cellStyle name="Normal 5 2 3 5 2" xfId="3134" xr:uid="{00000000-0005-0000-0000-0000D60C0000}"/>
    <cellStyle name="Normal 5 2 3 6" xfId="1317" xr:uid="{00000000-0005-0000-0000-0000D70C0000}"/>
    <cellStyle name="Normal 5 2 3 6 2" xfId="3547" xr:uid="{00000000-0005-0000-0000-0000D80C0000}"/>
    <cellStyle name="Normal 5 2 3 7" xfId="1730" xr:uid="{00000000-0005-0000-0000-0000D90C0000}"/>
    <cellStyle name="Normal 5 2 3 7 2" xfId="3960" xr:uid="{00000000-0005-0000-0000-0000DA0C0000}"/>
    <cellStyle name="Normal 5 2 3 8" xfId="2144" xr:uid="{00000000-0005-0000-0000-0000DB0C0000}"/>
    <cellStyle name="Normal 5 2 3 8 2" xfId="4373" xr:uid="{00000000-0005-0000-0000-0000DC0C0000}"/>
    <cellStyle name="Normal 5 2 3 9" xfId="2580" xr:uid="{00000000-0005-0000-0000-0000DD0C0000}"/>
    <cellStyle name="Normal 5 2 4" xfId="432" xr:uid="{00000000-0005-0000-0000-0000DE0C0000}"/>
    <cellStyle name="Normal 5 2 4 2" xfId="433" xr:uid="{00000000-0005-0000-0000-0000DF0C0000}"/>
    <cellStyle name="Normal 5 2 4 2 2" xfId="434" xr:uid="{00000000-0005-0000-0000-0000E00C0000}"/>
    <cellStyle name="Normal 5 2 4 2 2 2" xfId="909" xr:uid="{00000000-0005-0000-0000-0000E10C0000}"/>
    <cellStyle name="Normal 5 2 4 2 2 2 2" xfId="3144" xr:uid="{00000000-0005-0000-0000-0000E20C0000}"/>
    <cellStyle name="Normal 5 2 4 2 2 3" xfId="1327" xr:uid="{00000000-0005-0000-0000-0000E30C0000}"/>
    <cellStyle name="Normal 5 2 4 2 2 3 2" xfId="3557" xr:uid="{00000000-0005-0000-0000-0000E40C0000}"/>
    <cellStyle name="Normal 5 2 4 2 2 4" xfId="1740" xr:uid="{00000000-0005-0000-0000-0000E50C0000}"/>
    <cellStyle name="Normal 5 2 4 2 2 4 2" xfId="3970" xr:uid="{00000000-0005-0000-0000-0000E60C0000}"/>
    <cellStyle name="Normal 5 2 4 2 2 5" xfId="2154" xr:uid="{00000000-0005-0000-0000-0000E70C0000}"/>
    <cellStyle name="Normal 5 2 4 2 2 5 2" xfId="4383" xr:uid="{00000000-0005-0000-0000-0000E80C0000}"/>
    <cellStyle name="Normal 5 2 4 2 2 6" xfId="2590" xr:uid="{00000000-0005-0000-0000-0000E90C0000}"/>
    <cellStyle name="Normal 5 2 4 2 3" xfId="908" xr:uid="{00000000-0005-0000-0000-0000EA0C0000}"/>
    <cellStyle name="Normal 5 2 4 2 3 2" xfId="3143" xr:uid="{00000000-0005-0000-0000-0000EB0C0000}"/>
    <cellStyle name="Normal 5 2 4 2 4" xfId="1326" xr:uid="{00000000-0005-0000-0000-0000EC0C0000}"/>
    <cellStyle name="Normal 5 2 4 2 4 2" xfId="3556" xr:uid="{00000000-0005-0000-0000-0000ED0C0000}"/>
    <cellStyle name="Normal 5 2 4 2 5" xfId="1739" xr:uid="{00000000-0005-0000-0000-0000EE0C0000}"/>
    <cellStyle name="Normal 5 2 4 2 5 2" xfId="3969" xr:uid="{00000000-0005-0000-0000-0000EF0C0000}"/>
    <cellStyle name="Normal 5 2 4 2 6" xfId="2153" xr:uid="{00000000-0005-0000-0000-0000F00C0000}"/>
    <cellStyle name="Normal 5 2 4 2 6 2" xfId="4382" xr:uid="{00000000-0005-0000-0000-0000F10C0000}"/>
    <cellStyle name="Normal 5 2 4 2 7" xfId="2589" xr:uid="{00000000-0005-0000-0000-0000F20C0000}"/>
    <cellStyle name="Normal 5 2 4 3" xfId="435" xr:uid="{00000000-0005-0000-0000-0000F30C0000}"/>
    <cellStyle name="Normal 5 2 4 3 2" xfId="910" xr:uid="{00000000-0005-0000-0000-0000F40C0000}"/>
    <cellStyle name="Normal 5 2 4 3 2 2" xfId="3145" xr:uid="{00000000-0005-0000-0000-0000F50C0000}"/>
    <cellStyle name="Normal 5 2 4 3 3" xfId="1328" xr:uid="{00000000-0005-0000-0000-0000F60C0000}"/>
    <cellStyle name="Normal 5 2 4 3 3 2" xfId="3558" xr:uid="{00000000-0005-0000-0000-0000F70C0000}"/>
    <cellStyle name="Normal 5 2 4 3 4" xfId="1741" xr:uid="{00000000-0005-0000-0000-0000F80C0000}"/>
    <cellStyle name="Normal 5 2 4 3 4 2" xfId="3971" xr:uid="{00000000-0005-0000-0000-0000F90C0000}"/>
    <cellStyle name="Normal 5 2 4 3 5" xfId="2155" xr:uid="{00000000-0005-0000-0000-0000FA0C0000}"/>
    <cellStyle name="Normal 5 2 4 3 5 2" xfId="4384" xr:uid="{00000000-0005-0000-0000-0000FB0C0000}"/>
    <cellStyle name="Normal 5 2 4 3 6" xfId="2591" xr:uid="{00000000-0005-0000-0000-0000FC0C0000}"/>
    <cellStyle name="Normal 5 2 4 4" xfId="907" xr:uid="{00000000-0005-0000-0000-0000FD0C0000}"/>
    <cellStyle name="Normal 5 2 4 4 2" xfId="3142" xr:uid="{00000000-0005-0000-0000-0000FE0C0000}"/>
    <cellStyle name="Normal 5 2 4 5" xfId="1325" xr:uid="{00000000-0005-0000-0000-0000FF0C0000}"/>
    <cellStyle name="Normal 5 2 4 5 2" xfId="3555" xr:uid="{00000000-0005-0000-0000-0000000D0000}"/>
    <cellStyle name="Normal 5 2 4 6" xfId="1738" xr:uid="{00000000-0005-0000-0000-0000010D0000}"/>
    <cellStyle name="Normal 5 2 4 6 2" xfId="3968" xr:uid="{00000000-0005-0000-0000-0000020D0000}"/>
    <cellStyle name="Normal 5 2 4 7" xfId="2152" xr:uid="{00000000-0005-0000-0000-0000030D0000}"/>
    <cellStyle name="Normal 5 2 4 7 2" xfId="4381" xr:uid="{00000000-0005-0000-0000-0000040D0000}"/>
    <cellStyle name="Normal 5 2 4 8" xfId="2588" xr:uid="{00000000-0005-0000-0000-0000050D0000}"/>
    <cellStyle name="Normal 5 2 5" xfId="436" xr:uid="{00000000-0005-0000-0000-0000060D0000}"/>
    <cellStyle name="Normal 5 2 5 2" xfId="437" xr:uid="{00000000-0005-0000-0000-0000070D0000}"/>
    <cellStyle name="Normal 5 2 5 2 2" xfId="912" xr:uid="{00000000-0005-0000-0000-0000080D0000}"/>
    <cellStyle name="Normal 5 2 5 2 2 2" xfId="3147" xr:uid="{00000000-0005-0000-0000-0000090D0000}"/>
    <cellStyle name="Normal 5 2 5 2 3" xfId="1330" xr:uid="{00000000-0005-0000-0000-00000A0D0000}"/>
    <cellStyle name="Normal 5 2 5 2 3 2" xfId="3560" xr:uid="{00000000-0005-0000-0000-00000B0D0000}"/>
    <cellStyle name="Normal 5 2 5 2 4" xfId="1743" xr:uid="{00000000-0005-0000-0000-00000C0D0000}"/>
    <cellStyle name="Normal 5 2 5 2 4 2" xfId="3973" xr:uid="{00000000-0005-0000-0000-00000D0D0000}"/>
    <cellStyle name="Normal 5 2 5 2 5" xfId="2157" xr:uid="{00000000-0005-0000-0000-00000E0D0000}"/>
    <cellStyle name="Normal 5 2 5 2 5 2" xfId="4386" xr:uid="{00000000-0005-0000-0000-00000F0D0000}"/>
    <cellStyle name="Normal 5 2 5 2 6" xfId="2593" xr:uid="{00000000-0005-0000-0000-0000100D0000}"/>
    <cellStyle name="Normal 5 2 5 3" xfId="911" xr:uid="{00000000-0005-0000-0000-0000110D0000}"/>
    <cellStyle name="Normal 5 2 5 3 2" xfId="3146" xr:uid="{00000000-0005-0000-0000-0000120D0000}"/>
    <cellStyle name="Normal 5 2 5 4" xfId="1329" xr:uid="{00000000-0005-0000-0000-0000130D0000}"/>
    <cellStyle name="Normal 5 2 5 4 2" xfId="3559" xr:uid="{00000000-0005-0000-0000-0000140D0000}"/>
    <cellStyle name="Normal 5 2 5 5" xfId="1742" xr:uid="{00000000-0005-0000-0000-0000150D0000}"/>
    <cellStyle name="Normal 5 2 5 5 2" xfId="3972" xr:uid="{00000000-0005-0000-0000-0000160D0000}"/>
    <cellStyle name="Normal 5 2 5 6" xfId="2156" xr:uid="{00000000-0005-0000-0000-0000170D0000}"/>
    <cellStyle name="Normal 5 2 5 6 2" xfId="4385" xr:uid="{00000000-0005-0000-0000-0000180D0000}"/>
    <cellStyle name="Normal 5 2 5 7" xfId="2592" xr:uid="{00000000-0005-0000-0000-0000190D0000}"/>
    <cellStyle name="Normal 5 2 6" xfId="438" xr:uid="{00000000-0005-0000-0000-00001A0D0000}"/>
    <cellStyle name="Normal 5 2 6 2" xfId="913" xr:uid="{00000000-0005-0000-0000-00001B0D0000}"/>
    <cellStyle name="Normal 5 2 6 2 2" xfId="3148" xr:uid="{00000000-0005-0000-0000-00001C0D0000}"/>
    <cellStyle name="Normal 5 2 6 3" xfId="1331" xr:uid="{00000000-0005-0000-0000-00001D0D0000}"/>
    <cellStyle name="Normal 5 2 6 3 2" xfId="3561" xr:uid="{00000000-0005-0000-0000-00001E0D0000}"/>
    <cellStyle name="Normal 5 2 6 4" xfId="1744" xr:uid="{00000000-0005-0000-0000-00001F0D0000}"/>
    <cellStyle name="Normal 5 2 6 4 2" xfId="3974" xr:uid="{00000000-0005-0000-0000-0000200D0000}"/>
    <cellStyle name="Normal 5 2 6 5" xfId="2158" xr:uid="{00000000-0005-0000-0000-0000210D0000}"/>
    <cellStyle name="Normal 5 2 6 5 2" xfId="4387" xr:uid="{00000000-0005-0000-0000-0000220D0000}"/>
    <cellStyle name="Normal 5 2 6 6" xfId="2594" xr:uid="{00000000-0005-0000-0000-0000230D0000}"/>
    <cellStyle name="Normal 5 2 7" xfId="882" xr:uid="{00000000-0005-0000-0000-0000240D0000}"/>
    <cellStyle name="Normal 5 2 7 2" xfId="3117" xr:uid="{00000000-0005-0000-0000-0000250D0000}"/>
    <cellStyle name="Normal 5 2 8" xfId="1300" xr:uid="{00000000-0005-0000-0000-0000260D0000}"/>
    <cellStyle name="Normal 5 2 8 2" xfId="3530" xr:uid="{00000000-0005-0000-0000-0000270D0000}"/>
    <cellStyle name="Normal 5 2 9" xfId="1713" xr:uid="{00000000-0005-0000-0000-0000280D0000}"/>
    <cellStyle name="Normal 5 2 9 2" xfId="3943" xr:uid="{00000000-0005-0000-0000-0000290D0000}"/>
    <cellStyle name="Normal 5 3" xfId="439" xr:uid="{00000000-0005-0000-0000-00002A0D0000}"/>
    <cellStyle name="Normal 5 3 10" xfId="2159" xr:uid="{00000000-0005-0000-0000-00002B0D0000}"/>
    <cellStyle name="Normal 5 3 10 2" xfId="4388" xr:uid="{00000000-0005-0000-0000-00002C0D0000}"/>
    <cellStyle name="Normal 5 3 11" xfId="2595" xr:uid="{00000000-0005-0000-0000-00002D0D0000}"/>
    <cellStyle name="Normal 5 3 2" xfId="440" xr:uid="{00000000-0005-0000-0000-00002E0D0000}"/>
    <cellStyle name="Normal 5 3 2 2" xfId="915" xr:uid="{00000000-0005-0000-0000-00002F0D0000}"/>
    <cellStyle name="Normal 5 3 3" xfId="441" xr:uid="{00000000-0005-0000-0000-0000300D0000}"/>
    <cellStyle name="Normal 5 3 3 2" xfId="442" xr:uid="{00000000-0005-0000-0000-0000310D0000}"/>
    <cellStyle name="Normal 5 3 3 2 2" xfId="443" xr:uid="{00000000-0005-0000-0000-0000320D0000}"/>
    <cellStyle name="Normal 5 3 3 2 2 2" xfId="444" xr:uid="{00000000-0005-0000-0000-0000330D0000}"/>
    <cellStyle name="Normal 5 3 3 2 2 2 2" xfId="919" xr:uid="{00000000-0005-0000-0000-0000340D0000}"/>
    <cellStyle name="Normal 5 3 3 2 2 2 2 2" xfId="3153" xr:uid="{00000000-0005-0000-0000-0000350D0000}"/>
    <cellStyle name="Normal 5 3 3 2 2 2 3" xfId="1336" xr:uid="{00000000-0005-0000-0000-0000360D0000}"/>
    <cellStyle name="Normal 5 3 3 2 2 2 3 2" xfId="3566" xr:uid="{00000000-0005-0000-0000-0000370D0000}"/>
    <cellStyle name="Normal 5 3 3 2 2 2 4" xfId="1749" xr:uid="{00000000-0005-0000-0000-0000380D0000}"/>
    <cellStyle name="Normal 5 3 3 2 2 2 4 2" xfId="3979" xr:uid="{00000000-0005-0000-0000-0000390D0000}"/>
    <cellStyle name="Normal 5 3 3 2 2 2 5" xfId="2163" xr:uid="{00000000-0005-0000-0000-00003A0D0000}"/>
    <cellStyle name="Normal 5 3 3 2 2 2 5 2" xfId="4392" xr:uid="{00000000-0005-0000-0000-00003B0D0000}"/>
    <cellStyle name="Normal 5 3 3 2 2 2 6" xfId="2599" xr:uid="{00000000-0005-0000-0000-00003C0D0000}"/>
    <cellStyle name="Normal 5 3 3 2 2 3" xfId="918" xr:uid="{00000000-0005-0000-0000-00003D0D0000}"/>
    <cellStyle name="Normal 5 3 3 2 2 3 2" xfId="3152" xr:uid="{00000000-0005-0000-0000-00003E0D0000}"/>
    <cellStyle name="Normal 5 3 3 2 2 4" xfId="1335" xr:uid="{00000000-0005-0000-0000-00003F0D0000}"/>
    <cellStyle name="Normal 5 3 3 2 2 4 2" xfId="3565" xr:uid="{00000000-0005-0000-0000-0000400D0000}"/>
    <cellStyle name="Normal 5 3 3 2 2 5" xfId="1748" xr:uid="{00000000-0005-0000-0000-0000410D0000}"/>
    <cellStyle name="Normal 5 3 3 2 2 5 2" xfId="3978" xr:uid="{00000000-0005-0000-0000-0000420D0000}"/>
    <cellStyle name="Normal 5 3 3 2 2 6" xfId="2162" xr:uid="{00000000-0005-0000-0000-0000430D0000}"/>
    <cellStyle name="Normal 5 3 3 2 2 6 2" xfId="4391" xr:uid="{00000000-0005-0000-0000-0000440D0000}"/>
    <cellStyle name="Normal 5 3 3 2 2 7" xfId="2598" xr:uid="{00000000-0005-0000-0000-0000450D0000}"/>
    <cellStyle name="Normal 5 3 3 2 3" xfId="445" xr:uid="{00000000-0005-0000-0000-0000460D0000}"/>
    <cellStyle name="Normal 5 3 3 2 3 2" xfId="920" xr:uid="{00000000-0005-0000-0000-0000470D0000}"/>
    <cellStyle name="Normal 5 3 3 2 3 2 2" xfId="3154" xr:uid="{00000000-0005-0000-0000-0000480D0000}"/>
    <cellStyle name="Normal 5 3 3 2 3 3" xfId="1337" xr:uid="{00000000-0005-0000-0000-0000490D0000}"/>
    <cellStyle name="Normal 5 3 3 2 3 3 2" xfId="3567" xr:uid="{00000000-0005-0000-0000-00004A0D0000}"/>
    <cellStyle name="Normal 5 3 3 2 3 4" xfId="1750" xr:uid="{00000000-0005-0000-0000-00004B0D0000}"/>
    <cellStyle name="Normal 5 3 3 2 3 4 2" xfId="3980" xr:uid="{00000000-0005-0000-0000-00004C0D0000}"/>
    <cellStyle name="Normal 5 3 3 2 3 5" xfId="2164" xr:uid="{00000000-0005-0000-0000-00004D0D0000}"/>
    <cellStyle name="Normal 5 3 3 2 3 5 2" xfId="4393" xr:uid="{00000000-0005-0000-0000-00004E0D0000}"/>
    <cellStyle name="Normal 5 3 3 2 3 6" xfId="2600" xr:uid="{00000000-0005-0000-0000-00004F0D0000}"/>
    <cellStyle name="Normal 5 3 3 2 4" xfId="917" xr:uid="{00000000-0005-0000-0000-0000500D0000}"/>
    <cellStyle name="Normal 5 3 3 2 4 2" xfId="3151" xr:uid="{00000000-0005-0000-0000-0000510D0000}"/>
    <cellStyle name="Normal 5 3 3 2 5" xfId="1334" xr:uid="{00000000-0005-0000-0000-0000520D0000}"/>
    <cellStyle name="Normal 5 3 3 2 5 2" xfId="3564" xr:uid="{00000000-0005-0000-0000-0000530D0000}"/>
    <cellStyle name="Normal 5 3 3 2 6" xfId="1747" xr:uid="{00000000-0005-0000-0000-0000540D0000}"/>
    <cellStyle name="Normal 5 3 3 2 6 2" xfId="3977" xr:uid="{00000000-0005-0000-0000-0000550D0000}"/>
    <cellStyle name="Normal 5 3 3 2 7" xfId="2161" xr:uid="{00000000-0005-0000-0000-0000560D0000}"/>
    <cellStyle name="Normal 5 3 3 2 7 2" xfId="4390" xr:uid="{00000000-0005-0000-0000-0000570D0000}"/>
    <cellStyle name="Normal 5 3 3 2 8" xfId="2597" xr:uid="{00000000-0005-0000-0000-0000580D0000}"/>
    <cellStyle name="Normal 5 3 3 3" xfId="446" xr:uid="{00000000-0005-0000-0000-0000590D0000}"/>
    <cellStyle name="Normal 5 3 3 3 2" xfId="447" xr:uid="{00000000-0005-0000-0000-00005A0D0000}"/>
    <cellStyle name="Normal 5 3 3 3 2 2" xfId="922" xr:uid="{00000000-0005-0000-0000-00005B0D0000}"/>
    <cellStyle name="Normal 5 3 3 3 2 2 2" xfId="3156" xr:uid="{00000000-0005-0000-0000-00005C0D0000}"/>
    <cellStyle name="Normal 5 3 3 3 2 3" xfId="1339" xr:uid="{00000000-0005-0000-0000-00005D0D0000}"/>
    <cellStyle name="Normal 5 3 3 3 2 3 2" xfId="3569" xr:uid="{00000000-0005-0000-0000-00005E0D0000}"/>
    <cellStyle name="Normal 5 3 3 3 2 4" xfId="1752" xr:uid="{00000000-0005-0000-0000-00005F0D0000}"/>
    <cellStyle name="Normal 5 3 3 3 2 4 2" xfId="3982" xr:uid="{00000000-0005-0000-0000-0000600D0000}"/>
    <cellStyle name="Normal 5 3 3 3 2 5" xfId="2166" xr:uid="{00000000-0005-0000-0000-0000610D0000}"/>
    <cellStyle name="Normal 5 3 3 3 2 5 2" xfId="4395" xr:uid="{00000000-0005-0000-0000-0000620D0000}"/>
    <cellStyle name="Normal 5 3 3 3 2 6" xfId="2602" xr:uid="{00000000-0005-0000-0000-0000630D0000}"/>
    <cellStyle name="Normal 5 3 3 3 3" xfId="921" xr:uid="{00000000-0005-0000-0000-0000640D0000}"/>
    <cellStyle name="Normal 5 3 3 3 3 2" xfId="3155" xr:uid="{00000000-0005-0000-0000-0000650D0000}"/>
    <cellStyle name="Normal 5 3 3 3 4" xfId="1338" xr:uid="{00000000-0005-0000-0000-0000660D0000}"/>
    <cellStyle name="Normal 5 3 3 3 4 2" xfId="3568" xr:uid="{00000000-0005-0000-0000-0000670D0000}"/>
    <cellStyle name="Normal 5 3 3 3 5" xfId="1751" xr:uid="{00000000-0005-0000-0000-0000680D0000}"/>
    <cellStyle name="Normal 5 3 3 3 5 2" xfId="3981" xr:uid="{00000000-0005-0000-0000-0000690D0000}"/>
    <cellStyle name="Normal 5 3 3 3 6" xfId="2165" xr:uid="{00000000-0005-0000-0000-00006A0D0000}"/>
    <cellStyle name="Normal 5 3 3 3 6 2" xfId="4394" xr:uid="{00000000-0005-0000-0000-00006B0D0000}"/>
    <cellStyle name="Normal 5 3 3 3 7" xfId="2601" xr:uid="{00000000-0005-0000-0000-00006C0D0000}"/>
    <cellStyle name="Normal 5 3 3 4" xfId="448" xr:uid="{00000000-0005-0000-0000-00006D0D0000}"/>
    <cellStyle name="Normal 5 3 3 4 2" xfId="923" xr:uid="{00000000-0005-0000-0000-00006E0D0000}"/>
    <cellStyle name="Normal 5 3 3 4 2 2" xfId="3157" xr:uid="{00000000-0005-0000-0000-00006F0D0000}"/>
    <cellStyle name="Normal 5 3 3 4 3" xfId="1340" xr:uid="{00000000-0005-0000-0000-0000700D0000}"/>
    <cellStyle name="Normal 5 3 3 4 3 2" xfId="3570" xr:uid="{00000000-0005-0000-0000-0000710D0000}"/>
    <cellStyle name="Normal 5 3 3 4 4" xfId="1753" xr:uid="{00000000-0005-0000-0000-0000720D0000}"/>
    <cellStyle name="Normal 5 3 3 4 4 2" xfId="3983" xr:uid="{00000000-0005-0000-0000-0000730D0000}"/>
    <cellStyle name="Normal 5 3 3 4 5" xfId="2167" xr:uid="{00000000-0005-0000-0000-0000740D0000}"/>
    <cellStyle name="Normal 5 3 3 4 5 2" xfId="4396" xr:uid="{00000000-0005-0000-0000-0000750D0000}"/>
    <cellStyle name="Normal 5 3 3 4 6" xfId="2603" xr:uid="{00000000-0005-0000-0000-0000760D0000}"/>
    <cellStyle name="Normal 5 3 3 5" xfId="916" xr:uid="{00000000-0005-0000-0000-0000770D0000}"/>
    <cellStyle name="Normal 5 3 3 5 2" xfId="3150" xr:uid="{00000000-0005-0000-0000-0000780D0000}"/>
    <cellStyle name="Normal 5 3 3 6" xfId="1333" xr:uid="{00000000-0005-0000-0000-0000790D0000}"/>
    <cellStyle name="Normal 5 3 3 6 2" xfId="3563" xr:uid="{00000000-0005-0000-0000-00007A0D0000}"/>
    <cellStyle name="Normal 5 3 3 7" xfId="1746" xr:uid="{00000000-0005-0000-0000-00007B0D0000}"/>
    <cellStyle name="Normal 5 3 3 7 2" xfId="3976" xr:uid="{00000000-0005-0000-0000-00007C0D0000}"/>
    <cellStyle name="Normal 5 3 3 8" xfId="2160" xr:uid="{00000000-0005-0000-0000-00007D0D0000}"/>
    <cellStyle name="Normal 5 3 3 8 2" xfId="4389" xr:uid="{00000000-0005-0000-0000-00007E0D0000}"/>
    <cellStyle name="Normal 5 3 3 9" xfId="2596" xr:uid="{00000000-0005-0000-0000-00007F0D0000}"/>
    <cellStyle name="Normal 5 3 4" xfId="449" xr:uid="{00000000-0005-0000-0000-0000800D0000}"/>
    <cellStyle name="Normal 5 3 4 2" xfId="450" xr:uid="{00000000-0005-0000-0000-0000810D0000}"/>
    <cellStyle name="Normal 5 3 4 2 2" xfId="451" xr:uid="{00000000-0005-0000-0000-0000820D0000}"/>
    <cellStyle name="Normal 5 3 4 2 2 2" xfId="926" xr:uid="{00000000-0005-0000-0000-0000830D0000}"/>
    <cellStyle name="Normal 5 3 4 2 2 2 2" xfId="3160" xr:uid="{00000000-0005-0000-0000-0000840D0000}"/>
    <cellStyle name="Normal 5 3 4 2 2 3" xfId="1343" xr:uid="{00000000-0005-0000-0000-0000850D0000}"/>
    <cellStyle name="Normal 5 3 4 2 2 3 2" xfId="3573" xr:uid="{00000000-0005-0000-0000-0000860D0000}"/>
    <cellStyle name="Normal 5 3 4 2 2 4" xfId="1756" xr:uid="{00000000-0005-0000-0000-0000870D0000}"/>
    <cellStyle name="Normal 5 3 4 2 2 4 2" xfId="3986" xr:uid="{00000000-0005-0000-0000-0000880D0000}"/>
    <cellStyle name="Normal 5 3 4 2 2 5" xfId="2170" xr:uid="{00000000-0005-0000-0000-0000890D0000}"/>
    <cellStyle name="Normal 5 3 4 2 2 5 2" xfId="4399" xr:uid="{00000000-0005-0000-0000-00008A0D0000}"/>
    <cellStyle name="Normal 5 3 4 2 2 6" xfId="2606" xr:uid="{00000000-0005-0000-0000-00008B0D0000}"/>
    <cellStyle name="Normal 5 3 4 2 3" xfId="925" xr:uid="{00000000-0005-0000-0000-00008C0D0000}"/>
    <cellStyle name="Normal 5 3 4 2 3 2" xfId="3159" xr:uid="{00000000-0005-0000-0000-00008D0D0000}"/>
    <cellStyle name="Normal 5 3 4 2 4" xfId="1342" xr:uid="{00000000-0005-0000-0000-00008E0D0000}"/>
    <cellStyle name="Normal 5 3 4 2 4 2" xfId="3572" xr:uid="{00000000-0005-0000-0000-00008F0D0000}"/>
    <cellStyle name="Normal 5 3 4 2 5" xfId="1755" xr:uid="{00000000-0005-0000-0000-0000900D0000}"/>
    <cellStyle name="Normal 5 3 4 2 5 2" xfId="3985" xr:uid="{00000000-0005-0000-0000-0000910D0000}"/>
    <cellStyle name="Normal 5 3 4 2 6" xfId="2169" xr:uid="{00000000-0005-0000-0000-0000920D0000}"/>
    <cellStyle name="Normal 5 3 4 2 6 2" xfId="4398" xr:uid="{00000000-0005-0000-0000-0000930D0000}"/>
    <cellStyle name="Normal 5 3 4 2 7" xfId="2605" xr:uid="{00000000-0005-0000-0000-0000940D0000}"/>
    <cellStyle name="Normal 5 3 4 3" xfId="452" xr:uid="{00000000-0005-0000-0000-0000950D0000}"/>
    <cellStyle name="Normal 5 3 4 3 2" xfId="927" xr:uid="{00000000-0005-0000-0000-0000960D0000}"/>
    <cellStyle name="Normal 5 3 4 3 2 2" xfId="3161" xr:uid="{00000000-0005-0000-0000-0000970D0000}"/>
    <cellStyle name="Normal 5 3 4 3 3" xfId="1344" xr:uid="{00000000-0005-0000-0000-0000980D0000}"/>
    <cellStyle name="Normal 5 3 4 3 3 2" xfId="3574" xr:uid="{00000000-0005-0000-0000-0000990D0000}"/>
    <cellStyle name="Normal 5 3 4 3 4" xfId="1757" xr:uid="{00000000-0005-0000-0000-00009A0D0000}"/>
    <cellStyle name="Normal 5 3 4 3 4 2" xfId="3987" xr:uid="{00000000-0005-0000-0000-00009B0D0000}"/>
    <cellStyle name="Normal 5 3 4 3 5" xfId="2171" xr:uid="{00000000-0005-0000-0000-00009C0D0000}"/>
    <cellStyle name="Normal 5 3 4 3 5 2" xfId="4400" xr:uid="{00000000-0005-0000-0000-00009D0D0000}"/>
    <cellStyle name="Normal 5 3 4 3 6" xfId="2607" xr:uid="{00000000-0005-0000-0000-00009E0D0000}"/>
    <cellStyle name="Normal 5 3 4 4" xfId="924" xr:uid="{00000000-0005-0000-0000-00009F0D0000}"/>
    <cellStyle name="Normal 5 3 4 4 2" xfId="3158" xr:uid="{00000000-0005-0000-0000-0000A00D0000}"/>
    <cellStyle name="Normal 5 3 4 5" xfId="1341" xr:uid="{00000000-0005-0000-0000-0000A10D0000}"/>
    <cellStyle name="Normal 5 3 4 5 2" xfId="3571" xr:uid="{00000000-0005-0000-0000-0000A20D0000}"/>
    <cellStyle name="Normal 5 3 4 6" xfId="1754" xr:uid="{00000000-0005-0000-0000-0000A30D0000}"/>
    <cellStyle name="Normal 5 3 4 6 2" xfId="3984" xr:uid="{00000000-0005-0000-0000-0000A40D0000}"/>
    <cellStyle name="Normal 5 3 4 7" xfId="2168" xr:uid="{00000000-0005-0000-0000-0000A50D0000}"/>
    <cellStyle name="Normal 5 3 4 7 2" xfId="4397" xr:uid="{00000000-0005-0000-0000-0000A60D0000}"/>
    <cellStyle name="Normal 5 3 4 8" xfId="2604" xr:uid="{00000000-0005-0000-0000-0000A70D0000}"/>
    <cellStyle name="Normal 5 3 5" xfId="453" xr:uid="{00000000-0005-0000-0000-0000A80D0000}"/>
    <cellStyle name="Normal 5 3 5 2" xfId="454" xr:uid="{00000000-0005-0000-0000-0000A90D0000}"/>
    <cellStyle name="Normal 5 3 5 2 2" xfId="929" xr:uid="{00000000-0005-0000-0000-0000AA0D0000}"/>
    <cellStyle name="Normal 5 3 5 2 2 2" xfId="3163" xr:uid="{00000000-0005-0000-0000-0000AB0D0000}"/>
    <cellStyle name="Normal 5 3 5 2 3" xfId="1346" xr:uid="{00000000-0005-0000-0000-0000AC0D0000}"/>
    <cellStyle name="Normal 5 3 5 2 3 2" xfId="3576" xr:uid="{00000000-0005-0000-0000-0000AD0D0000}"/>
    <cellStyle name="Normal 5 3 5 2 4" xfId="1759" xr:uid="{00000000-0005-0000-0000-0000AE0D0000}"/>
    <cellStyle name="Normal 5 3 5 2 4 2" xfId="3989" xr:uid="{00000000-0005-0000-0000-0000AF0D0000}"/>
    <cellStyle name="Normal 5 3 5 2 5" xfId="2173" xr:uid="{00000000-0005-0000-0000-0000B00D0000}"/>
    <cellStyle name="Normal 5 3 5 2 5 2" xfId="4402" xr:uid="{00000000-0005-0000-0000-0000B10D0000}"/>
    <cellStyle name="Normal 5 3 5 2 6" xfId="2609" xr:uid="{00000000-0005-0000-0000-0000B20D0000}"/>
    <cellStyle name="Normal 5 3 5 3" xfId="928" xr:uid="{00000000-0005-0000-0000-0000B30D0000}"/>
    <cellStyle name="Normal 5 3 5 3 2" xfId="3162" xr:uid="{00000000-0005-0000-0000-0000B40D0000}"/>
    <cellStyle name="Normal 5 3 5 4" xfId="1345" xr:uid="{00000000-0005-0000-0000-0000B50D0000}"/>
    <cellStyle name="Normal 5 3 5 4 2" xfId="3575" xr:uid="{00000000-0005-0000-0000-0000B60D0000}"/>
    <cellStyle name="Normal 5 3 5 5" xfId="1758" xr:uid="{00000000-0005-0000-0000-0000B70D0000}"/>
    <cellStyle name="Normal 5 3 5 5 2" xfId="3988" xr:uid="{00000000-0005-0000-0000-0000B80D0000}"/>
    <cellStyle name="Normal 5 3 5 6" xfId="2172" xr:uid="{00000000-0005-0000-0000-0000B90D0000}"/>
    <cellStyle name="Normal 5 3 5 6 2" xfId="4401" xr:uid="{00000000-0005-0000-0000-0000BA0D0000}"/>
    <cellStyle name="Normal 5 3 5 7" xfId="2608" xr:uid="{00000000-0005-0000-0000-0000BB0D0000}"/>
    <cellStyle name="Normal 5 3 6" xfId="455" xr:uid="{00000000-0005-0000-0000-0000BC0D0000}"/>
    <cellStyle name="Normal 5 3 6 2" xfId="930" xr:uid="{00000000-0005-0000-0000-0000BD0D0000}"/>
    <cellStyle name="Normal 5 3 6 2 2" xfId="3164" xr:uid="{00000000-0005-0000-0000-0000BE0D0000}"/>
    <cellStyle name="Normal 5 3 6 3" xfId="1347" xr:uid="{00000000-0005-0000-0000-0000BF0D0000}"/>
    <cellStyle name="Normal 5 3 6 3 2" xfId="3577" xr:uid="{00000000-0005-0000-0000-0000C00D0000}"/>
    <cellStyle name="Normal 5 3 6 4" xfId="1760" xr:uid="{00000000-0005-0000-0000-0000C10D0000}"/>
    <cellStyle name="Normal 5 3 6 4 2" xfId="3990" xr:uid="{00000000-0005-0000-0000-0000C20D0000}"/>
    <cellStyle name="Normal 5 3 6 5" xfId="2174" xr:uid="{00000000-0005-0000-0000-0000C30D0000}"/>
    <cellStyle name="Normal 5 3 6 5 2" xfId="4403" xr:uid="{00000000-0005-0000-0000-0000C40D0000}"/>
    <cellStyle name="Normal 5 3 6 6" xfId="2610" xr:uid="{00000000-0005-0000-0000-0000C50D0000}"/>
    <cellStyle name="Normal 5 3 7" xfId="914" xr:uid="{00000000-0005-0000-0000-0000C60D0000}"/>
    <cellStyle name="Normal 5 3 7 2" xfId="3149" xr:uid="{00000000-0005-0000-0000-0000C70D0000}"/>
    <cellStyle name="Normal 5 3 8" xfId="1332" xr:uid="{00000000-0005-0000-0000-0000C80D0000}"/>
    <cellStyle name="Normal 5 3 8 2" xfId="3562" xr:uid="{00000000-0005-0000-0000-0000C90D0000}"/>
    <cellStyle name="Normal 5 3 9" xfId="1745" xr:uid="{00000000-0005-0000-0000-0000CA0D0000}"/>
    <cellStyle name="Normal 5 3 9 2" xfId="3975" xr:uid="{00000000-0005-0000-0000-0000CB0D0000}"/>
    <cellStyle name="Normal 5 4" xfId="456" xr:uid="{00000000-0005-0000-0000-0000CC0D0000}"/>
    <cellStyle name="Normal 5 4 2" xfId="457" xr:uid="{00000000-0005-0000-0000-0000CD0D0000}"/>
    <cellStyle name="Normal 5 4 2 2" xfId="458" xr:uid="{00000000-0005-0000-0000-0000CE0D0000}"/>
    <cellStyle name="Normal 5 4 2 2 2" xfId="459" xr:uid="{00000000-0005-0000-0000-0000CF0D0000}"/>
    <cellStyle name="Normal 5 4 2 2 2 2" xfId="934" xr:uid="{00000000-0005-0000-0000-0000D00D0000}"/>
    <cellStyle name="Normal 5 4 2 2 2 2 2" xfId="3168" xr:uid="{00000000-0005-0000-0000-0000D10D0000}"/>
    <cellStyle name="Normal 5 4 2 2 2 3" xfId="1351" xr:uid="{00000000-0005-0000-0000-0000D20D0000}"/>
    <cellStyle name="Normal 5 4 2 2 2 3 2" xfId="3581" xr:uid="{00000000-0005-0000-0000-0000D30D0000}"/>
    <cellStyle name="Normal 5 4 2 2 2 4" xfId="1764" xr:uid="{00000000-0005-0000-0000-0000D40D0000}"/>
    <cellStyle name="Normal 5 4 2 2 2 4 2" xfId="3994" xr:uid="{00000000-0005-0000-0000-0000D50D0000}"/>
    <cellStyle name="Normal 5 4 2 2 2 5" xfId="2178" xr:uid="{00000000-0005-0000-0000-0000D60D0000}"/>
    <cellStyle name="Normal 5 4 2 2 2 5 2" xfId="4407" xr:uid="{00000000-0005-0000-0000-0000D70D0000}"/>
    <cellStyle name="Normal 5 4 2 2 2 6" xfId="2614" xr:uid="{00000000-0005-0000-0000-0000D80D0000}"/>
    <cellStyle name="Normal 5 4 2 2 3" xfId="933" xr:uid="{00000000-0005-0000-0000-0000D90D0000}"/>
    <cellStyle name="Normal 5 4 2 2 3 2" xfId="3167" xr:uid="{00000000-0005-0000-0000-0000DA0D0000}"/>
    <cellStyle name="Normal 5 4 2 2 4" xfId="1350" xr:uid="{00000000-0005-0000-0000-0000DB0D0000}"/>
    <cellStyle name="Normal 5 4 2 2 4 2" xfId="3580" xr:uid="{00000000-0005-0000-0000-0000DC0D0000}"/>
    <cellStyle name="Normal 5 4 2 2 5" xfId="1763" xr:uid="{00000000-0005-0000-0000-0000DD0D0000}"/>
    <cellStyle name="Normal 5 4 2 2 5 2" xfId="3993" xr:uid="{00000000-0005-0000-0000-0000DE0D0000}"/>
    <cellStyle name="Normal 5 4 2 2 6" xfId="2177" xr:uid="{00000000-0005-0000-0000-0000DF0D0000}"/>
    <cellStyle name="Normal 5 4 2 2 6 2" xfId="4406" xr:uid="{00000000-0005-0000-0000-0000E00D0000}"/>
    <cellStyle name="Normal 5 4 2 2 7" xfId="2613" xr:uid="{00000000-0005-0000-0000-0000E10D0000}"/>
    <cellStyle name="Normal 5 4 2 3" xfId="460" xr:uid="{00000000-0005-0000-0000-0000E20D0000}"/>
    <cellStyle name="Normal 5 4 2 3 2" xfId="935" xr:uid="{00000000-0005-0000-0000-0000E30D0000}"/>
    <cellStyle name="Normal 5 4 2 3 2 2" xfId="3169" xr:uid="{00000000-0005-0000-0000-0000E40D0000}"/>
    <cellStyle name="Normal 5 4 2 3 3" xfId="1352" xr:uid="{00000000-0005-0000-0000-0000E50D0000}"/>
    <cellStyle name="Normal 5 4 2 3 3 2" xfId="3582" xr:uid="{00000000-0005-0000-0000-0000E60D0000}"/>
    <cellStyle name="Normal 5 4 2 3 4" xfId="1765" xr:uid="{00000000-0005-0000-0000-0000E70D0000}"/>
    <cellStyle name="Normal 5 4 2 3 4 2" xfId="3995" xr:uid="{00000000-0005-0000-0000-0000E80D0000}"/>
    <cellStyle name="Normal 5 4 2 3 5" xfId="2179" xr:uid="{00000000-0005-0000-0000-0000E90D0000}"/>
    <cellStyle name="Normal 5 4 2 3 5 2" xfId="4408" xr:uid="{00000000-0005-0000-0000-0000EA0D0000}"/>
    <cellStyle name="Normal 5 4 2 3 6" xfId="2615" xr:uid="{00000000-0005-0000-0000-0000EB0D0000}"/>
    <cellStyle name="Normal 5 4 2 4" xfId="932" xr:uid="{00000000-0005-0000-0000-0000EC0D0000}"/>
    <cellStyle name="Normal 5 4 2 4 2" xfId="3166" xr:uid="{00000000-0005-0000-0000-0000ED0D0000}"/>
    <cellStyle name="Normal 5 4 2 5" xfId="1349" xr:uid="{00000000-0005-0000-0000-0000EE0D0000}"/>
    <cellStyle name="Normal 5 4 2 5 2" xfId="3579" xr:uid="{00000000-0005-0000-0000-0000EF0D0000}"/>
    <cellStyle name="Normal 5 4 2 6" xfId="1762" xr:uid="{00000000-0005-0000-0000-0000F00D0000}"/>
    <cellStyle name="Normal 5 4 2 6 2" xfId="3992" xr:uid="{00000000-0005-0000-0000-0000F10D0000}"/>
    <cellStyle name="Normal 5 4 2 7" xfId="2176" xr:uid="{00000000-0005-0000-0000-0000F20D0000}"/>
    <cellStyle name="Normal 5 4 2 7 2" xfId="4405" xr:uid="{00000000-0005-0000-0000-0000F30D0000}"/>
    <cellStyle name="Normal 5 4 2 8" xfId="2612" xr:uid="{00000000-0005-0000-0000-0000F40D0000}"/>
    <cellStyle name="Normal 5 4 3" xfId="461" xr:uid="{00000000-0005-0000-0000-0000F50D0000}"/>
    <cellStyle name="Normal 5 4 3 2" xfId="462" xr:uid="{00000000-0005-0000-0000-0000F60D0000}"/>
    <cellStyle name="Normal 5 4 3 2 2" xfId="937" xr:uid="{00000000-0005-0000-0000-0000F70D0000}"/>
    <cellStyle name="Normal 5 4 3 2 2 2" xfId="3171" xr:uid="{00000000-0005-0000-0000-0000F80D0000}"/>
    <cellStyle name="Normal 5 4 3 2 3" xfId="1354" xr:uid="{00000000-0005-0000-0000-0000F90D0000}"/>
    <cellStyle name="Normal 5 4 3 2 3 2" xfId="3584" xr:uid="{00000000-0005-0000-0000-0000FA0D0000}"/>
    <cellStyle name="Normal 5 4 3 2 4" xfId="1767" xr:uid="{00000000-0005-0000-0000-0000FB0D0000}"/>
    <cellStyle name="Normal 5 4 3 2 4 2" xfId="3997" xr:uid="{00000000-0005-0000-0000-0000FC0D0000}"/>
    <cellStyle name="Normal 5 4 3 2 5" xfId="2181" xr:uid="{00000000-0005-0000-0000-0000FD0D0000}"/>
    <cellStyle name="Normal 5 4 3 2 5 2" xfId="4410" xr:uid="{00000000-0005-0000-0000-0000FE0D0000}"/>
    <cellStyle name="Normal 5 4 3 2 6" xfId="2617" xr:uid="{00000000-0005-0000-0000-0000FF0D0000}"/>
    <cellStyle name="Normal 5 4 3 3" xfId="936" xr:uid="{00000000-0005-0000-0000-0000000E0000}"/>
    <cellStyle name="Normal 5 4 3 3 2" xfId="3170" xr:uid="{00000000-0005-0000-0000-0000010E0000}"/>
    <cellStyle name="Normal 5 4 3 4" xfId="1353" xr:uid="{00000000-0005-0000-0000-0000020E0000}"/>
    <cellStyle name="Normal 5 4 3 4 2" xfId="3583" xr:uid="{00000000-0005-0000-0000-0000030E0000}"/>
    <cellStyle name="Normal 5 4 3 5" xfId="1766" xr:uid="{00000000-0005-0000-0000-0000040E0000}"/>
    <cellStyle name="Normal 5 4 3 5 2" xfId="3996" xr:uid="{00000000-0005-0000-0000-0000050E0000}"/>
    <cellStyle name="Normal 5 4 3 6" xfId="2180" xr:uid="{00000000-0005-0000-0000-0000060E0000}"/>
    <cellStyle name="Normal 5 4 3 6 2" xfId="4409" xr:uid="{00000000-0005-0000-0000-0000070E0000}"/>
    <cellStyle name="Normal 5 4 3 7" xfId="2616" xr:uid="{00000000-0005-0000-0000-0000080E0000}"/>
    <cellStyle name="Normal 5 4 4" xfId="463" xr:uid="{00000000-0005-0000-0000-0000090E0000}"/>
    <cellStyle name="Normal 5 4 4 2" xfId="938" xr:uid="{00000000-0005-0000-0000-00000A0E0000}"/>
    <cellStyle name="Normal 5 4 4 2 2" xfId="3172" xr:uid="{00000000-0005-0000-0000-00000B0E0000}"/>
    <cellStyle name="Normal 5 4 4 3" xfId="1355" xr:uid="{00000000-0005-0000-0000-00000C0E0000}"/>
    <cellStyle name="Normal 5 4 4 3 2" xfId="3585" xr:uid="{00000000-0005-0000-0000-00000D0E0000}"/>
    <cellStyle name="Normal 5 4 4 4" xfId="1768" xr:uid="{00000000-0005-0000-0000-00000E0E0000}"/>
    <cellStyle name="Normal 5 4 4 4 2" xfId="3998" xr:uid="{00000000-0005-0000-0000-00000F0E0000}"/>
    <cellStyle name="Normal 5 4 4 5" xfId="2182" xr:uid="{00000000-0005-0000-0000-0000100E0000}"/>
    <cellStyle name="Normal 5 4 4 5 2" xfId="4411" xr:uid="{00000000-0005-0000-0000-0000110E0000}"/>
    <cellStyle name="Normal 5 4 4 6" xfId="2618" xr:uid="{00000000-0005-0000-0000-0000120E0000}"/>
    <cellStyle name="Normal 5 4 5" xfId="931" xr:uid="{00000000-0005-0000-0000-0000130E0000}"/>
    <cellStyle name="Normal 5 4 5 2" xfId="3165" xr:uid="{00000000-0005-0000-0000-0000140E0000}"/>
    <cellStyle name="Normal 5 4 6" xfId="1348" xr:uid="{00000000-0005-0000-0000-0000150E0000}"/>
    <cellStyle name="Normal 5 4 6 2" xfId="3578" xr:uid="{00000000-0005-0000-0000-0000160E0000}"/>
    <cellStyle name="Normal 5 4 7" xfId="1761" xr:uid="{00000000-0005-0000-0000-0000170E0000}"/>
    <cellStyle name="Normal 5 4 7 2" xfId="3991" xr:uid="{00000000-0005-0000-0000-0000180E0000}"/>
    <cellStyle name="Normal 5 4 8" xfId="2175" xr:uid="{00000000-0005-0000-0000-0000190E0000}"/>
    <cellStyle name="Normal 5 4 8 2" xfId="4404" xr:uid="{00000000-0005-0000-0000-00001A0E0000}"/>
    <cellStyle name="Normal 5 4 9" xfId="2611" xr:uid="{00000000-0005-0000-0000-00001B0E0000}"/>
    <cellStyle name="Normal 5 5" xfId="464" xr:uid="{00000000-0005-0000-0000-00001C0E0000}"/>
    <cellStyle name="Normal 5 5 2" xfId="465" xr:uid="{00000000-0005-0000-0000-00001D0E0000}"/>
    <cellStyle name="Normal 5 5 2 2" xfId="466" xr:uid="{00000000-0005-0000-0000-00001E0E0000}"/>
    <cellStyle name="Normal 5 5 2 2 2" xfId="941" xr:uid="{00000000-0005-0000-0000-00001F0E0000}"/>
    <cellStyle name="Normal 5 5 2 2 2 2" xfId="3175" xr:uid="{00000000-0005-0000-0000-0000200E0000}"/>
    <cellStyle name="Normal 5 5 2 2 3" xfId="1358" xr:uid="{00000000-0005-0000-0000-0000210E0000}"/>
    <cellStyle name="Normal 5 5 2 2 3 2" xfId="3588" xr:uid="{00000000-0005-0000-0000-0000220E0000}"/>
    <cellStyle name="Normal 5 5 2 2 4" xfId="1771" xr:uid="{00000000-0005-0000-0000-0000230E0000}"/>
    <cellStyle name="Normal 5 5 2 2 4 2" xfId="4001" xr:uid="{00000000-0005-0000-0000-0000240E0000}"/>
    <cellStyle name="Normal 5 5 2 2 5" xfId="2185" xr:uid="{00000000-0005-0000-0000-0000250E0000}"/>
    <cellStyle name="Normal 5 5 2 2 5 2" xfId="4414" xr:uid="{00000000-0005-0000-0000-0000260E0000}"/>
    <cellStyle name="Normal 5 5 2 2 6" xfId="2621" xr:uid="{00000000-0005-0000-0000-0000270E0000}"/>
    <cellStyle name="Normal 5 5 2 3" xfId="940" xr:uid="{00000000-0005-0000-0000-0000280E0000}"/>
    <cellStyle name="Normal 5 5 2 3 2" xfId="3174" xr:uid="{00000000-0005-0000-0000-0000290E0000}"/>
    <cellStyle name="Normal 5 5 2 4" xfId="1357" xr:uid="{00000000-0005-0000-0000-00002A0E0000}"/>
    <cellStyle name="Normal 5 5 2 4 2" xfId="3587" xr:uid="{00000000-0005-0000-0000-00002B0E0000}"/>
    <cellStyle name="Normal 5 5 2 5" xfId="1770" xr:uid="{00000000-0005-0000-0000-00002C0E0000}"/>
    <cellStyle name="Normal 5 5 2 5 2" xfId="4000" xr:uid="{00000000-0005-0000-0000-00002D0E0000}"/>
    <cellStyle name="Normal 5 5 2 6" xfId="2184" xr:uid="{00000000-0005-0000-0000-00002E0E0000}"/>
    <cellStyle name="Normal 5 5 2 6 2" xfId="4413" xr:uid="{00000000-0005-0000-0000-00002F0E0000}"/>
    <cellStyle name="Normal 5 5 2 7" xfId="2620" xr:uid="{00000000-0005-0000-0000-0000300E0000}"/>
    <cellStyle name="Normal 5 5 3" xfId="467" xr:uid="{00000000-0005-0000-0000-0000310E0000}"/>
    <cellStyle name="Normal 5 5 3 2" xfId="942" xr:uid="{00000000-0005-0000-0000-0000320E0000}"/>
    <cellStyle name="Normal 5 5 3 2 2" xfId="3176" xr:uid="{00000000-0005-0000-0000-0000330E0000}"/>
    <cellStyle name="Normal 5 5 3 3" xfId="1359" xr:uid="{00000000-0005-0000-0000-0000340E0000}"/>
    <cellStyle name="Normal 5 5 3 3 2" xfId="3589" xr:uid="{00000000-0005-0000-0000-0000350E0000}"/>
    <cellStyle name="Normal 5 5 3 4" xfId="1772" xr:uid="{00000000-0005-0000-0000-0000360E0000}"/>
    <cellStyle name="Normal 5 5 3 4 2" xfId="4002" xr:uid="{00000000-0005-0000-0000-0000370E0000}"/>
    <cellStyle name="Normal 5 5 3 5" xfId="2186" xr:uid="{00000000-0005-0000-0000-0000380E0000}"/>
    <cellStyle name="Normal 5 5 3 5 2" xfId="4415" xr:uid="{00000000-0005-0000-0000-0000390E0000}"/>
    <cellStyle name="Normal 5 5 3 6" xfId="2622" xr:uid="{00000000-0005-0000-0000-00003A0E0000}"/>
    <cellStyle name="Normal 5 5 4" xfId="939" xr:uid="{00000000-0005-0000-0000-00003B0E0000}"/>
    <cellStyle name="Normal 5 5 4 2" xfId="3173" xr:uid="{00000000-0005-0000-0000-00003C0E0000}"/>
    <cellStyle name="Normal 5 5 5" xfId="1356" xr:uid="{00000000-0005-0000-0000-00003D0E0000}"/>
    <cellStyle name="Normal 5 5 5 2" xfId="3586" xr:uid="{00000000-0005-0000-0000-00003E0E0000}"/>
    <cellStyle name="Normal 5 5 6" xfId="1769" xr:uid="{00000000-0005-0000-0000-00003F0E0000}"/>
    <cellStyle name="Normal 5 5 6 2" xfId="3999" xr:uid="{00000000-0005-0000-0000-0000400E0000}"/>
    <cellStyle name="Normal 5 5 7" xfId="2183" xr:uid="{00000000-0005-0000-0000-0000410E0000}"/>
    <cellStyle name="Normal 5 5 7 2" xfId="4412" xr:uid="{00000000-0005-0000-0000-0000420E0000}"/>
    <cellStyle name="Normal 5 5 8" xfId="2619" xr:uid="{00000000-0005-0000-0000-0000430E0000}"/>
    <cellStyle name="Normal 5 6" xfId="468" xr:uid="{00000000-0005-0000-0000-0000440E0000}"/>
    <cellStyle name="Normal 5 6 2" xfId="469" xr:uid="{00000000-0005-0000-0000-0000450E0000}"/>
    <cellStyle name="Normal 5 6 2 2" xfId="944" xr:uid="{00000000-0005-0000-0000-0000460E0000}"/>
    <cellStyle name="Normal 5 6 2 2 2" xfId="3178" xr:uid="{00000000-0005-0000-0000-0000470E0000}"/>
    <cellStyle name="Normal 5 6 2 3" xfId="1361" xr:uid="{00000000-0005-0000-0000-0000480E0000}"/>
    <cellStyle name="Normal 5 6 2 3 2" xfId="3591" xr:uid="{00000000-0005-0000-0000-0000490E0000}"/>
    <cellStyle name="Normal 5 6 2 4" xfId="1774" xr:uid="{00000000-0005-0000-0000-00004A0E0000}"/>
    <cellStyle name="Normal 5 6 2 4 2" xfId="4004" xr:uid="{00000000-0005-0000-0000-00004B0E0000}"/>
    <cellStyle name="Normal 5 6 2 5" xfId="2188" xr:uid="{00000000-0005-0000-0000-00004C0E0000}"/>
    <cellStyle name="Normal 5 6 2 5 2" xfId="4417" xr:uid="{00000000-0005-0000-0000-00004D0E0000}"/>
    <cellStyle name="Normal 5 6 2 6" xfId="2624" xr:uid="{00000000-0005-0000-0000-00004E0E0000}"/>
    <cellStyle name="Normal 5 6 3" xfId="943" xr:uid="{00000000-0005-0000-0000-00004F0E0000}"/>
    <cellStyle name="Normal 5 6 3 2" xfId="3177" xr:uid="{00000000-0005-0000-0000-0000500E0000}"/>
    <cellStyle name="Normal 5 6 4" xfId="1360" xr:uid="{00000000-0005-0000-0000-0000510E0000}"/>
    <cellStyle name="Normal 5 6 4 2" xfId="3590" xr:uid="{00000000-0005-0000-0000-0000520E0000}"/>
    <cellStyle name="Normal 5 6 5" xfId="1773" xr:uid="{00000000-0005-0000-0000-0000530E0000}"/>
    <cellStyle name="Normal 5 6 5 2" xfId="4003" xr:uid="{00000000-0005-0000-0000-0000540E0000}"/>
    <cellStyle name="Normal 5 6 6" xfId="2187" xr:uid="{00000000-0005-0000-0000-0000550E0000}"/>
    <cellStyle name="Normal 5 6 6 2" xfId="4416" xr:uid="{00000000-0005-0000-0000-0000560E0000}"/>
    <cellStyle name="Normal 5 6 7" xfId="2623" xr:uid="{00000000-0005-0000-0000-0000570E0000}"/>
    <cellStyle name="Normal 5 7" xfId="470" xr:uid="{00000000-0005-0000-0000-0000580E0000}"/>
    <cellStyle name="Normal 5 7 2" xfId="945" xr:uid="{00000000-0005-0000-0000-0000590E0000}"/>
    <cellStyle name="Normal 5 7 2 2" xfId="3179" xr:uid="{00000000-0005-0000-0000-00005A0E0000}"/>
    <cellStyle name="Normal 5 7 3" xfId="1362" xr:uid="{00000000-0005-0000-0000-00005B0E0000}"/>
    <cellStyle name="Normal 5 7 3 2" xfId="3592" xr:uid="{00000000-0005-0000-0000-00005C0E0000}"/>
    <cellStyle name="Normal 5 7 4" xfId="1775" xr:uid="{00000000-0005-0000-0000-00005D0E0000}"/>
    <cellStyle name="Normal 5 7 4 2" xfId="4005" xr:uid="{00000000-0005-0000-0000-00005E0E0000}"/>
    <cellStyle name="Normal 5 7 5" xfId="2189" xr:uid="{00000000-0005-0000-0000-00005F0E0000}"/>
    <cellStyle name="Normal 5 7 5 2" xfId="4418" xr:uid="{00000000-0005-0000-0000-0000600E0000}"/>
    <cellStyle name="Normal 5 7 6" xfId="2625" xr:uid="{00000000-0005-0000-0000-0000610E0000}"/>
    <cellStyle name="Normal 5 8" xfId="881" xr:uid="{00000000-0005-0000-0000-0000620E0000}"/>
    <cellStyle name="Normal 5 8 2" xfId="3116" xr:uid="{00000000-0005-0000-0000-0000630E0000}"/>
    <cellStyle name="Normal 5 9" xfId="1299" xr:uid="{00000000-0005-0000-0000-0000640E0000}"/>
    <cellStyle name="Normal 5 9 2" xfId="3529" xr:uid="{00000000-0005-0000-0000-0000650E0000}"/>
    <cellStyle name="Normal 6" xfId="471" xr:uid="{00000000-0005-0000-0000-0000660E0000}"/>
    <cellStyle name="Normal 6 2" xfId="472" xr:uid="{00000000-0005-0000-0000-0000670E0000}"/>
    <cellStyle name="Normal 6 3" xfId="473" xr:uid="{00000000-0005-0000-0000-0000680E0000}"/>
    <cellStyle name="Normal 6 3 2" xfId="474" xr:uid="{00000000-0005-0000-0000-0000690E0000}"/>
    <cellStyle name="Normal 6 3 3" xfId="475" xr:uid="{00000000-0005-0000-0000-00006A0E0000}"/>
    <cellStyle name="Normal 7" xfId="476" xr:uid="{00000000-0005-0000-0000-00006B0E0000}"/>
    <cellStyle name="Normal 7 2" xfId="477" xr:uid="{00000000-0005-0000-0000-00006C0E0000}"/>
    <cellStyle name="Normal 8" xfId="478" xr:uid="{00000000-0005-0000-0000-00006D0E0000}"/>
    <cellStyle name="Normal 8 10" xfId="2190" xr:uid="{00000000-0005-0000-0000-00006E0E0000}"/>
    <cellStyle name="Normal 8 10 2" xfId="4419" xr:uid="{00000000-0005-0000-0000-00006F0E0000}"/>
    <cellStyle name="Normal 8 11" xfId="2626" xr:uid="{00000000-0005-0000-0000-0000700E0000}"/>
    <cellStyle name="Normal 8 2" xfId="479" xr:uid="{00000000-0005-0000-0000-0000710E0000}"/>
    <cellStyle name="Normal 8 2 10" xfId="2627" xr:uid="{00000000-0005-0000-0000-0000720E0000}"/>
    <cellStyle name="Normal 8 2 2" xfId="480" xr:uid="{00000000-0005-0000-0000-0000730E0000}"/>
    <cellStyle name="Normal 8 2 2 2" xfId="481" xr:uid="{00000000-0005-0000-0000-0000740E0000}"/>
    <cellStyle name="Normal 8 2 2 2 2" xfId="482" xr:uid="{00000000-0005-0000-0000-0000750E0000}"/>
    <cellStyle name="Normal 8 2 2 2 2 2" xfId="483" xr:uid="{00000000-0005-0000-0000-0000760E0000}"/>
    <cellStyle name="Normal 8 2 2 2 2 2 2" xfId="951" xr:uid="{00000000-0005-0000-0000-0000770E0000}"/>
    <cellStyle name="Normal 8 2 2 2 2 2 2 2" xfId="3185" xr:uid="{00000000-0005-0000-0000-0000780E0000}"/>
    <cellStyle name="Normal 8 2 2 2 2 2 3" xfId="1368" xr:uid="{00000000-0005-0000-0000-0000790E0000}"/>
    <cellStyle name="Normal 8 2 2 2 2 2 3 2" xfId="3598" xr:uid="{00000000-0005-0000-0000-00007A0E0000}"/>
    <cellStyle name="Normal 8 2 2 2 2 2 4" xfId="1781" xr:uid="{00000000-0005-0000-0000-00007B0E0000}"/>
    <cellStyle name="Normal 8 2 2 2 2 2 4 2" xfId="4011" xr:uid="{00000000-0005-0000-0000-00007C0E0000}"/>
    <cellStyle name="Normal 8 2 2 2 2 2 5" xfId="2195" xr:uid="{00000000-0005-0000-0000-00007D0E0000}"/>
    <cellStyle name="Normal 8 2 2 2 2 2 5 2" xfId="4424" xr:uid="{00000000-0005-0000-0000-00007E0E0000}"/>
    <cellStyle name="Normal 8 2 2 2 2 2 6" xfId="2631" xr:uid="{00000000-0005-0000-0000-00007F0E0000}"/>
    <cellStyle name="Normal 8 2 2 2 2 3" xfId="950" xr:uid="{00000000-0005-0000-0000-0000800E0000}"/>
    <cellStyle name="Normal 8 2 2 2 2 3 2" xfId="3184" xr:uid="{00000000-0005-0000-0000-0000810E0000}"/>
    <cellStyle name="Normal 8 2 2 2 2 4" xfId="1367" xr:uid="{00000000-0005-0000-0000-0000820E0000}"/>
    <cellStyle name="Normal 8 2 2 2 2 4 2" xfId="3597" xr:uid="{00000000-0005-0000-0000-0000830E0000}"/>
    <cellStyle name="Normal 8 2 2 2 2 5" xfId="1780" xr:uid="{00000000-0005-0000-0000-0000840E0000}"/>
    <cellStyle name="Normal 8 2 2 2 2 5 2" xfId="4010" xr:uid="{00000000-0005-0000-0000-0000850E0000}"/>
    <cellStyle name="Normal 8 2 2 2 2 6" xfId="2194" xr:uid="{00000000-0005-0000-0000-0000860E0000}"/>
    <cellStyle name="Normal 8 2 2 2 2 6 2" xfId="4423" xr:uid="{00000000-0005-0000-0000-0000870E0000}"/>
    <cellStyle name="Normal 8 2 2 2 2 7" xfId="2630" xr:uid="{00000000-0005-0000-0000-0000880E0000}"/>
    <cellStyle name="Normal 8 2 2 2 3" xfId="484" xr:uid="{00000000-0005-0000-0000-0000890E0000}"/>
    <cellStyle name="Normal 8 2 2 2 3 2" xfId="952" xr:uid="{00000000-0005-0000-0000-00008A0E0000}"/>
    <cellStyle name="Normal 8 2 2 2 3 2 2" xfId="3186" xr:uid="{00000000-0005-0000-0000-00008B0E0000}"/>
    <cellStyle name="Normal 8 2 2 2 3 3" xfId="1369" xr:uid="{00000000-0005-0000-0000-00008C0E0000}"/>
    <cellStyle name="Normal 8 2 2 2 3 3 2" xfId="3599" xr:uid="{00000000-0005-0000-0000-00008D0E0000}"/>
    <cellStyle name="Normal 8 2 2 2 3 4" xfId="1782" xr:uid="{00000000-0005-0000-0000-00008E0E0000}"/>
    <cellStyle name="Normal 8 2 2 2 3 4 2" xfId="4012" xr:uid="{00000000-0005-0000-0000-00008F0E0000}"/>
    <cellStyle name="Normal 8 2 2 2 3 5" xfId="2196" xr:uid="{00000000-0005-0000-0000-0000900E0000}"/>
    <cellStyle name="Normal 8 2 2 2 3 5 2" xfId="4425" xr:uid="{00000000-0005-0000-0000-0000910E0000}"/>
    <cellStyle name="Normal 8 2 2 2 3 6" xfId="2632" xr:uid="{00000000-0005-0000-0000-0000920E0000}"/>
    <cellStyle name="Normal 8 2 2 2 4" xfId="949" xr:uid="{00000000-0005-0000-0000-0000930E0000}"/>
    <cellStyle name="Normal 8 2 2 2 4 2" xfId="3183" xr:uid="{00000000-0005-0000-0000-0000940E0000}"/>
    <cellStyle name="Normal 8 2 2 2 5" xfId="1366" xr:uid="{00000000-0005-0000-0000-0000950E0000}"/>
    <cellStyle name="Normal 8 2 2 2 5 2" xfId="3596" xr:uid="{00000000-0005-0000-0000-0000960E0000}"/>
    <cellStyle name="Normal 8 2 2 2 6" xfId="1779" xr:uid="{00000000-0005-0000-0000-0000970E0000}"/>
    <cellStyle name="Normal 8 2 2 2 6 2" xfId="4009" xr:uid="{00000000-0005-0000-0000-0000980E0000}"/>
    <cellStyle name="Normal 8 2 2 2 7" xfId="2193" xr:uid="{00000000-0005-0000-0000-0000990E0000}"/>
    <cellStyle name="Normal 8 2 2 2 7 2" xfId="4422" xr:uid="{00000000-0005-0000-0000-00009A0E0000}"/>
    <cellStyle name="Normal 8 2 2 2 8" xfId="2629" xr:uid="{00000000-0005-0000-0000-00009B0E0000}"/>
    <cellStyle name="Normal 8 2 2 3" xfId="485" xr:uid="{00000000-0005-0000-0000-00009C0E0000}"/>
    <cellStyle name="Normal 8 2 2 3 2" xfId="486" xr:uid="{00000000-0005-0000-0000-00009D0E0000}"/>
    <cellStyle name="Normal 8 2 2 3 2 2" xfId="954" xr:uid="{00000000-0005-0000-0000-00009E0E0000}"/>
    <cellStyle name="Normal 8 2 2 3 2 2 2" xfId="3188" xr:uid="{00000000-0005-0000-0000-00009F0E0000}"/>
    <cellStyle name="Normal 8 2 2 3 2 3" xfId="1371" xr:uid="{00000000-0005-0000-0000-0000A00E0000}"/>
    <cellStyle name="Normal 8 2 2 3 2 3 2" xfId="3601" xr:uid="{00000000-0005-0000-0000-0000A10E0000}"/>
    <cellStyle name="Normal 8 2 2 3 2 4" xfId="1784" xr:uid="{00000000-0005-0000-0000-0000A20E0000}"/>
    <cellStyle name="Normal 8 2 2 3 2 4 2" xfId="4014" xr:uid="{00000000-0005-0000-0000-0000A30E0000}"/>
    <cellStyle name="Normal 8 2 2 3 2 5" xfId="2198" xr:uid="{00000000-0005-0000-0000-0000A40E0000}"/>
    <cellStyle name="Normal 8 2 2 3 2 5 2" xfId="4427" xr:uid="{00000000-0005-0000-0000-0000A50E0000}"/>
    <cellStyle name="Normal 8 2 2 3 2 6" xfId="2634" xr:uid="{00000000-0005-0000-0000-0000A60E0000}"/>
    <cellStyle name="Normal 8 2 2 3 3" xfId="953" xr:uid="{00000000-0005-0000-0000-0000A70E0000}"/>
    <cellStyle name="Normal 8 2 2 3 3 2" xfId="3187" xr:uid="{00000000-0005-0000-0000-0000A80E0000}"/>
    <cellStyle name="Normal 8 2 2 3 4" xfId="1370" xr:uid="{00000000-0005-0000-0000-0000A90E0000}"/>
    <cellStyle name="Normal 8 2 2 3 4 2" xfId="3600" xr:uid="{00000000-0005-0000-0000-0000AA0E0000}"/>
    <cellStyle name="Normal 8 2 2 3 5" xfId="1783" xr:uid="{00000000-0005-0000-0000-0000AB0E0000}"/>
    <cellStyle name="Normal 8 2 2 3 5 2" xfId="4013" xr:uid="{00000000-0005-0000-0000-0000AC0E0000}"/>
    <cellStyle name="Normal 8 2 2 3 6" xfId="2197" xr:uid="{00000000-0005-0000-0000-0000AD0E0000}"/>
    <cellStyle name="Normal 8 2 2 3 6 2" xfId="4426" xr:uid="{00000000-0005-0000-0000-0000AE0E0000}"/>
    <cellStyle name="Normal 8 2 2 3 7" xfId="2633" xr:uid="{00000000-0005-0000-0000-0000AF0E0000}"/>
    <cellStyle name="Normal 8 2 2 4" xfId="487" xr:uid="{00000000-0005-0000-0000-0000B00E0000}"/>
    <cellStyle name="Normal 8 2 2 4 2" xfId="955" xr:uid="{00000000-0005-0000-0000-0000B10E0000}"/>
    <cellStyle name="Normal 8 2 2 4 2 2" xfId="3189" xr:uid="{00000000-0005-0000-0000-0000B20E0000}"/>
    <cellStyle name="Normal 8 2 2 4 3" xfId="1372" xr:uid="{00000000-0005-0000-0000-0000B30E0000}"/>
    <cellStyle name="Normal 8 2 2 4 3 2" xfId="3602" xr:uid="{00000000-0005-0000-0000-0000B40E0000}"/>
    <cellStyle name="Normal 8 2 2 4 4" xfId="1785" xr:uid="{00000000-0005-0000-0000-0000B50E0000}"/>
    <cellStyle name="Normal 8 2 2 4 4 2" xfId="4015" xr:uid="{00000000-0005-0000-0000-0000B60E0000}"/>
    <cellStyle name="Normal 8 2 2 4 5" xfId="2199" xr:uid="{00000000-0005-0000-0000-0000B70E0000}"/>
    <cellStyle name="Normal 8 2 2 4 5 2" xfId="4428" xr:uid="{00000000-0005-0000-0000-0000B80E0000}"/>
    <cellStyle name="Normal 8 2 2 4 6" xfId="2635" xr:uid="{00000000-0005-0000-0000-0000B90E0000}"/>
    <cellStyle name="Normal 8 2 2 5" xfId="948" xr:uid="{00000000-0005-0000-0000-0000BA0E0000}"/>
    <cellStyle name="Normal 8 2 2 5 2" xfId="3182" xr:uid="{00000000-0005-0000-0000-0000BB0E0000}"/>
    <cellStyle name="Normal 8 2 2 6" xfId="1365" xr:uid="{00000000-0005-0000-0000-0000BC0E0000}"/>
    <cellStyle name="Normal 8 2 2 6 2" xfId="3595" xr:uid="{00000000-0005-0000-0000-0000BD0E0000}"/>
    <cellStyle name="Normal 8 2 2 7" xfId="1778" xr:uid="{00000000-0005-0000-0000-0000BE0E0000}"/>
    <cellStyle name="Normal 8 2 2 7 2" xfId="4008" xr:uid="{00000000-0005-0000-0000-0000BF0E0000}"/>
    <cellStyle name="Normal 8 2 2 8" xfId="2192" xr:uid="{00000000-0005-0000-0000-0000C00E0000}"/>
    <cellStyle name="Normal 8 2 2 8 2" xfId="4421" xr:uid="{00000000-0005-0000-0000-0000C10E0000}"/>
    <cellStyle name="Normal 8 2 2 9" xfId="2628" xr:uid="{00000000-0005-0000-0000-0000C20E0000}"/>
    <cellStyle name="Normal 8 2 3" xfId="488" xr:uid="{00000000-0005-0000-0000-0000C30E0000}"/>
    <cellStyle name="Normal 8 2 3 2" xfId="489" xr:uid="{00000000-0005-0000-0000-0000C40E0000}"/>
    <cellStyle name="Normal 8 2 3 2 2" xfId="490" xr:uid="{00000000-0005-0000-0000-0000C50E0000}"/>
    <cellStyle name="Normal 8 2 3 2 2 2" xfId="958" xr:uid="{00000000-0005-0000-0000-0000C60E0000}"/>
    <cellStyle name="Normal 8 2 3 2 2 2 2" xfId="3192" xr:uid="{00000000-0005-0000-0000-0000C70E0000}"/>
    <cellStyle name="Normal 8 2 3 2 2 3" xfId="1375" xr:uid="{00000000-0005-0000-0000-0000C80E0000}"/>
    <cellStyle name="Normal 8 2 3 2 2 3 2" xfId="3605" xr:uid="{00000000-0005-0000-0000-0000C90E0000}"/>
    <cellStyle name="Normal 8 2 3 2 2 4" xfId="1788" xr:uid="{00000000-0005-0000-0000-0000CA0E0000}"/>
    <cellStyle name="Normal 8 2 3 2 2 4 2" xfId="4018" xr:uid="{00000000-0005-0000-0000-0000CB0E0000}"/>
    <cellStyle name="Normal 8 2 3 2 2 5" xfId="2202" xr:uid="{00000000-0005-0000-0000-0000CC0E0000}"/>
    <cellStyle name="Normal 8 2 3 2 2 5 2" xfId="4431" xr:uid="{00000000-0005-0000-0000-0000CD0E0000}"/>
    <cellStyle name="Normal 8 2 3 2 2 6" xfId="2638" xr:uid="{00000000-0005-0000-0000-0000CE0E0000}"/>
    <cellStyle name="Normal 8 2 3 2 3" xfId="957" xr:uid="{00000000-0005-0000-0000-0000CF0E0000}"/>
    <cellStyle name="Normal 8 2 3 2 3 2" xfId="3191" xr:uid="{00000000-0005-0000-0000-0000D00E0000}"/>
    <cellStyle name="Normal 8 2 3 2 4" xfId="1374" xr:uid="{00000000-0005-0000-0000-0000D10E0000}"/>
    <cellStyle name="Normal 8 2 3 2 4 2" xfId="3604" xr:uid="{00000000-0005-0000-0000-0000D20E0000}"/>
    <cellStyle name="Normal 8 2 3 2 5" xfId="1787" xr:uid="{00000000-0005-0000-0000-0000D30E0000}"/>
    <cellStyle name="Normal 8 2 3 2 5 2" xfId="4017" xr:uid="{00000000-0005-0000-0000-0000D40E0000}"/>
    <cellStyle name="Normal 8 2 3 2 6" xfId="2201" xr:uid="{00000000-0005-0000-0000-0000D50E0000}"/>
    <cellStyle name="Normal 8 2 3 2 6 2" xfId="4430" xr:uid="{00000000-0005-0000-0000-0000D60E0000}"/>
    <cellStyle name="Normal 8 2 3 2 7" xfId="2637" xr:uid="{00000000-0005-0000-0000-0000D70E0000}"/>
    <cellStyle name="Normal 8 2 3 3" xfId="491" xr:uid="{00000000-0005-0000-0000-0000D80E0000}"/>
    <cellStyle name="Normal 8 2 3 3 2" xfId="959" xr:uid="{00000000-0005-0000-0000-0000D90E0000}"/>
    <cellStyle name="Normal 8 2 3 3 2 2" xfId="3193" xr:uid="{00000000-0005-0000-0000-0000DA0E0000}"/>
    <cellStyle name="Normal 8 2 3 3 3" xfId="1376" xr:uid="{00000000-0005-0000-0000-0000DB0E0000}"/>
    <cellStyle name="Normal 8 2 3 3 3 2" xfId="3606" xr:uid="{00000000-0005-0000-0000-0000DC0E0000}"/>
    <cellStyle name="Normal 8 2 3 3 4" xfId="1789" xr:uid="{00000000-0005-0000-0000-0000DD0E0000}"/>
    <cellStyle name="Normal 8 2 3 3 4 2" xfId="4019" xr:uid="{00000000-0005-0000-0000-0000DE0E0000}"/>
    <cellStyle name="Normal 8 2 3 3 5" xfId="2203" xr:uid="{00000000-0005-0000-0000-0000DF0E0000}"/>
    <cellStyle name="Normal 8 2 3 3 5 2" xfId="4432" xr:uid="{00000000-0005-0000-0000-0000E00E0000}"/>
    <cellStyle name="Normal 8 2 3 3 6" xfId="2639" xr:uid="{00000000-0005-0000-0000-0000E10E0000}"/>
    <cellStyle name="Normal 8 2 3 4" xfId="956" xr:uid="{00000000-0005-0000-0000-0000E20E0000}"/>
    <cellStyle name="Normal 8 2 3 4 2" xfId="3190" xr:uid="{00000000-0005-0000-0000-0000E30E0000}"/>
    <cellStyle name="Normal 8 2 3 5" xfId="1373" xr:uid="{00000000-0005-0000-0000-0000E40E0000}"/>
    <cellStyle name="Normal 8 2 3 5 2" xfId="3603" xr:uid="{00000000-0005-0000-0000-0000E50E0000}"/>
    <cellStyle name="Normal 8 2 3 6" xfId="1786" xr:uid="{00000000-0005-0000-0000-0000E60E0000}"/>
    <cellStyle name="Normal 8 2 3 6 2" xfId="4016" xr:uid="{00000000-0005-0000-0000-0000E70E0000}"/>
    <cellStyle name="Normal 8 2 3 7" xfId="2200" xr:uid="{00000000-0005-0000-0000-0000E80E0000}"/>
    <cellStyle name="Normal 8 2 3 7 2" xfId="4429" xr:uid="{00000000-0005-0000-0000-0000E90E0000}"/>
    <cellStyle name="Normal 8 2 3 8" xfId="2636" xr:uid="{00000000-0005-0000-0000-0000EA0E0000}"/>
    <cellStyle name="Normal 8 2 4" xfId="492" xr:uid="{00000000-0005-0000-0000-0000EB0E0000}"/>
    <cellStyle name="Normal 8 2 4 2" xfId="493" xr:uid="{00000000-0005-0000-0000-0000EC0E0000}"/>
    <cellStyle name="Normal 8 2 4 2 2" xfId="961" xr:uid="{00000000-0005-0000-0000-0000ED0E0000}"/>
    <cellStyle name="Normal 8 2 4 2 2 2" xfId="3195" xr:uid="{00000000-0005-0000-0000-0000EE0E0000}"/>
    <cellStyle name="Normal 8 2 4 2 3" xfId="1378" xr:uid="{00000000-0005-0000-0000-0000EF0E0000}"/>
    <cellStyle name="Normal 8 2 4 2 3 2" xfId="3608" xr:uid="{00000000-0005-0000-0000-0000F00E0000}"/>
    <cellStyle name="Normal 8 2 4 2 4" xfId="1791" xr:uid="{00000000-0005-0000-0000-0000F10E0000}"/>
    <cellStyle name="Normal 8 2 4 2 4 2" xfId="4021" xr:uid="{00000000-0005-0000-0000-0000F20E0000}"/>
    <cellStyle name="Normal 8 2 4 2 5" xfId="2205" xr:uid="{00000000-0005-0000-0000-0000F30E0000}"/>
    <cellStyle name="Normal 8 2 4 2 5 2" xfId="4434" xr:uid="{00000000-0005-0000-0000-0000F40E0000}"/>
    <cellStyle name="Normal 8 2 4 2 6" xfId="2641" xr:uid="{00000000-0005-0000-0000-0000F50E0000}"/>
    <cellStyle name="Normal 8 2 4 3" xfId="960" xr:uid="{00000000-0005-0000-0000-0000F60E0000}"/>
    <cellStyle name="Normal 8 2 4 3 2" xfId="3194" xr:uid="{00000000-0005-0000-0000-0000F70E0000}"/>
    <cellStyle name="Normal 8 2 4 4" xfId="1377" xr:uid="{00000000-0005-0000-0000-0000F80E0000}"/>
    <cellStyle name="Normal 8 2 4 4 2" xfId="3607" xr:uid="{00000000-0005-0000-0000-0000F90E0000}"/>
    <cellStyle name="Normal 8 2 4 5" xfId="1790" xr:uid="{00000000-0005-0000-0000-0000FA0E0000}"/>
    <cellStyle name="Normal 8 2 4 5 2" xfId="4020" xr:uid="{00000000-0005-0000-0000-0000FB0E0000}"/>
    <cellStyle name="Normal 8 2 4 6" xfId="2204" xr:uid="{00000000-0005-0000-0000-0000FC0E0000}"/>
    <cellStyle name="Normal 8 2 4 6 2" xfId="4433" xr:uid="{00000000-0005-0000-0000-0000FD0E0000}"/>
    <cellStyle name="Normal 8 2 4 7" xfId="2640" xr:uid="{00000000-0005-0000-0000-0000FE0E0000}"/>
    <cellStyle name="Normal 8 2 5" xfId="494" xr:uid="{00000000-0005-0000-0000-0000FF0E0000}"/>
    <cellStyle name="Normal 8 2 5 2" xfId="962" xr:uid="{00000000-0005-0000-0000-0000000F0000}"/>
    <cellStyle name="Normal 8 2 5 2 2" xfId="3196" xr:uid="{00000000-0005-0000-0000-0000010F0000}"/>
    <cellStyle name="Normal 8 2 5 3" xfId="1379" xr:uid="{00000000-0005-0000-0000-0000020F0000}"/>
    <cellStyle name="Normal 8 2 5 3 2" xfId="3609" xr:uid="{00000000-0005-0000-0000-0000030F0000}"/>
    <cellStyle name="Normal 8 2 5 4" xfId="1792" xr:uid="{00000000-0005-0000-0000-0000040F0000}"/>
    <cellStyle name="Normal 8 2 5 4 2" xfId="4022" xr:uid="{00000000-0005-0000-0000-0000050F0000}"/>
    <cellStyle name="Normal 8 2 5 5" xfId="2206" xr:uid="{00000000-0005-0000-0000-0000060F0000}"/>
    <cellStyle name="Normal 8 2 5 5 2" xfId="4435" xr:uid="{00000000-0005-0000-0000-0000070F0000}"/>
    <cellStyle name="Normal 8 2 5 6" xfId="2642" xr:uid="{00000000-0005-0000-0000-0000080F0000}"/>
    <cellStyle name="Normal 8 2 6" xfId="947" xr:uid="{00000000-0005-0000-0000-0000090F0000}"/>
    <cellStyle name="Normal 8 2 6 2" xfId="3181" xr:uid="{00000000-0005-0000-0000-00000A0F0000}"/>
    <cellStyle name="Normal 8 2 7" xfId="1364" xr:uid="{00000000-0005-0000-0000-00000B0F0000}"/>
    <cellStyle name="Normal 8 2 7 2" xfId="3594" xr:uid="{00000000-0005-0000-0000-00000C0F0000}"/>
    <cellStyle name="Normal 8 2 8" xfId="1777" xr:uid="{00000000-0005-0000-0000-00000D0F0000}"/>
    <cellStyle name="Normal 8 2 8 2" xfId="4007" xr:uid="{00000000-0005-0000-0000-00000E0F0000}"/>
    <cellStyle name="Normal 8 2 9" xfId="2191" xr:uid="{00000000-0005-0000-0000-00000F0F0000}"/>
    <cellStyle name="Normal 8 2 9 2" xfId="4420" xr:uid="{00000000-0005-0000-0000-0000100F0000}"/>
    <cellStyle name="Normal 8 3" xfId="495" xr:uid="{00000000-0005-0000-0000-0000110F0000}"/>
    <cellStyle name="Normal 8 3 2" xfId="496" xr:uid="{00000000-0005-0000-0000-0000120F0000}"/>
    <cellStyle name="Normal 8 3 2 2" xfId="497" xr:uid="{00000000-0005-0000-0000-0000130F0000}"/>
    <cellStyle name="Normal 8 3 2 2 2" xfId="498" xr:uid="{00000000-0005-0000-0000-0000140F0000}"/>
    <cellStyle name="Normal 8 3 2 2 2 2" xfId="966" xr:uid="{00000000-0005-0000-0000-0000150F0000}"/>
    <cellStyle name="Normal 8 3 2 2 2 2 2" xfId="3200" xr:uid="{00000000-0005-0000-0000-0000160F0000}"/>
    <cellStyle name="Normal 8 3 2 2 2 3" xfId="1383" xr:uid="{00000000-0005-0000-0000-0000170F0000}"/>
    <cellStyle name="Normal 8 3 2 2 2 3 2" xfId="3613" xr:uid="{00000000-0005-0000-0000-0000180F0000}"/>
    <cellStyle name="Normal 8 3 2 2 2 4" xfId="1796" xr:uid="{00000000-0005-0000-0000-0000190F0000}"/>
    <cellStyle name="Normal 8 3 2 2 2 4 2" xfId="4026" xr:uid="{00000000-0005-0000-0000-00001A0F0000}"/>
    <cellStyle name="Normal 8 3 2 2 2 5" xfId="2210" xr:uid="{00000000-0005-0000-0000-00001B0F0000}"/>
    <cellStyle name="Normal 8 3 2 2 2 5 2" xfId="4439" xr:uid="{00000000-0005-0000-0000-00001C0F0000}"/>
    <cellStyle name="Normal 8 3 2 2 2 6" xfId="2646" xr:uid="{00000000-0005-0000-0000-00001D0F0000}"/>
    <cellStyle name="Normal 8 3 2 2 3" xfId="965" xr:uid="{00000000-0005-0000-0000-00001E0F0000}"/>
    <cellStyle name="Normal 8 3 2 2 3 2" xfId="3199" xr:uid="{00000000-0005-0000-0000-00001F0F0000}"/>
    <cellStyle name="Normal 8 3 2 2 4" xfId="1382" xr:uid="{00000000-0005-0000-0000-0000200F0000}"/>
    <cellStyle name="Normal 8 3 2 2 4 2" xfId="3612" xr:uid="{00000000-0005-0000-0000-0000210F0000}"/>
    <cellStyle name="Normal 8 3 2 2 5" xfId="1795" xr:uid="{00000000-0005-0000-0000-0000220F0000}"/>
    <cellStyle name="Normal 8 3 2 2 5 2" xfId="4025" xr:uid="{00000000-0005-0000-0000-0000230F0000}"/>
    <cellStyle name="Normal 8 3 2 2 6" xfId="2209" xr:uid="{00000000-0005-0000-0000-0000240F0000}"/>
    <cellStyle name="Normal 8 3 2 2 6 2" xfId="4438" xr:uid="{00000000-0005-0000-0000-0000250F0000}"/>
    <cellStyle name="Normal 8 3 2 2 7" xfId="2645" xr:uid="{00000000-0005-0000-0000-0000260F0000}"/>
    <cellStyle name="Normal 8 3 2 3" xfId="499" xr:uid="{00000000-0005-0000-0000-0000270F0000}"/>
    <cellStyle name="Normal 8 3 2 3 2" xfId="967" xr:uid="{00000000-0005-0000-0000-0000280F0000}"/>
    <cellStyle name="Normal 8 3 2 3 2 2" xfId="3201" xr:uid="{00000000-0005-0000-0000-0000290F0000}"/>
    <cellStyle name="Normal 8 3 2 3 3" xfId="1384" xr:uid="{00000000-0005-0000-0000-00002A0F0000}"/>
    <cellStyle name="Normal 8 3 2 3 3 2" xfId="3614" xr:uid="{00000000-0005-0000-0000-00002B0F0000}"/>
    <cellStyle name="Normal 8 3 2 3 4" xfId="1797" xr:uid="{00000000-0005-0000-0000-00002C0F0000}"/>
    <cellStyle name="Normal 8 3 2 3 4 2" xfId="4027" xr:uid="{00000000-0005-0000-0000-00002D0F0000}"/>
    <cellStyle name="Normal 8 3 2 3 5" xfId="2211" xr:uid="{00000000-0005-0000-0000-00002E0F0000}"/>
    <cellStyle name="Normal 8 3 2 3 5 2" xfId="4440" xr:uid="{00000000-0005-0000-0000-00002F0F0000}"/>
    <cellStyle name="Normal 8 3 2 3 6" xfId="2647" xr:uid="{00000000-0005-0000-0000-0000300F0000}"/>
    <cellStyle name="Normal 8 3 2 4" xfId="964" xr:uid="{00000000-0005-0000-0000-0000310F0000}"/>
    <cellStyle name="Normal 8 3 2 4 2" xfId="3198" xr:uid="{00000000-0005-0000-0000-0000320F0000}"/>
    <cellStyle name="Normal 8 3 2 5" xfId="1381" xr:uid="{00000000-0005-0000-0000-0000330F0000}"/>
    <cellStyle name="Normal 8 3 2 5 2" xfId="3611" xr:uid="{00000000-0005-0000-0000-0000340F0000}"/>
    <cellStyle name="Normal 8 3 2 6" xfId="1794" xr:uid="{00000000-0005-0000-0000-0000350F0000}"/>
    <cellStyle name="Normal 8 3 2 6 2" xfId="4024" xr:uid="{00000000-0005-0000-0000-0000360F0000}"/>
    <cellStyle name="Normal 8 3 2 7" xfId="2208" xr:uid="{00000000-0005-0000-0000-0000370F0000}"/>
    <cellStyle name="Normal 8 3 2 7 2" xfId="4437" xr:uid="{00000000-0005-0000-0000-0000380F0000}"/>
    <cellStyle name="Normal 8 3 2 8" xfId="2644" xr:uid="{00000000-0005-0000-0000-0000390F0000}"/>
    <cellStyle name="Normal 8 3 3" xfId="500" xr:uid="{00000000-0005-0000-0000-00003A0F0000}"/>
    <cellStyle name="Normal 8 3 3 2" xfId="501" xr:uid="{00000000-0005-0000-0000-00003B0F0000}"/>
    <cellStyle name="Normal 8 3 3 2 2" xfId="969" xr:uid="{00000000-0005-0000-0000-00003C0F0000}"/>
    <cellStyle name="Normal 8 3 3 2 2 2" xfId="3203" xr:uid="{00000000-0005-0000-0000-00003D0F0000}"/>
    <cellStyle name="Normal 8 3 3 2 3" xfId="1386" xr:uid="{00000000-0005-0000-0000-00003E0F0000}"/>
    <cellStyle name="Normal 8 3 3 2 3 2" xfId="3616" xr:uid="{00000000-0005-0000-0000-00003F0F0000}"/>
    <cellStyle name="Normal 8 3 3 2 4" xfId="1799" xr:uid="{00000000-0005-0000-0000-0000400F0000}"/>
    <cellStyle name="Normal 8 3 3 2 4 2" xfId="4029" xr:uid="{00000000-0005-0000-0000-0000410F0000}"/>
    <cellStyle name="Normal 8 3 3 2 5" xfId="2213" xr:uid="{00000000-0005-0000-0000-0000420F0000}"/>
    <cellStyle name="Normal 8 3 3 2 5 2" xfId="4442" xr:uid="{00000000-0005-0000-0000-0000430F0000}"/>
    <cellStyle name="Normal 8 3 3 2 6" xfId="2649" xr:uid="{00000000-0005-0000-0000-0000440F0000}"/>
    <cellStyle name="Normal 8 3 3 3" xfId="968" xr:uid="{00000000-0005-0000-0000-0000450F0000}"/>
    <cellStyle name="Normal 8 3 3 3 2" xfId="3202" xr:uid="{00000000-0005-0000-0000-0000460F0000}"/>
    <cellStyle name="Normal 8 3 3 4" xfId="1385" xr:uid="{00000000-0005-0000-0000-0000470F0000}"/>
    <cellStyle name="Normal 8 3 3 4 2" xfId="3615" xr:uid="{00000000-0005-0000-0000-0000480F0000}"/>
    <cellStyle name="Normal 8 3 3 5" xfId="1798" xr:uid="{00000000-0005-0000-0000-0000490F0000}"/>
    <cellStyle name="Normal 8 3 3 5 2" xfId="4028" xr:uid="{00000000-0005-0000-0000-00004A0F0000}"/>
    <cellStyle name="Normal 8 3 3 6" xfId="2212" xr:uid="{00000000-0005-0000-0000-00004B0F0000}"/>
    <cellStyle name="Normal 8 3 3 6 2" xfId="4441" xr:uid="{00000000-0005-0000-0000-00004C0F0000}"/>
    <cellStyle name="Normal 8 3 3 7" xfId="2648" xr:uid="{00000000-0005-0000-0000-00004D0F0000}"/>
    <cellStyle name="Normal 8 3 4" xfId="502" xr:uid="{00000000-0005-0000-0000-00004E0F0000}"/>
    <cellStyle name="Normal 8 3 4 2" xfId="970" xr:uid="{00000000-0005-0000-0000-00004F0F0000}"/>
    <cellStyle name="Normal 8 3 4 2 2" xfId="3204" xr:uid="{00000000-0005-0000-0000-0000500F0000}"/>
    <cellStyle name="Normal 8 3 4 3" xfId="1387" xr:uid="{00000000-0005-0000-0000-0000510F0000}"/>
    <cellStyle name="Normal 8 3 4 3 2" xfId="3617" xr:uid="{00000000-0005-0000-0000-0000520F0000}"/>
    <cellStyle name="Normal 8 3 4 4" xfId="1800" xr:uid="{00000000-0005-0000-0000-0000530F0000}"/>
    <cellStyle name="Normal 8 3 4 4 2" xfId="4030" xr:uid="{00000000-0005-0000-0000-0000540F0000}"/>
    <cellStyle name="Normal 8 3 4 5" xfId="2214" xr:uid="{00000000-0005-0000-0000-0000550F0000}"/>
    <cellStyle name="Normal 8 3 4 5 2" xfId="4443" xr:uid="{00000000-0005-0000-0000-0000560F0000}"/>
    <cellStyle name="Normal 8 3 4 6" xfId="2650" xr:uid="{00000000-0005-0000-0000-0000570F0000}"/>
    <cellStyle name="Normal 8 3 5" xfId="963" xr:uid="{00000000-0005-0000-0000-0000580F0000}"/>
    <cellStyle name="Normal 8 3 5 2" xfId="3197" xr:uid="{00000000-0005-0000-0000-0000590F0000}"/>
    <cellStyle name="Normal 8 3 6" xfId="1380" xr:uid="{00000000-0005-0000-0000-00005A0F0000}"/>
    <cellStyle name="Normal 8 3 6 2" xfId="3610" xr:uid="{00000000-0005-0000-0000-00005B0F0000}"/>
    <cellStyle name="Normal 8 3 7" xfId="1793" xr:uid="{00000000-0005-0000-0000-00005C0F0000}"/>
    <cellStyle name="Normal 8 3 7 2" xfId="4023" xr:uid="{00000000-0005-0000-0000-00005D0F0000}"/>
    <cellStyle name="Normal 8 3 8" xfId="2207" xr:uid="{00000000-0005-0000-0000-00005E0F0000}"/>
    <cellStyle name="Normal 8 3 8 2" xfId="4436" xr:uid="{00000000-0005-0000-0000-00005F0F0000}"/>
    <cellStyle name="Normal 8 3 9" xfId="2643" xr:uid="{00000000-0005-0000-0000-0000600F0000}"/>
    <cellStyle name="Normal 8 4" xfId="503" xr:uid="{00000000-0005-0000-0000-0000610F0000}"/>
    <cellStyle name="Normal 8 4 2" xfId="504" xr:uid="{00000000-0005-0000-0000-0000620F0000}"/>
    <cellStyle name="Normal 8 4 2 2" xfId="505" xr:uid="{00000000-0005-0000-0000-0000630F0000}"/>
    <cellStyle name="Normal 8 4 2 2 2" xfId="973" xr:uid="{00000000-0005-0000-0000-0000640F0000}"/>
    <cellStyle name="Normal 8 4 2 2 2 2" xfId="3207" xr:uid="{00000000-0005-0000-0000-0000650F0000}"/>
    <cellStyle name="Normal 8 4 2 2 3" xfId="1390" xr:uid="{00000000-0005-0000-0000-0000660F0000}"/>
    <cellStyle name="Normal 8 4 2 2 3 2" xfId="3620" xr:uid="{00000000-0005-0000-0000-0000670F0000}"/>
    <cellStyle name="Normal 8 4 2 2 4" xfId="1803" xr:uid="{00000000-0005-0000-0000-0000680F0000}"/>
    <cellStyle name="Normal 8 4 2 2 4 2" xfId="4033" xr:uid="{00000000-0005-0000-0000-0000690F0000}"/>
    <cellStyle name="Normal 8 4 2 2 5" xfId="2217" xr:uid="{00000000-0005-0000-0000-00006A0F0000}"/>
    <cellStyle name="Normal 8 4 2 2 5 2" xfId="4446" xr:uid="{00000000-0005-0000-0000-00006B0F0000}"/>
    <cellStyle name="Normal 8 4 2 2 6" xfId="2653" xr:uid="{00000000-0005-0000-0000-00006C0F0000}"/>
    <cellStyle name="Normal 8 4 2 3" xfId="972" xr:uid="{00000000-0005-0000-0000-00006D0F0000}"/>
    <cellStyle name="Normal 8 4 2 3 2" xfId="3206" xr:uid="{00000000-0005-0000-0000-00006E0F0000}"/>
    <cellStyle name="Normal 8 4 2 4" xfId="1389" xr:uid="{00000000-0005-0000-0000-00006F0F0000}"/>
    <cellStyle name="Normal 8 4 2 4 2" xfId="3619" xr:uid="{00000000-0005-0000-0000-0000700F0000}"/>
    <cellStyle name="Normal 8 4 2 5" xfId="1802" xr:uid="{00000000-0005-0000-0000-0000710F0000}"/>
    <cellStyle name="Normal 8 4 2 5 2" xfId="4032" xr:uid="{00000000-0005-0000-0000-0000720F0000}"/>
    <cellStyle name="Normal 8 4 2 6" xfId="2216" xr:uid="{00000000-0005-0000-0000-0000730F0000}"/>
    <cellStyle name="Normal 8 4 2 6 2" xfId="4445" xr:uid="{00000000-0005-0000-0000-0000740F0000}"/>
    <cellStyle name="Normal 8 4 2 7" xfId="2652" xr:uid="{00000000-0005-0000-0000-0000750F0000}"/>
    <cellStyle name="Normal 8 4 3" xfId="506" xr:uid="{00000000-0005-0000-0000-0000760F0000}"/>
    <cellStyle name="Normal 8 4 3 2" xfId="974" xr:uid="{00000000-0005-0000-0000-0000770F0000}"/>
    <cellStyle name="Normal 8 4 3 2 2" xfId="3208" xr:uid="{00000000-0005-0000-0000-0000780F0000}"/>
    <cellStyle name="Normal 8 4 3 3" xfId="1391" xr:uid="{00000000-0005-0000-0000-0000790F0000}"/>
    <cellStyle name="Normal 8 4 3 3 2" xfId="3621" xr:uid="{00000000-0005-0000-0000-00007A0F0000}"/>
    <cellStyle name="Normal 8 4 3 4" xfId="1804" xr:uid="{00000000-0005-0000-0000-00007B0F0000}"/>
    <cellStyle name="Normal 8 4 3 4 2" xfId="4034" xr:uid="{00000000-0005-0000-0000-00007C0F0000}"/>
    <cellStyle name="Normal 8 4 3 5" xfId="2218" xr:uid="{00000000-0005-0000-0000-00007D0F0000}"/>
    <cellStyle name="Normal 8 4 3 5 2" xfId="4447" xr:uid="{00000000-0005-0000-0000-00007E0F0000}"/>
    <cellStyle name="Normal 8 4 3 6" xfId="2654" xr:uid="{00000000-0005-0000-0000-00007F0F0000}"/>
    <cellStyle name="Normal 8 4 4" xfId="971" xr:uid="{00000000-0005-0000-0000-0000800F0000}"/>
    <cellStyle name="Normal 8 4 4 2" xfId="3205" xr:uid="{00000000-0005-0000-0000-0000810F0000}"/>
    <cellStyle name="Normal 8 4 5" xfId="1388" xr:uid="{00000000-0005-0000-0000-0000820F0000}"/>
    <cellStyle name="Normal 8 4 5 2" xfId="3618" xr:uid="{00000000-0005-0000-0000-0000830F0000}"/>
    <cellStyle name="Normal 8 4 6" xfId="1801" xr:uid="{00000000-0005-0000-0000-0000840F0000}"/>
    <cellStyle name="Normal 8 4 6 2" xfId="4031" xr:uid="{00000000-0005-0000-0000-0000850F0000}"/>
    <cellStyle name="Normal 8 4 7" xfId="2215" xr:uid="{00000000-0005-0000-0000-0000860F0000}"/>
    <cellStyle name="Normal 8 4 7 2" xfId="4444" xr:uid="{00000000-0005-0000-0000-0000870F0000}"/>
    <cellStyle name="Normal 8 4 8" xfId="2651" xr:uid="{00000000-0005-0000-0000-0000880F0000}"/>
    <cellStyle name="Normal 8 5" xfId="507" xr:uid="{00000000-0005-0000-0000-0000890F0000}"/>
    <cellStyle name="Normal 8 5 2" xfId="508" xr:uid="{00000000-0005-0000-0000-00008A0F0000}"/>
    <cellStyle name="Normal 8 5 2 2" xfId="976" xr:uid="{00000000-0005-0000-0000-00008B0F0000}"/>
    <cellStyle name="Normal 8 5 2 2 2" xfId="3210" xr:uid="{00000000-0005-0000-0000-00008C0F0000}"/>
    <cellStyle name="Normal 8 5 2 3" xfId="1393" xr:uid="{00000000-0005-0000-0000-00008D0F0000}"/>
    <cellStyle name="Normal 8 5 2 3 2" xfId="3623" xr:uid="{00000000-0005-0000-0000-00008E0F0000}"/>
    <cellStyle name="Normal 8 5 2 4" xfId="1806" xr:uid="{00000000-0005-0000-0000-00008F0F0000}"/>
    <cellStyle name="Normal 8 5 2 4 2" xfId="4036" xr:uid="{00000000-0005-0000-0000-0000900F0000}"/>
    <cellStyle name="Normal 8 5 2 5" xfId="2220" xr:uid="{00000000-0005-0000-0000-0000910F0000}"/>
    <cellStyle name="Normal 8 5 2 5 2" xfId="4449" xr:uid="{00000000-0005-0000-0000-0000920F0000}"/>
    <cellStyle name="Normal 8 5 2 6" xfId="2656" xr:uid="{00000000-0005-0000-0000-0000930F0000}"/>
    <cellStyle name="Normal 8 5 3" xfId="975" xr:uid="{00000000-0005-0000-0000-0000940F0000}"/>
    <cellStyle name="Normal 8 5 3 2" xfId="3209" xr:uid="{00000000-0005-0000-0000-0000950F0000}"/>
    <cellStyle name="Normal 8 5 4" xfId="1392" xr:uid="{00000000-0005-0000-0000-0000960F0000}"/>
    <cellStyle name="Normal 8 5 4 2" xfId="3622" xr:uid="{00000000-0005-0000-0000-0000970F0000}"/>
    <cellStyle name="Normal 8 5 5" xfId="1805" xr:uid="{00000000-0005-0000-0000-0000980F0000}"/>
    <cellStyle name="Normal 8 5 5 2" xfId="4035" xr:uid="{00000000-0005-0000-0000-0000990F0000}"/>
    <cellStyle name="Normal 8 5 6" xfId="2219" xr:uid="{00000000-0005-0000-0000-00009A0F0000}"/>
    <cellStyle name="Normal 8 5 6 2" xfId="4448" xr:uid="{00000000-0005-0000-0000-00009B0F0000}"/>
    <cellStyle name="Normal 8 5 7" xfId="2655" xr:uid="{00000000-0005-0000-0000-00009C0F0000}"/>
    <cellStyle name="Normal 8 6" xfId="509" xr:uid="{00000000-0005-0000-0000-00009D0F0000}"/>
    <cellStyle name="Normal 8 6 2" xfId="977" xr:uid="{00000000-0005-0000-0000-00009E0F0000}"/>
    <cellStyle name="Normal 8 6 2 2" xfId="3211" xr:uid="{00000000-0005-0000-0000-00009F0F0000}"/>
    <cellStyle name="Normal 8 6 3" xfId="1394" xr:uid="{00000000-0005-0000-0000-0000A00F0000}"/>
    <cellStyle name="Normal 8 6 3 2" xfId="3624" xr:uid="{00000000-0005-0000-0000-0000A10F0000}"/>
    <cellStyle name="Normal 8 6 4" xfId="1807" xr:uid="{00000000-0005-0000-0000-0000A20F0000}"/>
    <cellStyle name="Normal 8 6 4 2" xfId="4037" xr:uid="{00000000-0005-0000-0000-0000A30F0000}"/>
    <cellStyle name="Normal 8 6 5" xfId="2221" xr:uid="{00000000-0005-0000-0000-0000A40F0000}"/>
    <cellStyle name="Normal 8 6 5 2" xfId="4450" xr:uid="{00000000-0005-0000-0000-0000A50F0000}"/>
    <cellStyle name="Normal 8 6 6" xfId="2657" xr:uid="{00000000-0005-0000-0000-0000A60F0000}"/>
    <cellStyle name="Normal 8 7" xfId="946" xr:uid="{00000000-0005-0000-0000-0000A70F0000}"/>
    <cellStyle name="Normal 8 7 2" xfId="3180" xr:uid="{00000000-0005-0000-0000-0000A80F0000}"/>
    <cellStyle name="Normal 8 8" xfId="1363" xr:uid="{00000000-0005-0000-0000-0000A90F0000}"/>
    <cellStyle name="Normal 8 8 2" xfId="3593" xr:uid="{00000000-0005-0000-0000-0000AA0F0000}"/>
    <cellStyle name="Normal 8 9" xfId="1776" xr:uid="{00000000-0005-0000-0000-0000AB0F0000}"/>
    <cellStyle name="Normal 8 9 2" xfId="4006" xr:uid="{00000000-0005-0000-0000-0000AC0F0000}"/>
    <cellStyle name="Normal 9" xfId="510" xr:uid="{00000000-0005-0000-0000-0000AD0F0000}"/>
    <cellStyle name="Normal 9 2" xfId="511" xr:uid="{00000000-0005-0000-0000-0000AE0F0000}"/>
    <cellStyle name="Normal 9 2 10" xfId="2658" xr:uid="{00000000-0005-0000-0000-0000AF0F0000}"/>
    <cellStyle name="Normal 9 2 2" xfId="512" xr:uid="{00000000-0005-0000-0000-0000B00F0000}"/>
    <cellStyle name="Normal 9 2 2 2" xfId="513" xr:uid="{00000000-0005-0000-0000-0000B10F0000}"/>
    <cellStyle name="Normal 9 2 2 2 2" xfId="514" xr:uid="{00000000-0005-0000-0000-0000B20F0000}"/>
    <cellStyle name="Normal 9 2 2 2 2 2" xfId="515" xr:uid="{00000000-0005-0000-0000-0000B30F0000}"/>
    <cellStyle name="Normal 9 2 2 2 2 2 2" xfId="983" xr:uid="{00000000-0005-0000-0000-0000B40F0000}"/>
    <cellStyle name="Normal 9 2 2 2 2 2 2 2" xfId="3216" xr:uid="{00000000-0005-0000-0000-0000B50F0000}"/>
    <cellStyle name="Normal 9 2 2 2 2 2 3" xfId="1399" xr:uid="{00000000-0005-0000-0000-0000B60F0000}"/>
    <cellStyle name="Normal 9 2 2 2 2 2 3 2" xfId="3629" xr:uid="{00000000-0005-0000-0000-0000B70F0000}"/>
    <cellStyle name="Normal 9 2 2 2 2 2 4" xfId="1812" xr:uid="{00000000-0005-0000-0000-0000B80F0000}"/>
    <cellStyle name="Normal 9 2 2 2 2 2 4 2" xfId="4042" xr:uid="{00000000-0005-0000-0000-0000B90F0000}"/>
    <cellStyle name="Normal 9 2 2 2 2 2 5" xfId="2226" xr:uid="{00000000-0005-0000-0000-0000BA0F0000}"/>
    <cellStyle name="Normal 9 2 2 2 2 2 5 2" xfId="4455" xr:uid="{00000000-0005-0000-0000-0000BB0F0000}"/>
    <cellStyle name="Normal 9 2 2 2 2 2 6" xfId="2662" xr:uid="{00000000-0005-0000-0000-0000BC0F0000}"/>
    <cellStyle name="Normal 9 2 2 2 2 3" xfId="982" xr:uid="{00000000-0005-0000-0000-0000BD0F0000}"/>
    <cellStyle name="Normal 9 2 2 2 2 3 2" xfId="3215" xr:uid="{00000000-0005-0000-0000-0000BE0F0000}"/>
    <cellStyle name="Normal 9 2 2 2 2 4" xfId="1398" xr:uid="{00000000-0005-0000-0000-0000BF0F0000}"/>
    <cellStyle name="Normal 9 2 2 2 2 4 2" xfId="3628" xr:uid="{00000000-0005-0000-0000-0000C00F0000}"/>
    <cellStyle name="Normal 9 2 2 2 2 5" xfId="1811" xr:uid="{00000000-0005-0000-0000-0000C10F0000}"/>
    <cellStyle name="Normal 9 2 2 2 2 5 2" xfId="4041" xr:uid="{00000000-0005-0000-0000-0000C20F0000}"/>
    <cellStyle name="Normal 9 2 2 2 2 6" xfId="2225" xr:uid="{00000000-0005-0000-0000-0000C30F0000}"/>
    <cellStyle name="Normal 9 2 2 2 2 6 2" xfId="4454" xr:uid="{00000000-0005-0000-0000-0000C40F0000}"/>
    <cellStyle name="Normal 9 2 2 2 2 7" xfId="2661" xr:uid="{00000000-0005-0000-0000-0000C50F0000}"/>
    <cellStyle name="Normal 9 2 2 2 3" xfId="516" xr:uid="{00000000-0005-0000-0000-0000C60F0000}"/>
    <cellStyle name="Normal 9 2 2 2 3 2" xfId="984" xr:uid="{00000000-0005-0000-0000-0000C70F0000}"/>
    <cellStyle name="Normal 9 2 2 2 3 2 2" xfId="3217" xr:uid="{00000000-0005-0000-0000-0000C80F0000}"/>
    <cellStyle name="Normal 9 2 2 2 3 3" xfId="1400" xr:uid="{00000000-0005-0000-0000-0000C90F0000}"/>
    <cellStyle name="Normal 9 2 2 2 3 3 2" xfId="3630" xr:uid="{00000000-0005-0000-0000-0000CA0F0000}"/>
    <cellStyle name="Normal 9 2 2 2 3 4" xfId="1813" xr:uid="{00000000-0005-0000-0000-0000CB0F0000}"/>
    <cellStyle name="Normal 9 2 2 2 3 4 2" xfId="4043" xr:uid="{00000000-0005-0000-0000-0000CC0F0000}"/>
    <cellStyle name="Normal 9 2 2 2 3 5" xfId="2227" xr:uid="{00000000-0005-0000-0000-0000CD0F0000}"/>
    <cellStyle name="Normal 9 2 2 2 3 5 2" xfId="4456" xr:uid="{00000000-0005-0000-0000-0000CE0F0000}"/>
    <cellStyle name="Normal 9 2 2 2 3 6" xfId="2663" xr:uid="{00000000-0005-0000-0000-0000CF0F0000}"/>
    <cellStyle name="Normal 9 2 2 2 4" xfId="981" xr:uid="{00000000-0005-0000-0000-0000D00F0000}"/>
    <cellStyle name="Normal 9 2 2 2 4 2" xfId="3214" xr:uid="{00000000-0005-0000-0000-0000D10F0000}"/>
    <cellStyle name="Normal 9 2 2 2 5" xfId="1397" xr:uid="{00000000-0005-0000-0000-0000D20F0000}"/>
    <cellStyle name="Normal 9 2 2 2 5 2" xfId="3627" xr:uid="{00000000-0005-0000-0000-0000D30F0000}"/>
    <cellStyle name="Normal 9 2 2 2 6" xfId="1810" xr:uid="{00000000-0005-0000-0000-0000D40F0000}"/>
    <cellStyle name="Normal 9 2 2 2 6 2" xfId="4040" xr:uid="{00000000-0005-0000-0000-0000D50F0000}"/>
    <cellStyle name="Normal 9 2 2 2 7" xfId="2224" xr:uid="{00000000-0005-0000-0000-0000D60F0000}"/>
    <cellStyle name="Normal 9 2 2 2 7 2" xfId="4453" xr:uid="{00000000-0005-0000-0000-0000D70F0000}"/>
    <cellStyle name="Normal 9 2 2 2 8" xfId="2660" xr:uid="{00000000-0005-0000-0000-0000D80F0000}"/>
    <cellStyle name="Normal 9 2 2 3" xfId="517" xr:uid="{00000000-0005-0000-0000-0000D90F0000}"/>
    <cellStyle name="Normal 9 2 2 3 2" xfId="518" xr:uid="{00000000-0005-0000-0000-0000DA0F0000}"/>
    <cellStyle name="Normal 9 2 2 3 2 2" xfId="986" xr:uid="{00000000-0005-0000-0000-0000DB0F0000}"/>
    <cellStyle name="Normal 9 2 2 3 2 2 2" xfId="3219" xr:uid="{00000000-0005-0000-0000-0000DC0F0000}"/>
    <cellStyle name="Normal 9 2 2 3 2 3" xfId="1402" xr:uid="{00000000-0005-0000-0000-0000DD0F0000}"/>
    <cellStyle name="Normal 9 2 2 3 2 3 2" xfId="3632" xr:uid="{00000000-0005-0000-0000-0000DE0F0000}"/>
    <cellStyle name="Normal 9 2 2 3 2 4" xfId="1815" xr:uid="{00000000-0005-0000-0000-0000DF0F0000}"/>
    <cellStyle name="Normal 9 2 2 3 2 4 2" xfId="4045" xr:uid="{00000000-0005-0000-0000-0000E00F0000}"/>
    <cellStyle name="Normal 9 2 2 3 2 5" xfId="2229" xr:uid="{00000000-0005-0000-0000-0000E10F0000}"/>
    <cellStyle name="Normal 9 2 2 3 2 5 2" xfId="4458" xr:uid="{00000000-0005-0000-0000-0000E20F0000}"/>
    <cellStyle name="Normal 9 2 2 3 2 6" xfId="2665" xr:uid="{00000000-0005-0000-0000-0000E30F0000}"/>
    <cellStyle name="Normal 9 2 2 3 3" xfId="985" xr:uid="{00000000-0005-0000-0000-0000E40F0000}"/>
    <cellStyle name="Normal 9 2 2 3 3 2" xfId="3218" xr:uid="{00000000-0005-0000-0000-0000E50F0000}"/>
    <cellStyle name="Normal 9 2 2 3 4" xfId="1401" xr:uid="{00000000-0005-0000-0000-0000E60F0000}"/>
    <cellStyle name="Normal 9 2 2 3 4 2" xfId="3631" xr:uid="{00000000-0005-0000-0000-0000E70F0000}"/>
    <cellStyle name="Normal 9 2 2 3 5" xfId="1814" xr:uid="{00000000-0005-0000-0000-0000E80F0000}"/>
    <cellStyle name="Normal 9 2 2 3 5 2" xfId="4044" xr:uid="{00000000-0005-0000-0000-0000E90F0000}"/>
    <cellStyle name="Normal 9 2 2 3 6" xfId="2228" xr:uid="{00000000-0005-0000-0000-0000EA0F0000}"/>
    <cellStyle name="Normal 9 2 2 3 6 2" xfId="4457" xr:uid="{00000000-0005-0000-0000-0000EB0F0000}"/>
    <cellStyle name="Normal 9 2 2 3 7" xfId="2664" xr:uid="{00000000-0005-0000-0000-0000EC0F0000}"/>
    <cellStyle name="Normal 9 2 2 4" xfId="519" xr:uid="{00000000-0005-0000-0000-0000ED0F0000}"/>
    <cellStyle name="Normal 9 2 2 4 2" xfId="987" xr:uid="{00000000-0005-0000-0000-0000EE0F0000}"/>
    <cellStyle name="Normal 9 2 2 4 2 2" xfId="3220" xr:uid="{00000000-0005-0000-0000-0000EF0F0000}"/>
    <cellStyle name="Normal 9 2 2 4 3" xfId="1403" xr:uid="{00000000-0005-0000-0000-0000F00F0000}"/>
    <cellStyle name="Normal 9 2 2 4 3 2" xfId="3633" xr:uid="{00000000-0005-0000-0000-0000F10F0000}"/>
    <cellStyle name="Normal 9 2 2 4 4" xfId="1816" xr:uid="{00000000-0005-0000-0000-0000F20F0000}"/>
    <cellStyle name="Normal 9 2 2 4 4 2" xfId="4046" xr:uid="{00000000-0005-0000-0000-0000F30F0000}"/>
    <cellStyle name="Normal 9 2 2 4 5" xfId="2230" xr:uid="{00000000-0005-0000-0000-0000F40F0000}"/>
    <cellStyle name="Normal 9 2 2 4 5 2" xfId="4459" xr:uid="{00000000-0005-0000-0000-0000F50F0000}"/>
    <cellStyle name="Normal 9 2 2 4 6" xfId="2666" xr:uid="{00000000-0005-0000-0000-0000F60F0000}"/>
    <cellStyle name="Normal 9 2 2 5" xfId="980" xr:uid="{00000000-0005-0000-0000-0000F70F0000}"/>
    <cellStyle name="Normal 9 2 2 5 2" xfId="3213" xr:uid="{00000000-0005-0000-0000-0000F80F0000}"/>
    <cellStyle name="Normal 9 2 2 6" xfId="1396" xr:uid="{00000000-0005-0000-0000-0000F90F0000}"/>
    <cellStyle name="Normal 9 2 2 6 2" xfId="3626" xr:uid="{00000000-0005-0000-0000-0000FA0F0000}"/>
    <cellStyle name="Normal 9 2 2 7" xfId="1809" xr:uid="{00000000-0005-0000-0000-0000FB0F0000}"/>
    <cellStyle name="Normal 9 2 2 7 2" xfId="4039" xr:uid="{00000000-0005-0000-0000-0000FC0F0000}"/>
    <cellStyle name="Normal 9 2 2 8" xfId="2223" xr:uid="{00000000-0005-0000-0000-0000FD0F0000}"/>
    <cellStyle name="Normal 9 2 2 8 2" xfId="4452" xr:uid="{00000000-0005-0000-0000-0000FE0F0000}"/>
    <cellStyle name="Normal 9 2 2 9" xfId="2659" xr:uid="{00000000-0005-0000-0000-0000FF0F0000}"/>
    <cellStyle name="Normal 9 2 3" xfId="520" xr:uid="{00000000-0005-0000-0000-000000100000}"/>
    <cellStyle name="Normal 9 2 3 2" xfId="521" xr:uid="{00000000-0005-0000-0000-000001100000}"/>
    <cellStyle name="Normal 9 2 3 2 2" xfId="522" xr:uid="{00000000-0005-0000-0000-000002100000}"/>
    <cellStyle name="Normal 9 2 3 2 2 2" xfId="990" xr:uid="{00000000-0005-0000-0000-000003100000}"/>
    <cellStyle name="Normal 9 2 3 2 2 2 2" xfId="3223" xr:uid="{00000000-0005-0000-0000-000004100000}"/>
    <cellStyle name="Normal 9 2 3 2 2 3" xfId="1406" xr:uid="{00000000-0005-0000-0000-000005100000}"/>
    <cellStyle name="Normal 9 2 3 2 2 3 2" xfId="3636" xr:uid="{00000000-0005-0000-0000-000006100000}"/>
    <cellStyle name="Normal 9 2 3 2 2 4" xfId="1819" xr:uid="{00000000-0005-0000-0000-000007100000}"/>
    <cellStyle name="Normal 9 2 3 2 2 4 2" xfId="4049" xr:uid="{00000000-0005-0000-0000-000008100000}"/>
    <cellStyle name="Normal 9 2 3 2 2 5" xfId="2233" xr:uid="{00000000-0005-0000-0000-000009100000}"/>
    <cellStyle name="Normal 9 2 3 2 2 5 2" xfId="4462" xr:uid="{00000000-0005-0000-0000-00000A100000}"/>
    <cellStyle name="Normal 9 2 3 2 2 6" xfId="2669" xr:uid="{00000000-0005-0000-0000-00000B100000}"/>
    <cellStyle name="Normal 9 2 3 2 3" xfId="989" xr:uid="{00000000-0005-0000-0000-00000C100000}"/>
    <cellStyle name="Normal 9 2 3 2 3 2" xfId="3222" xr:uid="{00000000-0005-0000-0000-00000D100000}"/>
    <cellStyle name="Normal 9 2 3 2 4" xfId="1405" xr:uid="{00000000-0005-0000-0000-00000E100000}"/>
    <cellStyle name="Normal 9 2 3 2 4 2" xfId="3635" xr:uid="{00000000-0005-0000-0000-00000F100000}"/>
    <cellStyle name="Normal 9 2 3 2 5" xfId="1818" xr:uid="{00000000-0005-0000-0000-000010100000}"/>
    <cellStyle name="Normal 9 2 3 2 5 2" xfId="4048" xr:uid="{00000000-0005-0000-0000-000011100000}"/>
    <cellStyle name="Normal 9 2 3 2 6" xfId="2232" xr:uid="{00000000-0005-0000-0000-000012100000}"/>
    <cellStyle name="Normal 9 2 3 2 6 2" xfId="4461" xr:uid="{00000000-0005-0000-0000-000013100000}"/>
    <cellStyle name="Normal 9 2 3 2 7" xfId="2668" xr:uid="{00000000-0005-0000-0000-000014100000}"/>
    <cellStyle name="Normal 9 2 3 3" xfId="523" xr:uid="{00000000-0005-0000-0000-000015100000}"/>
    <cellStyle name="Normal 9 2 3 3 2" xfId="991" xr:uid="{00000000-0005-0000-0000-000016100000}"/>
    <cellStyle name="Normal 9 2 3 3 2 2" xfId="3224" xr:uid="{00000000-0005-0000-0000-000017100000}"/>
    <cellStyle name="Normal 9 2 3 3 3" xfId="1407" xr:uid="{00000000-0005-0000-0000-000018100000}"/>
    <cellStyle name="Normal 9 2 3 3 3 2" xfId="3637" xr:uid="{00000000-0005-0000-0000-000019100000}"/>
    <cellStyle name="Normal 9 2 3 3 4" xfId="1820" xr:uid="{00000000-0005-0000-0000-00001A100000}"/>
    <cellStyle name="Normal 9 2 3 3 4 2" xfId="4050" xr:uid="{00000000-0005-0000-0000-00001B100000}"/>
    <cellStyle name="Normal 9 2 3 3 5" xfId="2234" xr:uid="{00000000-0005-0000-0000-00001C100000}"/>
    <cellStyle name="Normal 9 2 3 3 5 2" xfId="4463" xr:uid="{00000000-0005-0000-0000-00001D100000}"/>
    <cellStyle name="Normal 9 2 3 3 6" xfId="2670" xr:uid="{00000000-0005-0000-0000-00001E100000}"/>
    <cellStyle name="Normal 9 2 3 4" xfId="988" xr:uid="{00000000-0005-0000-0000-00001F100000}"/>
    <cellStyle name="Normal 9 2 3 4 2" xfId="3221" xr:uid="{00000000-0005-0000-0000-000020100000}"/>
    <cellStyle name="Normal 9 2 3 5" xfId="1404" xr:uid="{00000000-0005-0000-0000-000021100000}"/>
    <cellStyle name="Normal 9 2 3 5 2" xfId="3634" xr:uid="{00000000-0005-0000-0000-000022100000}"/>
    <cellStyle name="Normal 9 2 3 6" xfId="1817" xr:uid="{00000000-0005-0000-0000-000023100000}"/>
    <cellStyle name="Normal 9 2 3 6 2" xfId="4047" xr:uid="{00000000-0005-0000-0000-000024100000}"/>
    <cellStyle name="Normal 9 2 3 7" xfId="2231" xr:uid="{00000000-0005-0000-0000-000025100000}"/>
    <cellStyle name="Normal 9 2 3 7 2" xfId="4460" xr:uid="{00000000-0005-0000-0000-000026100000}"/>
    <cellStyle name="Normal 9 2 3 8" xfId="2667" xr:uid="{00000000-0005-0000-0000-000027100000}"/>
    <cellStyle name="Normal 9 2 4" xfId="524" xr:uid="{00000000-0005-0000-0000-000028100000}"/>
    <cellStyle name="Normal 9 2 4 2" xfId="525" xr:uid="{00000000-0005-0000-0000-000029100000}"/>
    <cellStyle name="Normal 9 2 4 2 2" xfId="993" xr:uid="{00000000-0005-0000-0000-00002A100000}"/>
    <cellStyle name="Normal 9 2 4 2 2 2" xfId="3226" xr:uid="{00000000-0005-0000-0000-00002B100000}"/>
    <cellStyle name="Normal 9 2 4 2 3" xfId="1409" xr:uid="{00000000-0005-0000-0000-00002C100000}"/>
    <cellStyle name="Normal 9 2 4 2 3 2" xfId="3639" xr:uid="{00000000-0005-0000-0000-00002D100000}"/>
    <cellStyle name="Normal 9 2 4 2 4" xfId="1822" xr:uid="{00000000-0005-0000-0000-00002E100000}"/>
    <cellStyle name="Normal 9 2 4 2 4 2" xfId="4052" xr:uid="{00000000-0005-0000-0000-00002F100000}"/>
    <cellStyle name="Normal 9 2 4 2 5" xfId="2236" xr:uid="{00000000-0005-0000-0000-000030100000}"/>
    <cellStyle name="Normal 9 2 4 2 5 2" xfId="4465" xr:uid="{00000000-0005-0000-0000-000031100000}"/>
    <cellStyle name="Normal 9 2 4 2 6" xfId="2672" xr:uid="{00000000-0005-0000-0000-000032100000}"/>
    <cellStyle name="Normal 9 2 4 3" xfId="992" xr:uid="{00000000-0005-0000-0000-000033100000}"/>
    <cellStyle name="Normal 9 2 4 3 2" xfId="3225" xr:uid="{00000000-0005-0000-0000-000034100000}"/>
    <cellStyle name="Normal 9 2 4 4" xfId="1408" xr:uid="{00000000-0005-0000-0000-000035100000}"/>
    <cellStyle name="Normal 9 2 4 4 2" xfId="3638" xr:uid="{00000000-0005-0000-0000-000036100000}"/>
    <cellStyle name="Normal 9 2 4 5" xfId="1821" xr:uid="{00000000-0005-0000-0000-000037100000}"/>
    <cellStyle name="Normal 9 2 4 5 2" xfId="4051" xr:uid="{00000000-0005-0000-0000-000038100000}"/>
    <cellStyle name="Normal 9 2 4 6" xfId="2235" xr:uid="{00000000-0005-0000-0000-000039100000}"/>
    <cellStyle name="Normal 9 2 4 6 2" xfId="4464" xr:uid="{00000000-0005-0000-0000-00003A100000}"/>
    <cellStyle name="Normal 9 2 4 7" xfId="2671" xr:uid="{00000000-0005-0000-0000-00003B100000}"/>
    <cellStyle name="Normal 9 2 5" xfId="526" xr:uid="{00000000-0005-0000-0000-00003C100000}"/>
    <cellStyle name="Normal 9 2 5 2" xfId="994" xr:uid="{00000000-0005-0000-0000-00003D100000}"/>
    <cellStyle name="Normal 9 2 5 2 2" xfId="3227" xr:uid="{00000000-0005-0000-0000-00003E100000}"/>
    <cellStyle name="Normal 9 2 5 3" xfId="1410" xr:uid="{00000000-0005-0000-0000-00003F100000}"/>
    <cellStyle name="Normal 9 2 5 3 2" xfId="3640" xr:uid="{00000000-0005-0000-0000-000040100000}"/>
    <cellStyle name="Normal 9 2 5 4" xfId="1823" xr:uid="{00000000-0005-0000-0000-000041100000}"/>
    <cellStyle name="Normal 9 2 5 4 2" xfId="4053" xr:uid="{00000000-0005-0000-0000-000042100000}"/>
    <cellStyle name="Normal 9 2 5 5" xfId="2237" xr:uid="{00000000-0005-0000-0000-000043100000}"/>
    <cellStyle name="Normal 9 2 5 5 2" xfId="4466" xr:uid="{00000000-0005-0000-0000-000044100000}"/>
    <cellStyle name="Normal 9 2 5 6" xfId="2673" xr:uid="{00000000-0005-0000-0000-000045100000}"/>
    <cellStyle name="Normal 9 2 6" xfId="979" xr:uid="{00000000-0005-0000-0000-000046100000}"/>
    <cellStyle name="Normal 9 2 6 2" xfId="3212" xr:uid="{00000000-0005-0000-0000-000047100000}"/>
    <cellStyle name="Normal 9 2 7" xfId="1395" xr:uid="{00000000-0005-0000-0000-000048100000}"/>
    <cellStyle name="Normal 9 2 7 2" xfId="3625" xr:uid="{00000000-0005-0000-0000-000049100000}"/>
    <cellStyle name="Normal 9 2 8" xfId="1808" xr:uid="{00000000-0005-0000-0000-00004A100000}"/>
    <cellStyle name="Normal 9 2 8 2" xfId="4038" xr:uid="{00000000-0005-0000-0000-00004B100000}"/>
    <cellStyle name="Normal 9 2 9" xfId="2222" xr:uid="{00000000-0005-0000-0000-00004C100000}"/>
    <cellStyle name="Normal 9 2 9 2" xfId="4451" xr:uid="{00000000-0005-0000-0000-00004D100000}"/>
    <cellStyle name="Normal 9 3" xfId="527" xr:uid="{00000000-0005-0000-0000-00004E100000}"/>
    <cellStyle name="Normal 9 3 2" xfId="528" xr:uid="{00000000-0005-0000-0000-00004F100000}"/>
    <cellStyle name="Normal 9 3 2 2" xfId="529" xr:uid="{00000000-0005-0000-0000-000050100000}"/>
    <cellStyle name="Normal 9 3 2 2 2" xfId="530" xr:uid="{00000000-0005-0000-0000-000051100000}"/>
    <cellStyle name="Normal 9 3 2 2 2 2" xfId="998" xr:uid="{00000000-0005-0000-0000-000052100000}"/>
    <cellStyle name="Normal 9 3 2 2 2 2 2" xfId="3231" xr:uid="{00000000-0005-0000-0000-000053100000}"/>
    <cellStyle name="Normal 9 3 2 2 2 3" xfId="1414" xr:uid="{00000000-0005-0000-0000-000054100000}"/>
    <cellStyle name="Normal 9 3 2 2 2 3 2" xfId="3644" xr:uid="{00000000-0005-0000-0000-000055100000}"/>
    <cellStyle name="Normal 9 3 2 2 2 4" xfId="1827" xr:uid="{00000000-0005-0000-0000-000056100000}"/>
    <cellStyle name="Normal 9 3 2 2 2 4 2" xfId="4057" xr:uid="{00000000-0005-0000-0000-000057100000}"/>
    <cellStyle name="Normal 9 3 2 2 2 5" xfId="2241" xr:uid="{00000000-0005-0000-0000-000058100000}"/>
    <cellStyle name="Normal 9 3 2 2 2 5 2" xfId="4470" xr:uid="{00000000-0005-0000-0000-000059100000}"/>
    <cellStyle name="Normal 9 3 2 2 2 6" xfId="2677" xr:uid="{00000000-0005-0000-0000-00005A100000}"/>
    <cellStyle name="Normal 9 3 2 2 3" xfId="997" xr:uid="{00000000-0005-0000-0000-00005B100000}"/>
    <cellStyle name="Normal 9 3 2 2 3 2" xfId="3230" xr:uid="{00000000-0005-0000-0000-00005C100000}"/>
    <cellStyle name="Normal 9 3 2 2 4" xfId="1413" xr:uid="{00000000-0005-0000-0000-00005D100000}"/>
    <cellStyle name="Normal 9 3 2 2 4 2" xfId="3643" xr:uid="{00000000-0005-0000-0000-00005E100000}"/>
    <cellStyle name="Normal 9 3 2 2 5" xfId="1826" xr:uid="{00000000-0005-0000-0000-00005F100000}"/>
    <cellStyle name="Normal 9 3 2 2 5 2" xfId="4056" xr:uid="{00000000-0005-0000-0000-000060100000}"/>
    <cellStyle name="Normal 9 3 2 2 6" xfId="2240" xr:uid="{00000000-0005-0000-0000-000061100000}"/>
    <cellStyle name="Normal 9 3 2 2 6 2" xfId="4469" xr:uid="{00000000-0005-0000-0000-000062100000}"/>
    <cellStyle name="Normal 9 3 2 2 7" xfId="2676" xr:uid="{00000000-0005-0000-0000-000063100000}"/>
    <cellStyle name="Normal 9 3 2 3" xfId="531" xr:uid="{00000000-0005-0000-0000-000064100000}"/>
    <cellStyle name="Normal 9 3 2 3 2" xfId="999" xr:uid="{00000000-0005-0000-0000-000065100000}"/>
    <cellStyle name="Normal 9 3 2 3 2 2" xfId="3232" xr:uid="{00000000-0005-0000-0000-000066100000}"/>
    <cellStyle name="Normal 9 3 2 3 3" xfId="1415" xr:uid="{00000000-0005-0000-0000-000067100000}"/>
    <cellStyle name="Normal 9 3 2 3 3 2" xfId="3645" xr:uid="{00000000-0005-0000-0000-000068100000}"/>
    <cellStyle name="Normal 9 3 2 3 4" xfId="1828" xr:uid="{00000000-0005-0000-0000-000069100000}"/>
    <cellStyle name="Normal 9 3 2 3 4 2" xfId="4058" xr:uid="{00000000-0005-0000-0000-00006A100000}"/>
    <cellStyle name="Normal 9 3 2 3 5" xfId="2242" xr:uid="{00000000-0005-0000-0000-00006B100000}"/>
    <cellStyle name="Normal 9 3 2 3 5 2" xfId="4471" xr:uid="{00000000-0005-0000-0000-00006C100000}"/>
    <cellStyle name="Normal 9 3 2 3 6" xfId="2678" xr:uid="{00000000-0005-0000-0000-00006D100000}"/>
    <cellStyle name="Normal 9 3 2 4" xfId="996" xr:uid="{00000000-0005-0000-0000-00006E100000}"/>
    <cellStyle name="Normal 9 3 2 4 2" xfId="3229" xr:uid="{00000000-0005-0000-0000-00006F100000}"/>
    <cellStyle name="Normal 9 3 2 5" xfId="1412" xr:uid="{00000000-0005-0000-0000-000070100000}"/>
    <cellStyle name="Normal 9 3 2 5 2" xfId="3642" xr:uid="{00000000-0005-0000-0000-000071100000}"/>
    <cellStyle name="Normal 9 3 2 6" xfId="1825" xr:uid="{00000000-0005-0000-0000-000072100000}"/>
    <cellStyle name="Normal 9 3 2 6 2" xfId="4055" xr:uid="{00000000-0005-0000-0000-000073100000}"/>
    <cellStyle name="Normal 9 3 2 7" xfId="2239" xr:uid="{00000000-0005-0000-0000-000074100000}"/>
    <cellStyle name="Normal 9 3 2 7 2" xfId="4468" xr:uid="{00000000-0005-0000-0000-000075100000}"/>
    <cellStyle name="Normal 9 3 2 8" xfId="2675" xr:uid="{00000000-0005-0000-0000-000076100000}"/>
    <cellStyle name="Normal 9 3 3" xfId="532" xr:uid="{00000000-0005-0000-0000-000077100000}"/>
    <cellStyle name="Normal 9 3 3 2" xfId="533" xr:uid="{00000000-0005-0000-0000-000078100000}"/>
    <cellStyle name="Normal 9 3 3 2 2" xfId="1001" xr:uid="{00000000-0005-0000-0000-000079100000}"/>
    <cellStyle name="Normal 9 3 3 2 2 2" xfId="3234" xr:uid="{00000000-0005-0000-0000-00007A100000}"/>
    <cellStyle name="Normal 9 3 3 2 3" xfId="1417" xr:uid="{00000000-0005-0000-0000-00007B100000}"/>
    <cellStyle name="Normal 9 3 3 2 3 2" xfId="3647" xr:uid="{00000000-0005-0000-0000-00007C100000}"/>
    <cellStyle name="Normal 9 3 3 2 4" xfId="1830" xr:uid="{00000000-0005-0000-0000-00007D100000}"/>
    <cellStyle name="Normal 9 3 3 2 4 2" xfId="4060" xr:uid="{00000000-0005-0000-0000-00007E100000}"/>
    <cellStyle name="Normal 9 3 3 2 5" xfId="2244" xr:uid="{00000000-0005-0000-0000-00007F100000}"/>
    <cellStyle name="Normal 9 3 3 2 5 2" xfId="4473" xr:uid="{00000000-0005-0000-0000-000080100000}"/>
    <cellStyle name="Normal 9 3 3 2 6" xfId="2680" xr:uid="{00000000-0005-0000-0000-000081100000}"/>
    <cellStyle name="Normal 9 3 3 3" xfId="1000" xr:uid="{00000000-0005-0000-0000-000082100000}"/>
    <cellStyle name="Normal 9 3 3 3 2" xfId="3233" xr:uid="{00000000-0005-0000-0000-000083100000}"/>
    <cellStyle name="Normal 9 3 3 4" xfId="1416" xr:uid="{00000000-0005-0000-0000-000084100000}"/>
    <cellStyle name="Normal 9 3 3 4 2" xfId="3646" xr:uid="{00000000-0005-0000-0000-000085100000}"/>
    <cellStyle name="Normal 9 3 3 5" xfId="1829" xr:uid="{00000000-0005-0000-0000-000086100000}"/>
    <cellStyle name="Normal 9 3 3 5 2" xfId="4059" xr:uid="{00000000-0005-0000-0000-000087100000}"/>
    <cellStyle name="Normal 9 3 3 6" xfId="2243" xr:uid="{00000000-0005-0000-0000-000088100000}"/>
    <cellStyle name="Normal 9 3 3 6 2" xfId="4472" xr:uid="{00000000-0005-0000-0000-000089100000}"/>
    <cellStyle name="Normal 9 3 3 7" xfId="2679" xr:uid="{00000000-0005-0000-0000-00008A100000}"/>
    <cellStyle name="Normal 9 3 4" xfId="534" xr:uid="{00000000-0005-0000-0000-00008B100000}"/>
    <cellStyle name="Normal 9 3 4 2" xfId="1002" xr:uid="{00000000-0005-0000-0000-00008C100000}"/>
    <cellStyle name="Normal 9 3 4 2 2" xfId="3235" xr:uid="{00000000-0005-0000-0000-00008D100000}"/>
    <cellStyle name="Normal 9 3 4 3" xfId="1418" xr:uid="{00000000-0005-0000-0000-00008E100000}"/>
    <cellStyle name="Normal 9 3 4 3 2" xfId="3648" xr:uid="{00000000-0005-0000-0000-00008F100000}"/>
    <cellStyle name="Normal 9 3 4 4" xfId="1831" xr:uid="{00000000-0005-0000-0000-000090100000}"/>
    <cellStyle name="Normal 9 3 4 4 2" xfId="4061" xr:uid="{00000000-0005-0000-0000-000091100000}"/>
    <cellStyle name="Normal 9 3 4 5" xfId="2245" xr:uid="{00000000-0005-0000-0000-000092100000}"/>
    <cellStyle name="Normal 9 3 4 5 2" xfId="4474" xr:uid="{00000000-0005-0000-0000-000093100000}"/>
    <cellStyle name="Normal 9 3 4 6" xfId="2681" xr:uid="{00000000-0005-0000-0000-000094100000}"/>
    <cellStyle name="Normal 9 3 5" xfId="995" xr:uid="{00000000-0005-0000-0000-000095100000}"/>
    <cellStyle name="Normal 9 3 5 2" xfId="3228" xr:uid="{00000000-0005-0000-0000-000096100000}"/>
    <cellStyle name="Normal 9 3 6" xfId="1411" xr:uid="{00000000-0005-0000-0000-000097100000}"/>
    <cellStyle name="Normal 9 3 6 2" xfId="3641" xr:uid="{00000000-0005-0000-0000-000098100000}"/>
    <cellStyle name="Normal 9 3 7" xfId="1824" xr:uid="{00000000-0005-0000-0000-000099100000}"/>
    <cellStyle name="Normal 9 3 7 2" xfId="4054" xr:uid="{00000000-0005-0000-0000-00009A100000}"/>
    <cellStyle name="Normal 9 3 8" xfId="2238" xr:uid="{00000000-0005-0000-0000-00009B100000}"/>
    <cellStyle name="Normal 9 3 8 2" xfId="4467" xr:uid="{00000000-0005-0000-0000-00009C100000}"/>
    <cellStyle name="Normal 9 3 9" xfId="2674" xr:uid="{00000000-0005-0000-0000-00009D100000}"/>
    <cellStyle name="Normal 9 4" xfId="535" xr:uid="{00000000-0005-0000-0000-00009E100000}"/>
    <cellStyle name="Normal 9 4 2" xfId="1003" xr:uid="{00000000-0005-0000-0000-00009F100000}"/>
    <cellStyle name="Normal 9 5" xfId="536" xr:uid="{00000000-0005-0000-0000-0000A0100000}"/>
    <cellStyle name="Normal 9 5 2" xfId="537" xr:uid="{00000000-0005-0000-0000-0000A1100000}"/>
    <cellStyle name="Normal 9 5 2 2" xfId="1005" xr:uid="{00000000-0005-0000-0000-0000A2100000}"/>
    <cellStyle name="Normal 9 5 2 2 2" xfId="3237" xr:uid="{00000000-0005-0000-0000-0000A3100000}"/>
    <cellStyle name="Normal 9 5 2 3" xfId="1420" xr:uid="{00000000-0005-0000-0000-0000A4100000}"/>
    <cellStyle name="Normal 9 5 2 3 2" xfId="3650" xr:uid="{00000000-0005-0000-0000-0000A5100000}"/>
    <cellStyle name="Normal 9 5 2 4" xfId="1833" xr:uid="{00000000-0005-0000-0000-0000A6100000}"/>
    <cellStyle name="Normal 9 5 2 4 2" xfId="4063" xr:uid="{00000000-0005-0000-0000-0000A7100000}"/>
    <cellStyle name="Normal 9 5 2 5" xfId="2247" xr:uid="{00000000-0005-0000-0000-0000A8100000}"/>
    <cellStyle name="Normal 9 5 2 5 2" xfId="4476" xr:uid="{00000000-0005-0000-0000-0000A9100000}"/>
    <cellStyle name="Normal 9 5 2 6" xfId="2683" xr:uid="{00000000-0005-0000-0000-0000AA100000}"/>
    <cellStyle name="Normal 9 5 3" xfId="1004" xr:uid="{00000000-0005-0000-0000-0000AB100000}"/>
    <cellStyle name="Normal 9 5 3 2" xfId="3236" xr:uid="{00000000-0005-0000-0000-0000AC100000}"/>
    <cellStyle name="Normal 9 5 4" xfId="1419" xr:uid="{00000000-0005-0000-0000-0000AD100000}"/>
    <cellStyle name="Normal 9 5 4 2" xfId="3649" xr:uid="{00000000-0005-0000-0000-0000AE100000}"/>
    <cellStyle name="Normal 9 5 5" xfId="1832" xr:uid="{00000000-0005-0000-0000-0000AF100000}"/>
    <cellStyle name="Normal 9 5 5 2" xfId="4062" xr:uid="{00000000-0005-0000-0000-0000B0100000}"/>
    <cellStyle name="Normal 9 5 6" xfId="2246" xr:uid="{00000000-0005-0000-0000-0000B1100000}"/>
    <cellStyle name="Normal 9 5 6 2" xfId="4475" xr:uid="{00000000-0005-0000-0000-0000B2100000}"/>
    <cellStyle name="Normal 9 5 7" xfId="2682" xr:uid="{00000000-0005-0000-0000-0000B3100000}"/>
    <cellStyle name="Normal 9 6" xfId="538" xr:uid="{00000000-0005-0000-0000-0000B4100000}"/>
    <cellStyle name="Normal 9 6 2" xfId="1006" xr:uid="{00000000-0005-0000-0000-0000B5100000}"/>
    <cellStyle name="Normal 9 6 2 2" xfId="3238" xr:uid="{00000000-0005-0000-0000-0000B6100000}"/>
    <cellStyle name="Normal 9 6 3" xfId="1421" xr:uid="{00000000-0005-0000-0000-0000B7100000}"/>
    <cellStyle name="Normal 9 6 3 2" xfId="3651" xr:uid="{00000000-0005-0000-0000-0000B8100000}"/>
    <cellStyle name="Normal 9 6 4" xfId="1834" xr:uid="{00000000-0005-0000-0000-0000B9100000}"/>
    <cellStyle name="Normal 9 6 4 2" xfId="4064" xr:uid="{00000000-0005-0000-0000-0000BA100000}"/>
    <cellStyle name="Normal 9 6 5" xfId="2248" xr:uid="{00000000-0005-0000-0000-0000BB100000}"/>
    <cellStyle name="Normal 9 6 5 2" xfId="4477" xr:uid="{00000000-0005-0000-0000-0000BC100000}"/>
    <cellStyle name="Normal 9 6 6" xfId="2684" xr:uid="{00000000-0005-0000-0000-0000BD100000}"/>
    <cellStyle name="Normal 9 7" xfId="978" xr:uid="{00000000-0005-0000-0000-0000BE100000}"/>
    <cellStyle name="Normal_07-190 basis matrix" xfId="539" xr:uid="{00000000-0005-0000-0000-0000BF100000}"/>
    <cellStyle name="Normal_07-190 basis matrix 2" xfId="540" xr:uid="{00000000-0005-0000-0000-0000C0100000}"/>
    <cellStyle name="Normal_1" xfId="541" xr:uid="{00000000-0005-0000-0000-0000C1100000}"/>
    <cellStyle name="Normal_100%RENTS" xfId="542" xr:uid="{00000000-0005-0000-0000-0000C2100000}"/>
    <cellStyle name="Normal_CTCAC 9% Application 7-18-07 practice run 3" xfId="543" xr:uid="{00000000-0005-0000-0000-0000C3100000}"/>
    <cellStyle name="Normal_CTCAC 9% Application 7-18-07 practice run 3 2" xfId="544" xr:uid="{00000000-0005-0000-0000-0000C4100000}"/>
    <cellStyle name="Normal_CTCAC 9% Application 7-18-07 practice run 3 3" xfId="1835" xr:uid="{00000000-0005-0000-0000-0000C5100000}"/>
    <cellStyle name="Note 2" xfId="545" xr:uid="{00000000-0005-0000-0000-0000C6100000}"/>
    <cellStyle name="Note 2 2" xfId="546" xr:uid="{00000000-0005-0000-0000-0000C7100000}"/>
    <cellStyle name="Note 2 2 10" xfId="2825" xr:uid="{00000000-0005-0000-0000-0000C8100000}"/>
    <cellStyle name="Note 2 2 2" xfId="547" xr:uid="{00000000-0005-0000-0000-0000C9100000}"/>
    <cellStyle name="Note 2 2 2 2" xfId="548" xr:uid="{00000000-0005-0000-0000-0000CA100000}"/>
    <cellStyle name="Note 2 2 2 2 2" xfId="1009" xr:uid="{00000000-0005-0000-0000-0000CB100000}"/>
    <cellStyle name="Note 2 2 2 2 2 2" xfId="3241" xr:uid="{00000000-0005-0000-0000-0000CC100000}"/>
    <cellStyle name="Note 2 2 2 2 3" xfId="1424" xr:uid="{00000000-0005-0000-0000-0000CD100000}"/>
    <cellStyle name="Note 2 2 2 2 3 2" xfId="3654" xr:uid="{00000000-0005-0000-0000-0000CE100000}"/>
    <cellStyle name="Note 2 2 2 2 4" xfId="1838" xr:uid="{00000000-0005-0000-0000-0000CF100000}"/>
    <cellStyle name="Note 2 2 2 2 4 2" xfId="4067" xr:uid="{00000000-0005-0000-0000-0000D0100000}"/>
    <cellStyle name="Note 2 2 2 2 5" xfId="2251" xr:uid="{00000000-0005-0000-0000-0000D1100000}"/>
    <cellStyle name="Note 2 2 2 2 5 2" xfId="4480" xr:uid="{00000000-0005-0000-0000-0000D2100000}"/>
    <cellStyle name="Note 2 2 2 2 6" xfId="2687" xr:uid="{00000000-0005-0000-0000-0000D3100000}"/>
    <cellStyle name="Note 2 2 2 2 7" xfId="2746" xr:uid="{00000000-0005-0000-0000-0000D4100000}"/>
    <cellStyle name="Note 2 2 2 2 8" xfId="2827" xr:uid="{00000000-0005-0000-0000-0000D5100000}"/>
    <cellStyle name="Note 2 2 2 3" xfId="1008" xr:uid="{00000000-0005-0000-0000-0000D6100000}"/>
    <cellStyle name="Note 2 2 2 3 2" xfId="3240" xr:uid="{00000000-0005-0000-0000-0000D7100000}"/>
    <cellStyle name="Note 2 2 2 4" xfId="1423" xr:uid="{00000000-0005-0000-0000-0000D8100000}"/>
    <cellStyle name="Note 2 2 2 4 2" xfId="3653" xr:uid="{00000000-0005-0000-0000-0000D9100000}"/>
    <cellStyle name="Note 2 2 2 5" xfId="1837" xr:uid="{00000000-0005-0000-0000-0000DA100000}"/>
    <cellStyle name="Note 2 2 2 5 2" xfId="4066" xr:uid="{00000000-0005-0000-0000-0000DB100000}"/>
    <cellStyle name="Note 2 2 2 6" xfId="2250" xr:uid="{00000000-0005-0000-0000-0000DC100000}"/>
    <cellStyle name="Note 2 2 2 6 2" xfId="4479" xr:uid="{00000000-0005-0000-0000-0000DD100000}"/>
    <cellStyle name="Note 2 2 2 7" xfId="2686" xr:uid="{00000000-0005-0000-0000-0000DE100000}"/>
    <cellStyle name="Note 2 2 2 8" xfId="2745" xr:uid="{00000000-0005-0000-0000-0000DF100000}"/>
    <cellStyle name="Note 2 2 2 9" xfId="2826" xr:uid="{00000000-0005-0000-0000-0000E0100000}"/>
    <cellStyle name="Note 2 2 3" xfId="549" xr:uid="{00000000-0005-0000-0000-0000E1100000}"/>
    <cellStyle name="Note 2 2 3 2" xfId="1010" xr:uid="{00000000-0005-0000-0000-0000E2100000}"/>
    <cellStyle name="Note 2 2 3 2 2" xfId="3242" xr:uid="{00000000-0005-0000-0000-0000E3100000}"/>
    <cellStyle name="Note 2 2 3 3" xfId="1425" xr:uid="{00000000-0005-0000-0000-0000E4100000}"/>
    <cellStyle name="Note 2 2 3 3 2" xfId="3655" xr:uid="{00000000-0005-0000-0000-0000E5100000}"/>
    <cellStyle name="Note 2 2 3 4" xfId="1839" xr:uid="{00000000-0005-0000-0000-0000E6100000}"/>
    <cellStyle name="Note 2 2 3 4 2" xfId="4068" xr:uid="{00000000-0005-0000-0000-0000E7100000}"/>
    <cellStyle name="Note 2 2 3 5" xfId="2252" xr:uid="{00000000-0005-0000-0000-0000E8100000}"/>
    <cellStyle name="Note 2 2 3 5 2" xfId="4481" xr:uid="{00000000-0005-0000-0000-0000E9100000}"/>
    <cellStyle name="Note 2 2 3 6" xfId="2688" xr:uid="{00000000-0005-0000-0000-0000EA100000}"/>
    <cellStyle name="Note 2 2 3 7" xfId="2747" xr:uid="{00000000-0005-0000-0000-0000EB100000}"/>
    <cellStyle name="Note 2 2 3 8" xfId="2828" xr:uid="{00000000-0005-0000-0000-0000EC100000}"/>
    <cellStyle name="Note 2 2 4" xfId="1007" xr:uid="{00000000-0005-0000-0000-0000ED100000}"/>
    <cellStyle name="Note 2 2 4 2" xfId="3239" xr:uid="{00000000-0005-0000-0000-0000EE100000}"/>
    <cellStyle name="Note 2 2 5" xfId="1422" xr:uid="{00000000-0005-0000-0000-0000EF100000}"/>
    <cellStyle name="Note 2 2 5 2" xfId="3652" xr:uid="{00000000-0005-0000-0000-0000F0100000}"/>
    <cellStyle name="Note 2 2 6" xfId="1836" xr:uid="{00000000-0005-0000-0000-0000F1100000}"/>
    <cellStyle name="Note 2 2 6 2" xfId="4065" xr:uid="{00000000-0005-0000-0000-0000F2100000}"/>
    <cellStyle name="Note 2 2 7" xfId="2249" xr:uid="{00000000-0005-0000-0000-0000F3100000}"/>
    <cellStyle name="Note 2 2 7 2" xfId="4478" xr:uid="{00000000-0005-0000-0000-0000F4100000}"/>
    <cellStyle name="Note 2 2 8" xfId="2685" xr:uid="{00000000-0005-0000-0000-0000F5100000}"/>
    <cellStyle name="Note 2 2 9" xfId="2744" xr:uid="{00000000-0005-0000-0000-0000F6100000}"/>
    <cellStyle name="Note 2 3" xfId="550" xr:uid="{00000000-0005-0000-0000-0000F7100000}"/>
    <cellStyle name="Note 2 3 2" xfId="551" xr:uid="{00000000-0005-0000-0000-0000F8100000}"/>
    <cellStyle name="Note 2 3 2 2" xfId="1012" xr:uid="{00000000-0005-0000-0000-0000F9100000}"/>
    <cellStyle name="Note 2 3 2 2 2" xfId="3244" xr:uid="{00000000-0005-0000-0000-0000FA100000}"/>
    <cellStyle name="Note 2 3 2 3" xfId="1427" xr:uid="{00000000-0005-0000-0000-0000FB100000}"/>
    <cellStyle name="Note 2 3 2 3 2" xfId="3657" xr:uid="{00000000-0005-0000-0000-0000FC100000}"/>
    <cellStyle name="Note 2 3 2 4" xfId="1841" xr:uid="{00000000-0005-0000-0000-0000FD100000}"/>
    <cellStyle name="Note 2 3 2 4 2" xfId="4070" xr:uid="{00000000-0005-0000-0000-0000FE100000}"/>
    <cellStyle name="Note 2 3 2 5" xfId="2254" xr:uid="{00000000-0005-0000-0000-0000FF100000}"/>
    <cellStyle name="Note 2 3 2 5 2" xfId="4483" xr:uid="{00000000-0005-0000-0000-000000110000}"/>
    <cellStyle name="Note 2 3 2 6" xfId="2690" xr:uid="{00000000-0005-0000-0000-000001110000}"/>
    <cellStyle name="Note 2 3 2 7" xfId="2749" xr:uid="{00000000-0005-0000-0000-000002110000}"/>
    <cellStyle name="Note 2 3 2 8" xfId="2830" xr:uid="{00000000-0005-0000-0000-000003110000}"/>
    <cellStyle name="Note 2 3 3" xfId="1011" xr:uid="{00000000-0005-0000-0000-000004110000}"/>
    <cellStyle name="Note 2 3 3 2" xfId="3243" xr:uid="{00000000-0005-0000-0000-000005110000}"/>
    <cellStyle name="Note 2 3 4" xfId="1426" xr:uid="{00000000-0005-0000-0000-000006110000}"/>
    <cellStyle name="Note 2 3 4 2" xfId="3656" xr:uid="{00000000-0005-0000-0000-000007110000}"/>
    <cellStyle name="Note 2 3 5" xfId="1840" xr:uid="{00000000-0005-0000-0000-000008110000}"/>
    <cellStyle name="Note 2 3 5 2" xfId="4069" xr:uid="{00000000-0005-0000-0000-000009110000}"/>
    <cellStyle name="Note 2 3 6" xfId="2253" xr:uid="{00000000-0005-0000-0000-00000A110000}"/>
    <cellStyle name="Note 2 3 6 2" xfId="4482" xr:uid="{00000000-0005-0000-0000-00000B110000}"/>
    <cellStyle name="Note 2 3 7" xfId="2689" xr:uid="{00000000-0005-0000-0000-00000C110000}"/>
    <cellStyle name="Note 2 3 8" xfId="2748" xr:uid="{00000000-0005-0000-0000-00000D110000}"/>
    <cellStyle name="Note 2 3 9" xfId="2829" xr:uid="{00000000-0005-0000-0000-00000E110000}"/>
    <cellStyle name="Note 2 4" xfId="552" xr:uid="{00000000-0005-0000-0000-00000F110000}"/>
    <cellStyle name="Note 2 4 2" xfId="1013" xr:uid="{00000000-0005-0000-0000-000010110000}"/>
    <cellStyle name="Note 2 4 2 2" xfId="3245" xr:uid="{00000000-0005-0000-0000-000011110000}"/>
    <cellStyle name="Note 2 4 3" xfId="1428" xr:uid="{00000000-0005-0000-0000-000012110000}"/>
    <cellStyle name="Note 2 4 3 2" xfId="3658" xr:uid="{00000000-0005-0000-0000-000013110000}"/>
    <cellStyle name="Note 2 4 4" xfId="1842" xr:uid="{00000000-0005-0000-0000-000014110000}"/>
    <cellStyle name="Note 2 4 4 2" xfId="4071" xr:uid="{00000000-0005-0000-0000-000015110000}"/>
    <cellStyle name="Note 2 4 5" xfId="2255" xr:uid="{00000000-0005-0000-0000-000016110000}"/>
    <cellStyle name="Note 2 4 5 2" xfId="4484" xr:uid="{00000000-0005-0000-0000-000017110000}"/>
    <cellStyle name="Note 2 4 6" xfId="2691" xr:uid="{00000000-0005-0000-0000-000018110000}"/>
    <cellStyle name="Note 2 4 7" xfId="2750" xr:uid="{00000000-0005-0000-0000-000019110000}"/>
    <cellStyle name="Note 2 4 8" xfId="2831" xr:uid="{00000000-0005-0000-0000-00001A110000}"/>
    <cellStyle name="Note 2 5" xfId="553" xr:uid="{00000000-0005-0000-0000-00001B110000}"/>
    <cellStyle name="Note 2 5 2" xfId="1014" xr:uid="{00000000-0005-0000-0000-00001C110000}"/>
    <cellStyle name="Note 2 5 2 2" xfId="3246" xr:uid="{00000000-0005-0000-0000-00001D110000}"/>
    <cellStyle name="Note 2 5 3" xfId="1429" xr:uid="{00000000-0005-0000-0000-00001E110000}"/>
    <cellStyle name="Note 2 5 3 2" xfId="3659" xr:uid="{00000000-0005-0000-0000-00001F110000}"/>
    <cellStyle name="Note 2 5 4" xfId="1843" xr:uid="{00000000-0005-0000-0000-000020110000}"/>
    <cellStyle name="Note 2 5 4 2" xfId="4072" xr:uid="{00000000-0005-0000-0000-000021110000}"/>
    <cellStyle name="Note 2 5 5" xfId="2256" xr:uid="{00000000-0005-0000-0000-000022110000}"/>
    <cellStyle name="Note 2 5 5 2" xfId="4485" xr:uid="{00000000-0005-0000-0000-000023110000}"/>
    <cellStyle name="Note 2 5 6" xfId="2692" xr:uid="{00000000-0005-0000-0000-000024110000}"/>
    <cellStyle name="Note 2 5 7" xfId="2751" xr:uid="{00000000-0005-0000-0000-000025110000}"/>
    <cellStyle name="Note 2 5 8" xfId="2832" xr:uid="{00000000-0005-0000-0000-000026110000}"/>
    <cellStyle name="Note 3" xfId="554" xr:uid="{00000000-0005-0000-0000-000027110000}"/>
    <cellStyle name="Note 3 2" xfId="555" xr:uid="{00000000-0005-0000-0000-000028110000}"/>
    <cellStyle name="Note 3 2 10" xfId="2833" xr:uid="{00000000-0005-0000-0000-000029110000}"/>
    <cellStyle name="Note 3 2 2" xfId="556" xr:uid="{00000000-0005-0000-0000-00002A110000}"/>
    <cellStyle name="Note 3 2 2 2" xfId="557" xr:uid="{00000000-0005-0000-0000-00002B110000}"/>
    <cellStyle name="Note 3 2 2 2 2" xfId="1017" xr:uid="{00000000-0005-0000-0000-00002C110000}"/>
    <cellStyle name="Note 3 2 2 2 2 2" xfId="3249" xr:uid="{00000000-0005-0000-0000-00002D110000}"/>
    <cellStyle name="Note 3 2 2 2 3" xfId="1432" xr:uid="{00000000-0005-0000-0000-00002E110000}"/>
    <cellStyle name="Note 3 2 2 2 3 2" xfId="3662" xr:uid="{00000000-0005-0000-0000-00002F110000}"/>
    <cellStyle name="Note 3 2 2 2 4" xfId="1846" xr:uid="{00000000-0005-0000-0000-000030110000}"/>
    <cellStyle name="Note 3 2 2 2 4 2" xfId="4075" xr:uid="{00000000-0005-0000-0000-000031110000}"/>
    <cellStyle name="Note 3 2 2 2 5" xfId="2259" xr:uid="{00000000-0005-0000-0000-000032110000}"/>
    <cellStyle name="Note 3 2 2 2 5 2" xfId="4488" xr:uid="{00000000-0005-0000-0000-000033110000}"/>
    <cellStyle name="Note 3 2 2 2 6" xfId="2695" xr:uid="{00000000-0005-0000-0000-000034110000}"/>
    <cellStyle name="Note 3 2 2 2 7" xfId="2754" xr:uid="{00000000-0005-0000-0000-000035110000}"/>
    <cellStyle name="Note 3 2 2 2 8" xfId="2835" xr:uid="{00000000-0005-0000-0000-000036110000}"/>
    <cellStyle name="Note 3 2 2 3" xfId="1016" xr:uid="{00000000-0005-0000-0000-000037110000}"/>
    <cellStyle name="Note 3 2 2 3 2" xfId="3248" xr:uid="{00000000-0005-0000-0000-000038110000}"/>
    <cellStyle name="Note 3 2 2 4" xfId="1431" xr:uid="{00000000-0005-0000-0000-000039110000}"/>
    <cellStyle name="Note 3 2 2 4 2" xfId="3661" xr:uid="{00000000-0005-0000-0000-00003A110000}"/>
    <cellStyle name="Note 3 2 2 5" xfId="1845" xr:uid="{00000000-0005-0000-0000-00003B110000}"/>
    <cellStyle name="Note 3 2 2 5 2" xfId="4074" xr:uid="{00000000-0005-0000-0000-00003C110000}"/>
    <cellStyle name="Note 3 2 2 6" xfId="2258" xr:uid="{00000000-0005-0000-0000-00003D110000}"/>
    <cellStyle name="Note 3 2 2 6 2" xfId="4487" xr:uid="{00000000-0005-0000-0000-00003E110000}"/>
    <cellStyle name="Note 3 2 2 7" xfId="2694" xr:uid="{00000000-0005-0000-0000-00003F110000}"/>
    <cellStyle name="Note 3 2 2 8" xfId="2753" xr:uid="{00000000-0005-0000-0000-000040110000}"/>
    <cellStyle name="Note 3 2 2 9" xfId="2834" xr:uid="{00000000-0005-0000-0000-000041110000}"/>
    <cellStyle name="Note 3 2 3" xfId="558" xr:uid="{00000000-0005-0000-0000-000042110000}"/>
    <cellStyle name="Note 3 2 3 2" xfId="1018" xr:uid="{00000000-0005-0000-0000-000043110000}"/>
    <cellStyle name="Note 3 2 3 2 2" xfId="3250" xr:uid="{00000000-0005-0000-0000-000044110000}"/>
    <cellStyle name="Note 3 2 3 3" xfId="1433" xr:uid="{00000000-0005-0000-0000-000045110000}"/>
    <cellStyle name="Note 3 2 3 3 2" xfId="3663" xr:uid="{00000000-0005-0000-0000-000046110000}"/>
    <cellStyle name="Note 3 2 3 4" xfId="1847" xr:uid="{00000000-0005-0000-0000-000047110000}"/>
    <cellStyle name="Note 3 2 3 4 2" xfId="4076" xr:uid="{00000000-0005-0000-0000-000048110000}"/>
    <cellStyle name="Note 3 2 3 5" xfId="2260" xr:uid="{00000000-0005-0000-0000-000049110000}"/>
    <cellStyle name="Note 3 2 3 5 2" xfId="4489" xr:uid="{00000000-0005-0000-0000-00004A110000}"/>
    <cellStyle name="Note 3 2 3 6" xfId="2696" xr:uid="{00000000-0005-0000-0000-00004B110000}"/>
    <cellStyle name="Note 3 2 3 7" xfId="2755" xr:uid="{00000000-0005-0000-0000-00004C110000}"/>
    <cellStyle name="Note 3 2 3 8" xfId="2836" xr:uid="{00000000-0005-0000-0000-00004D110000}"/>
    <cellStyle name="Note 3 2 4" xfId="1015" xr:uid="{00000000-0005-0000-0000-00004E110000}"/>
    <cellStyle name="Note 3 2 4 2" xfId="3247" xr:uid="{00000000-0005-0000-0000-00004F110000}"/>
    <cellStyle name="Note 3 2 5" xfId="1430" xr:uid="{00000000-0005-0000-0000-000050110000}"/>
    <cellStyle name="Note 3 2 5 2" xfId="3660" xr:uid="{00000000-0005-0000-0000-000051110000}"/>
    <cellStyle name="Note 3 2 6" xfId="1844" xr:uid="{00000000-0005-0000-0000-000052110000}"/>
    <cellStyle name="Note 3 2 6 2" xfId="4073" xr:uid="{00000000-0005-0000-0000-000053110000}"/>
    <cellStyle name="Note 3 2 7" xfId="2257" xr:uid="{00000000-0005-0000-0000-000054110000}"/>
    <cellStyle name="Note 3 2 7 2" xfId="4486" xr:uid="{00000000-0005-0000-0000-000055110000}"/>
    <cellStyle name="Note 3 2 8" xfId="2693" xr:uid="{00000000-0005-0000-0000-000056110000}"/>
    <cellStyle name="Note 3 2 9" xfId="2752" xr:uid="{00000000-0005-0000-0000-000057110000}"/>
    <cellStyle name="Note 3 3" xfId="559" xr:uid="{00000000-0005-0000-0000-000058110000}"/>
    <cellStyle name="Note 3 3 2" xfId="560" xr:uid="{00000000-0005-0000-0000-000059110000}"/>
    <cellStyle name="Note 3 3 2 2" xfId="1020" xr:uid="{00000000-0005-0000-0000-00005A110000}"/>
    <cellStyle name="Note 3 3 2 2 2" xfId="3252" xr:uid="{00000000-0005-0000-0000-00005B110000}"/>
    <cellStyle name="Note 3 3 2 3" xfId="1435" xr:uid="{00000000-0005-0000-0000-00005C110000}"/>
    <cellStyle name="Note 3 3 2 3 2" xfId="3665" xr:uid="{00000000-0005-0000-0000-00005D110000}"/>
    <cellStyle name="Note 3 3 2 4" xfId="1849" xr:uid="{00000000-0005-0000-0000-00005E110000}"/>
    <cellStyle name="Note 3 3 2 4 2" xfId="4078" xr:uid="{00000000-0005-0000-0000-00005F110000}"/>
    <cellStyle name="Note 3 3 2 5" xfId="2262" xr:uid="{00000000-0005-0000-0000-000060110000}"/>
    <cellStyle name="Note 3 3 2 5 2" xfId="4491" xr:uid="{00000000-0005-0000-0000-000061110000}"/>
    <cellStyle name="Note 3 3 2 6" xfId="2698" xr:uid="{00000000-0005-0000-0000-000062110000}"/>
    <cellStyle name="Note 3 3 2 7" xfId="2757" xr:uid="{00000000-0005-0000-0000-000063110000}"/>
    <cellStyle name="Note 3 3 2 8" xfId="2838" xr:uid="{00000000-0005-0000-0000-000064110000}"/>
    <cellStyle name="Note 3 3 3" xfId="1019" xr:uid="{00000000-0005-0000-0000-000065110000}"/>
    <cellStyle name="Note 3 3 3 2" xfId="3251" xr:uid="{00000000-0005-0000-0000-000066110000}"/>
    <cellStyle name="Note 3 3 4" xfId="1434" xr:uid="{00000000-0005-0000-0000-000067110000}"/>
    <cellStyle name="Note 3 3 4 2" xfId="3664" xr:uid="{00000000-0005-0000-0000-000068110000}"/>
    <cellStyle name="Note 3 3 5" xfId="1848" xr:uid="{00000000-0005-0000-0000-000069110000}"/>
    <cellStyle name="Note 3 3 5 2" xfId="4077" xr:uid="{00000000-0005-0000-0000-00006A110000}"/>
    <cellStyle name="Note 3 3 6" xfId="2261" xr:uid="{00000000-0005-0000-0000-00006B110000}"/>
    <cellStyle name="Note 3 3 6 2" xfId="4490" xr:uid="{00000000-0005-0000-0000-00006C110000}"/>
    <cellStyle name="Note 3 3 7" xfId="2697" xr:uid="{00000000-0005-0000-0000-00006D110000}"/>
    <cellStyle name="Note 3 3 8" xfId="2756" xr:uid="{00000000-0005-0000-0000-00006E110000}"/>
    <cellStyle name="Note 3 3 9" xfId="2837" xr:uid="{00000000-0005-0000-0000-00006F110000}"/>
    <cellStyle name="Note 3 4" xfId="561" xr:uid="{00000000-0005-0000-0000-000070110000}"/>
    <cellStyle name="Note 3 4 2" xfId="1021" xr:uid="{00000000-0005-0000-0000-000071110000}"/>
    <cellStyle name="Note 3 4 2 2" xfId="3253" xr:uid="{00000000-0005-0000-0000-000072110000}"/>
    <cellStyle name="Note 3 4 3" xfId="1436" xr:uid="{00000000-0005-0000-0000-000073110000}"/>
    <cellStyle name="Note 3 4 3 2" xfId="3666" xr:uid="{00000000-0005-0000-0000-000074110000}"/>
    <cellStyle name="Note 3 4 4" xfId="1850" xr:uid="{00000000-0005-0000-0000-000075110000}"/>
    <cellStyle name="Note 3 4 4 2" xfId="4079" xr:uid="{00000000-0005-0000-0000-000076110000}"/>
    <cellStyle name="Note 3 4 5" xfId="2263" xr:uid="{00000000-0005-0000-0000-000077110000}"/>
    <cellStyle name="Note 3 4 5 2" xfId="4492" xr:uid="{00000000-0005-0000-0000-000078110000}"/>
    <cellStyle name="Note 3 4 6" xfId="2699" xr:uid="{00000000-0005-0000-0000-000079110000}"/>
    <cellStyle name="Note 3 4 7" xfId="2758" xr:uid="{00000000-0005-0000-0000-00007A110000}"/>
    <cellStyle name="Note 3 4 8" xfId="2839" xr:uid="{00000000-0005-0000-0000-00007B110000}"/>
    <cellStyle name="Note 3 5" xfId="562" xr:uid="{00000000-0005-0000-0000-00007C110000}"/>
    <cellStyle name="Note 3 5 2" xfId="1022" xr:uid="{00000000-0005-0000-0000-00007D110000}"/>
    <cellStyle name="Note 3 5 2 2" xfId="3254" xr:uid="{00000000-0005-0000-0000-00007E110000}"/>
    <cellStyle name="Note 3 5 3" xfId="1437" xr:uid="{00000000-0005-0000-0000-00007F110000}"/>
    <cellStyle name="Note 3 5 3 2" xfId="3667" xr:uid="{00000000-0005-0000-0000-000080110000}"/>
    <cellStyle name="Note 3 5 4" xfId="1851" xr:uid="{00000000-0005-0000-0000-000081110000}"/>
    <cellStyle name="Note 3 5 4 2" xfId="4080" xr:uid="{00000000-0005-0000-0000-000082110000}"/>
    <cellStyle name="Note 3 5 5" xfId="2264" xr:uid="{00000000-0005-0000-0000-000083110000}"/>
    <cellStyle name="Note 3 5 5 2" xfId="4493" xr:uid="{00000000-0005-0000-0000-000084110000}"/>
    <cellStyle name="Note 3 5 6" xfId="2700" xr:uid="{00000000-0005-0000-0000-000085110000}"/>
    <cellStyle name="Note 3 5 7" xfId="2759" xr:uid="{00000000-0005-0000-0000-000086110000}"/>
    <cellStyle name="Note 3 5 8" xfId="2840" xr:uid="{00000000-0005-0000-0000-000087110000}"/>
    <cellStyle name="Output" xfId="563" builtinId="21" customBuiltin="1"/>
    <cellStyle name="Output 2" xfId="564" xr:uid="{00000000-0005-0000-0000-000089110000}"/>
    <cellStyle name="Percent 2" xfId="1023" xr:uid="{00000000-0005-0000-0000-00008A110000}"/>
    <cellStyle name="Text Entry" xfId="565" xr:uid="{00000000-0005-0000-0000-00008B110000}"/>
    <cellStyle name="Title 2" xfId="566" xr:uid="{00000000-0005-0000-0000-00008C110000}"/>
    <cellStyle name="Title 2 2" xfId="2760" xr:uid="{00000000-0005-0000-0000-00008D110000}"/>
    <cellStyle name="Title 2 3" xfId="2841" xr:uid="{00000000-0005-0000-0000-00008E110000}"/>
    <cellStyle name="Total" xfId="567" builtinId="25" customBuiltin="1"/>
    <cellStyle name="Total 2" xfId="568" xr:uid="{00000000-0005-0000-0000-000090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lm%20Vista%20-%20E%20application%2001.02.20%202020%20utility%20all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19">
          <cell r="C619" t="str">
            <v>HCD - MHP</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34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3" t="s">
        <v>597</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5" t="s">
        <v>1432</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770"/>
    </row>
    <row r="8" spans="1:38">
      <c r="A8" s="337"/>
      <c r="B8" s="335"/>
      <c r="C8" s="336"/>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c r="AL8" s="770"/>
    </row>
    <row r="9" spans="1:38">
      <c r="A9" s="337"/>
      <c r="B9" s="335"/>
      <c r="C9" s="336"/>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5" t="s">
        <v>1440</v>
      </c>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770"/>
    </row>
    <row r="12" spans="1:38">
      <c r="A12" s="337"/>
      <c r="B12" s="335"/>
      <c r="C12" s="336"/>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770"/>
    </row>
    <row r="13" spans="1:38" s="741" customFormat="1">
      <c r="A13" s="337"/>
      <c r="B13" s="335"/>
      <c r="C13" s="336"/>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770"/>
    </row>
    <row r="14" spans="1:38" s="741" customFormat="1" ht="13.3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3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2" t="s">
        <v>1507</v>
      </c>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2"/>
      <c r="AL31" s="335"/>
    </row>
    <row r="32" spans="1:38">
      <c r="A32" s="152"/>
      <c r="C32" s="5"/>
    </row>
    <row r="33" spans="1:38">
      <c r="A33" s="152"/>
      <c r="D33" s="976" t="s">
        <v>1427</v>
      </c>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c r="AC33" s="976"/>
      <c r="AD33" s="976"/>
      <c r="AE33" s="976"/>
      <c r="AF33" s="976"/>
      <c r="AG33" s="976"/>
      <c r="AH33" s="976"/>
      <c r="AI33" s="976"/>
      <c r="AJ33" s="976"/>
      <c r="AK33" s="976"/>
    </row>
    <row r="34" spans="1:38">
      <c r="A34" s="152"/>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row>
    <row r="35" spans="1:38">
      <c r="A35" s="152"/>
      <c r="D35" s="259"/>
      <c r="E35" s="969" t="s">
        <v>1132</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1439</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707</v>
      </c>
      <c r="F40" s="961" t="s">
        <v>1400</v>
      </c>
    </row>
    <row r="41" spans="1:38" s="961"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8" t="s">
        <v>1530</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94" customFormat="1">
      <c r="A44" s="152"/>
      <c r="B44" s="74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94" customFormat="1" ht="13.35" customHeight="1">
      <c r="A45" s="152"/>
      <c r="B45" s="74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6" t="s">
        <v>1443</v>
      </c>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966"/>
      <c r="AK54" s="966"/>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6" t="s">
        <v>626</v>
      </c>
      <c r="H56" s="966"/>
      <c r="I56" s="9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7" t="s">
        <v>1532</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7"/>
      <c r="B58" s="335"/>
      <c r="C58" s="336"/>
      <c r="D58" s="336"/>
      <c r="E58" s="337"/>
      <c r="F58" s="341"/>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556</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4" t="s">
        <v>1408</v>
      </c>
      <c r="H88" s="964"/>
      <c r="I88" s="964"/>
      <c r="J88" s="964"/>
      <c r="K88" s="964"/>
      <c r="L88" s="964"/>
      <c r="M88" s="964"/>
      <c r="N88" s="964"/>
      <c r="O88" s="964"/>
      <c r="P88" s="964"/>
      <c r="Q88" s="964"/>
      <c r="R88" s="964"/>
      <c r="S88" s="964"/>
      <c r="T88" s="964"/>
      <c r="U88" s="964"/>
      <c r="V88" s="964"/>
      <c r="W88" s="964"/>
      <c r="X88" s="964"/>
      <c r="Y88" s="964"/>
      <c r="Z88" s="964"/>
      <c r="AA88" s="964"/>
      <c r="AB88" s="964"/>
      <c r="AC88" s="964"/>
      <c r="AD88" s="964"/>
      <c r="AE88" s="964"/>
      <c r="AF88" s="964"/>
      <c r="AG88" s="964"/>
      <c r="AH88" s="964"/>
      <c r="AI88" s="964"/>
      <c r="AJ88" s="964"/>
      <c r="AK88" s="964"/>
    </row>
    <row r="89" spans="1:38" s="741" customFormat="1">
      <c r="A89" s="152"/>
      <c r="C89" s="5"/>
      <c r="D89" s="152"/>
      <c r="E89" s="152"/>
      <c r="G89" s="964"/>
      <c r="H89" s="964"/>
      <c r="I89" s="964"/>
      <c r="J89" s="964"/>
      <c r="K89" s="964"/>
      <c r="L89" s="964"/>
      <c r="M89" s="964"/>
      <c r="N89" s="964"/>
      <c r="O89" s="964"/>
      <c r="P89" s="964"/>
      <c r="Q89" s="964"/>
      <c r="R89" s="964"/>
      <c r="S89" s="964"/>
      <c r="T89" s="964"/>
      <c r="U89" s="964"/>
      <c r="V89" s="964"/>
      <c r="W89" s="964"/>
      <c r="X89" s="964"/>
      <c r="Y89" s="964"/>
      <c r="Z89" s="964"/>
      <c r="AA89" s="964"/>
      <c r="AB89" s="964"/>
      <c r="AC89" s="964"/>
      <c r="AD89" s="964"/>
      <c r="AE89" s="964"/>
      <c r="AF89" s="964"/>
      <c r="AG89" s="964"/>
      <c r="AH89" s="964"/>
      <c r="AI89" s="964"/>
      <c r="AJ89" s="964"/>
      <c r="AK89" s="964"/>
    </row>
    <row r="90" spans="1:38">
      <c r="A90" s="152"/>
      <c r="C90" s="5"/>
      <c r="D90" s="152"/>
      <c r="E90" s="152"/>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65" t="s">
        <v>1411</v>
      </c>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2"/>
    </row>
    <row r="99" spans="1:38">
      <c r="A99" s="152"/>
      <c r="D99" s="156"/>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6" t="s">
        <v>1503</v>
      </c>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c r="AD341" s="966"/>
      <c r="AE341" s="966"/>
      <c r="AF341" s="966"/>
      <c r="AG341" s="966"/>
      <c r="AH341" s="966"/>
      <c r="AI341" s="966"/>
      <c r="AJ341" s="966"/>
      <c r="AK341" s="966"/>
    </row>
    <row r="342" spans="2:37" s="741" customFormat="1">
      <c r="B342" s="5"/>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c r="AD342" s="966"/>
      <c r="AE342" s="966"/>
      <c r="AF342" s="966"/>
      <c r="AG342" s="966"/>
      <c r="AH342" s="966"/>
      <c r="AI342" s="966"/>
      <c r="AJ342" s="966"/>
      <c r="AK342" s="966"/>
    </row>
    <row r="343" spans="2:37" s="741" customFormat="1">
      <c r="B343" s="5"/>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c r="AD343" s="966"/>
      <c r="AE343" s="966"/>
      <c r="AF343" s="966"/>
      <c r="AG343" s="966"/>
      <c r="AH343" s="966"/>
      <c r="AI343" s="966"/>
      <c r="AJ343" s="966"/>
      <c r="AK343" s="966"/>
    </row>
    <row r="344" spans="2:37" s="741" customFormat="1">
      <c r="B344" s="5"/>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c r="AD344" s="966"/>
      <c r="AE344" s="966"/>
      <c r="AF344" s="966"/>
      <c r="AG344" s="966"/>
      <c r="AH344" s="966"/>
      <c r="AI344" s="966"/>
      <c r="AJ344" s="966"/>
      <c r="AK344" s="966"/>
    </row>
    <row r="345" spans="2:37" s="741" customFormat="1">
      <c r="B345" s="5"/>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c r="AD345" s="966"/>
      <c r="AE345" s="966"/>
      <c r="AF345" s="966"/>
      <c r="AG345" s="966"/>
      <c r="AH345" s="966"/>
      <c r="AI345" s="966"/>
      <c r="AJ345" s="966"/>
      <c r="AK345" s="966"/>
    </row>
    <row r="346" spans="2:37" s="741"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0" t="s">
        <v>1494</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1547</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6" t="s">
        <v>1010</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27</v>
      </c>
      <c r="C4" s="682">
        <f>Application!K709</f>
        <v>548</v>
      </c>
      <c r="D4" s="683"/>
      <c r="E4" s="493">
        <v>1629</v>
      </c>
      <c r="F4" s="684">
        <f>E4*B4</f>
        <v>43983</v>
      </c>
      <c r="G4" s="685"/>
      <c r="H4" s="682">
        <f>IF(E4=0," ",(E4-C4))</f>
        <v>1081</v>
      </c>
      <c r="I4" s="684">
        <f>IF(E4=0," ",(H4*B4))</f>
        <v>29187</v>
      </c>
      <c r="J4" s="335"/>
      <c r="K4" s="490"/>
    </row>
    <row r="5" spans="1:11">
      <c r="A5" s="682" t="str">
        <f>Application!B710</f>
        <v>1 Bedroom</v>
      </c>
      <c r="B5" s="691">
        <f>Application!G710</f>
        <v>13</v>
      </c>
      <c r="C5" s="682">
        <f>Application!K710</f>
        <v>548</v>
      </c>
      <c r="D5" s="683"/>
      <c r="E5" s="493">
        <v>1629</v>
      </c>
      <c r="F5" s="684">
        <f t="shared" ref="F5:F28" si="0">E5*B5</f>
        <v>21177</v>
      </c>
      <c r="G5" s="685"/>
      <c r="H5" s="682">
        <f t="shared" ref="H5:H28" si="1">IF(E5=0," ",(E5-C5))</f>
        <v>1081</v>
      </c>
      <c r="I5" s="684">
        <f t="shared" ref="I5:I28" si="2">IF(E5=0," ",(H5*B5))</f>
        <v>14053</v>
      </c>
      <c r="J5" s="335"/>
      <c r="K5" s="490"/>
    </row>
    <row r="6" spans="1:11">
      <c r="A6" s="682" t="str">
        <f>Application!B711</f>
        <v>2 Bedrooms</v>
      </c>
      <c r="B6" s="691">
        <f>Application!G711</f>
        <v>4</v>
      </c>
      <c r="C6" s="682">
        <f>Application!K711</f>
        <v>655</v>
      </c>
      <c r="D6" s="683"/>
      <c r="E6" s="493">
        <v>2101</v>
      </c>
      <c r="F6" s="684">
        <f t="shared" si="0"/>
        <v>8404</v>
      </c>
      <c r="G6" s="685"/>
      <c r="H6" s="682">
        <f t="shared" si="1"/>
        <v>1446</v>
      </c>
      <c r="I6" s="684">
        <f t="shared" si="2"/>
        <v>5784</v>
      </c>
      <c r="J6" s="335"/>
      <c r="K6" s="490"/>
    </row>
    <row r="7" spans="1:11">
      <c r="A7" s="682" t="str">
        <f>Application!B712</f>
        <v>2 Bedrooms</v>
      </c>
      <c r="B7" s="691">
        <f>Application!G712</f>
        <v>2</v>
      </c>
      <c r="C7" s="682">
        <f>Application!K712</f>
        <v>655</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18</v>
      </c>
      <c r="C8" s="682">
        <f>Application!K713</f>
        <v>940</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25</v>
      </c>
      <c r="C9" s="682">
        <f>Application!K714</f>
        <v>1125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70895</v>
      </c>
      <c r="D30" s="683"/>
      <c r="E30" s="683"/>
      <c r="F30" s="688">
        <f>SUM(F4:F28)*12</f>
        <v>882768</v>
      </c>
      <c r="G30" s="689"/>
      <c r="H30" s="687"/>
      <c r="I30" s="688">
        <f>SUM(I4:I28)*12</f>
        <v>588288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6890000</v>
      </c>
      <c r="C5" s="438">
        <f>'Sources and Uses Budget'!$C4</f>
        <v>6890000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145000</v>
      </c>
      <c r="C6" s="438">
        <f>'Sources and Uses Budget'!$C5</f>
        <v>145000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7035000</v>
      </c>
      <c r="C9" s="442">
        <f>SUM(C5:C8)</f>
        <v>7035000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7035000</v>
      </c>
      <c r="C13" s="442">
        <f>SUM(C9+C12)</f>
        <v>7035000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250000</v>
      </c>
      <c r="C14" s="438">
        <f>'Sources and Uses Budget'!$C13</f>
        <v>250000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801400</v>
      </c>
      <c r="C27" s="438">
        <f>'Sources and Uses Budget'!$C$26</f>
        <v>801400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2547380</v>
      </c>
      <c r="C29" s="438">
        <f>'Sources and Uses Budget'!$C28</f>
        <v>2547380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21064690</v>
      </c>
      <c r="C30" s="438">
        <f>'Sources and Uses Budget'!$C29</f>
        <v>21064690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1187854</v>
      </c>
      <c r="C31" s="438">
        <f>'Sources and Uses Budget'!$C30</f>
        <v>1187854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475141</v>
      </c>
      <c r="C32" s="438">
        <f>'Sources and Uses Budget'!$C31</f>
        <v>475141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1425424</v>
      </c>
      <c r="C33" s="438">
        <f>'Sources and Uses Budget'!$C32</f>
        <v>1425424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250000</v>
      </c>
      <c r="C35" s="438">
        <f>'Sources and Uses Budget'!$C34</f>
        <v>250000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270000</v>
      </c>
      <c r="C36" s="438">
        <f>'Sources and Uses Budget'!$C35</f>
        <v>270000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27220489</v>
      </c>
      <c r="C37" s="442">
        <f>SUM(C29:C36)</f>
        <v>27220489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759990</v>
      </c>
      <c r="C39" s="438">
        <f>'Sources and Uses Budget'!$C38</f>
        <v>759990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160000</v>
      </c>
      <c r="C40" s="438">
        <f>'Sources and Uses Budget'!$C39</f>
        <v>160000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919990</v>
      </c>
      <c r="C41" s="442">
        <f>SUM(C39:C40)</f>
        <v>919990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446660</v>
      </c>
      <c r="C42" s="438">
        <f>'Sources and Uses Budget'!$C41</f>
        <v>446660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1325000</v>
      </c>
      <c r="C44" s="438">
        <f>'Sources and Uses Budget'!$C43</f>
        <v>1325000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270000</v>
      </c>
      <c r="C45" s="438">
        <f>'Sources and Uses Budget'!$C44</f>
        <v>270000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460000</v>
      </c>
      <c r="C48" s="438">
        <f>'Sources and Uses Budget'!$C47</f>
        <v>460000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126000</v>
      </c>
      <c r="C50" s="438">
        <f>'Sources and Uses Budget'!$C49</f>
        <v>126000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40000</v>
      </c>
      <c r="C51" s="438">
        <f>'Sources and Uses Budget'!$C50</f>
        <v>40000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24000</v>
      </c>
      <c r="C52" s="438">
        <f>'Sources and Uses Budget'!$C51</f>
        <v>24000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275000</v>
      </c>
      <c r="C53" s="438">
        <f>'Sources and Uses Budget'!$C52</f>
        <v>275000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2570000</v>
      </c>
      <c r="C54" s="445">
        <f>SUM(C44:C53)</f>
        <v>2570000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43000</v>
      </c>
      <c r="C56" s="438">
        <f>'Sources and Uses Budget'!$C55</f>
        <v>43000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18834</v>
      </c>
      <c r="C58" s="438">
        <f>'Sources and Uses Budget'!$C57</f>
        <v>18834</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76834</v>
      </c>
      <c r="C63" s="442">
        <f>SUM(C56:C62)</f>
        <v>76834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39320373</v>
      </c>
      <c r="C64" s="442">
        <f>SUM(C9+C12+C14+C15+C17+C26+C27+C37+C41+C42+C54+C63)</f>
        <v>39320373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110000</v>
      </c>
      <c r="C66" s="438">
        <f>'Sources and Uses Budget'!$C65</f>
        <v>110000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110000</v>
      </c>
      <c r="C68" s="442">
        <f>SUM(C66:C67)</f>
        <v>110000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588288</v>
      </c>
      <c r="C71" s="438">
        <f>'Sources and Uses Budget'!$C70</f>
        <v>588288</v>
      </c>
      <c r="D71" s="442">
        <f t="shared" si="0"/>
        <v>0</v>
      </c>
      <c r="E71" s="440"/>
      <c r="F71" s="439"/>
      <c r="G71" s="577"/>
    </row>
    <row r="72" spans="1:253" s="571" customFormat="1">
      <c r="A72" s="529" t="s">
        <v>1123</v>
      </c>
      <c r="B72" s="438">
        <f>'Sources and Uses Budget'!$C71</f>
        <v>45500</v>
      </c>
      <c r="C72" s="438">
        <f>'Sources and Uses Budget'!$C71</f>
        <v>45500</v>
      </c>
      <c r="D72" s="442">
        <f t="shared" si="0"/>
        <v>0</v>
      </c>
      <c r="E72" s="440"/>
      <c r="F72" s="439"/>
      <c r="G72" s="577"/>
    </row>
    <row r="73" spans="1:253" s="571" customFormat="1">
      <c r="A73" s="441" t="s">
        <v>656</v>
      </c>
      <c r="B73" s="438">
        <f>'Sources and Uses Budget'!$C72</f>
        <v>294563</v>
      </c>
      <c r="C73" s="438">
        <f>'Sources and Uses Budget'!$C72</f>
        <v>294563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928351</v>
      </c>
      <c r="C75" s="442">
        <f>SUM(C70:C74)</f>
        <v>928351</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1544210</v>
      </c>
      <c r="C77" s="438">
        <f>'Sources and Uses Budget'!$C76</f>
        <v>1544210</v>
      </c>
      <c r="D77" s="442">
        <f t="shared" si="1"/>
        <v>0</v>
      </c>
      <c r="E77" s="440"/>
      <c r="F77" s="439"/>
      <c r="G77" s="577"/>
    </row>
    <row r="78" spans="1:253" s="571" customFormat="1">
      <c r="A78" s="893" t="s">
        <v>63</v>
      </c>
      <c r="B78" s="438">
        <f>'Sources and Uses Budget'!$C77</f>
        <v>120000</v>
      </c>
      <c r="C78" s="438">
        <f>'Sources and Uses Budget'!$C77</f>
        <v>120000</v>
      </c>
      <c r="D78" s="442">
        <f t="shared" ref="D78" si="2">C78-B78</f>
        <v>0</v>
      </c>
      <c r="E78" s="440"/>
      <c r="F78" s="439"/>
      <c r="G78" s="577"/>
    </row>
    <row r="79" spans="1:253" s="571" customFormat="1">
      <c r="A79" s="443" t="s">
        <v>1468</v>
      </c>
      <c r="B79" s="442">
        <f>SUM(B77:B78)</f>
        <v>1664210</v>
      </c>
      <c r="C79" s="442">
        <f>SUM(C77:C78)</f>
        <v>1664210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89086</v>
      </c>
      <c r="C81" s="438">
        <f>'Sources and Uses Budget'!$C80</f>
        <v>89086</v>
      </c>
      <c r="D81" s="442">
        <f t="shared" si="1"/>
        <v>0</v>
      </c>
      <c r="E81" s="440"/>
      <c r="F81" s="439"/>
      <c r="G81" s="577"/>
    </row>
    <row r="82" spans="1:7" s="571" customFormat="1">
      <c r="A82" s="441" t="s">
        <v>846</v>
      </c>
      <c r="B82" s="438">
        <f>'Sources and Uses Budget'!$C81</f>
        <v>40000</v>
      </c>
      <c r="C82" s="438">
        <f>'Sources and Uses Budget'!$C81</f>
        <v>40000</v>
      </c>
      <c r="D82" s="442">
        <f t="shared" si="1"/>
        <v>0</v>
      </c>
      <c r="E82" s="440"/>
      <c r="F82" s="439"/>
      <c r="G82" s="577"/>
    </row>
    <row r="83" spans="1:7" s="571" customFormat="1">
      <c r="A83" s="441" t="s">
        <v>847</v>
      </c>
      <c r="B83" s="438">
        <f>'Sources and Uses Budget'!$C82</f>
        <v>450965</v>
      </c>
      <c r="C83" s="438">
        <f>'Sources and Uses Budget'!$C82</f>
        <v>450965</v>
      </c>
      <c r="D83" s="442">
        <f t="shared" si="1"/>
        <v>0</v>
      </c>
      <c r="E83" s="440"/>
      <c r="F83" s="439"/>
      <c r="G83" s="577"/>
    </row>
    <row r="84" spans="1:7" s="571" customFormat="1">
      <c r="A84" s="441" t="s">
        <v>848</v>
      </c>
      <c r="B84" s="438">
        <f>'Sources and Uses Budget'!$C83</f>
        <v>520000</v>
      </c>
      <c r="C84" s="438">
        <f>'Sources and Uses Budget'!$C83</f>
        <v>520000</v>
      </c>
      <c r="D84" s="442">
        <f t="shared" si="1"/>
        <v>0</v>
      </c>
      <c r="E84" s="440"/>
      <c r="F84" s="439"/>
      <c r="G84" s="577"/>
    </row>
    <row r="85" spans="1:7" s="571" customFormat="1">
      <c r="A85" s="441" t="s">
        <v>849</v>
      </c>
      <c r="B85" s="438">
        <f>'Sources and Uses Budget'!$C84</f>
        <v>60000</v>
      </c>
      <c r="C85" s="438">
        <f>'Sources and Uses Budget'!$C84</f>
        <v>60000</v>
      </c>
      <c r="D85" s="442">
        <f t="shared" si="1"/>
        <v>0</v>
      </c>
      <c r="E85" s="440"/>
      <c r="F85" s="439"/>
      <c r="G85" s="577"/>
    </row>
    <row r="86" spans="1:7" s="571" customFormat="1">
      <c r="A86" s="441" t="s">
        <v>850</v>
      </c>
      <c r="B86" s="438">
        <f>'Sources and Uses Budget'!$C85</f>
        <v>100000</v>
      </c>
      <c r="C86" s="438">
        <f>'Sources and Uses Budget'!$C85</f>
        <v>100000</v>
      </c>
      <c r="D86" s="442">
        <f t="shared" si="1"/>
        <v>0</v>
      </c>
      <c r="E86" s="440"/>
      <c r="F86" s="439"/>
      <c r="G86" s="577"/>
    </row>
    <row r="87" spans="1:7" s="571" customFormat="1">
      <c r="A87" s="441" t="s">
        <v>851</v>
      </c>
      <c r="B87" s="438">
        <f>'Sources and Uses Budget'!$C86</f>
        <v>135000</v>
      </c>
      <c r="C87" s="438">
        <f>'Sources and Uses Budget'!$C86</f>
        <v>135000</v>
      </c>
      <c r="D87" s="442">
        <f t="shared" si="1"/>
        <v>0</v>
      </c>
      <c r="E87" s="440"/>
      <c r="F87" s="439"/>
      <c r="G87" s="577"/>
    </row>
    <row r="88" spans="1:7" s="571" customFormat="1">
      <c r="A88" s="441" t="s">
        <v>852</v>
      </c>
      <c r="B88" s="438">
        <f>'Sources and Uses Budget'!$C87</f>
        <v>11075</v>
      </c>
      <c r="C88" s="438">
        <f>'Sources and Uses Budget'!$C87</f>
        <v>11075</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12000</v>
      </c>
      <c r="C90" s="438">
        <f>'Sources and Uses Budget'!$C89</f>
        <v>12000</v>
      </c>
      <c r="D90" s="442">
        <f t="shared" si="1"/>
        <v>0</v>
      </c>
      <c r="E90" s="440"/>
      <c r="F90" s="439"/>
      <c r="G90" s="577"/>
    </row>
    <row r="91" spans="1:7" s="571" customFormat="1">
      <c r="A91" s="444" t="s">
        <v>37</v>
      </c>
      <c r="B91" s="438">
        <f>'Sources and Uses Budget'!$C90</f>
        <v>21000</v>
      </c>
      <c r="C91" s="438">
        <f>'Sources and Uses Budget'!$C90</f>
        <v>21000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1459126</v>
      </c>
      <c r="C96" s="442">
        <f>SUM(C81:C95)</f>
        <v>1459126</v>
      </c>
      <c r="D96" s="442">
        <f t="shared" si="1"/>
        <v>0</v>
      </c>
      <c r="E96" s="440"/>
      <c r="F96" s="439"/>
      <c r="G96" s="577"/>
    </row>
    <row r="97" spans="1:7" s="571" customFormat="1">
      <c r="A97" s="443" t="s">
        <v>854</v>
      </c>
      <c r="B97" s="442">
        <f>SUM(B64+B68+B75+B79+B96)</f>
        <v>43482060</v>
      </c>
      <c r="C97" s="442">
        <f>SUM(C64+C68+C75+C79+C96)</f>
        <v>43482060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5009656</v>
      </c>
      <c r="C99" s="438">
        <f>'Sources and Uses Budget'!$C98</f>
        <v>5009656</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5009656</v>
      </c>
      <c r="C105" s="442">
        <f>SUM(C99:C104)</f>
        <v>5009656</v>
      </c>
      <c r="D105" s="442">
        <f t="shared" si="1"/>
        <v>0</v>
      </c>
      <c r="E105" s="440"/>
      <c r="F105" s="439"/>
      <c r="G105" s="575"/>
    </row>
    <row r="106" spans="1:7" s="570" customFormat="1">
      <c r="A106" s="443" t="s">
        <v>862</v>
      </c>
      <c r="B106" s="445">
        <f>SUM(B97+B105)</f>
        <v>48491716</v>
      </c>
      <c r="C106" s="445">
        <f>SUM(C97+C105)</f>
        <v>48491716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1198</v>
      </c>
      <c r="B2" s="1011"/>
      <c r="C2" s="1012"/>
      <c r="D2" s="1012"/>
      <c r="E2" s="1012"/>
      <c r="F2" s="1012"/>
      <c r="G2" s="1012"/>
    </row>
    <row r="3" spans="1:9" s="265" customFormat="1">
      <c r="A3" s="1011" t="s">
        <v>1125</v>
      </c>
      <c r="B3" s="1011"/>
      <c r="C3" s="1012"/>
      <c r="D3" s="1012"/>
      <c r="E3" s="1012"/>
      <c r="F3" s="1012"/>
      <c r="G3" s="1012"/>
      <c r="I3" s="701" t="s">
        <v>329</v>
      </c>
    </row>
    <row r="4" spans="1:9">
      <c r="I4" s="702" t="s">
        <v>1199</v>
      </c>
    </row>
    <row r="5" spans="1:9" s="39" customFormat="1">
      <c r="A5" s="1015" t="s">
        <v>1126</v>
      </c>
      <c r="B5" s="1015"/>
      <c r="C5" s="1016"/>
      <c r="D5" s="1016"/>
      <c r="E5" s="1016"/>
      <c r="F5" s="1016"/>
      <c r="G5" s="1016"/>
      <c r="I5" s="702" t="s">
        <v>1200</v>
      </c>
    </row>
    <row r="6" spans="1:9" s="39" customFormat="1">
      <c r="A6" s="1015" t="s">
        <v>904</v>
      </c>
      <c r="B6" s="1015"/>
      <c r="C6" s="1016"/>
      <c r="D6" s="1016"/>
      <c r="E6" s="1016"/>
      <c r="F6" s="1016"/>
      <c r="G6" s="1016"/>
      <c r="I6" s="701" t="s">
        <v>642</v>
      </c>
    </row>
    <row r="7" spans="1:9" ht="11.85" customHeight="1"/>
    <row r="8" spans="1:9" s="39" customFormat="1">
      <c r="A8" s="1013" t="s">
        <v>1295</v>
      </c>
      <c r="B8" s="1013"/>
      <c r="C8" s="1014"/>
      <c r="D8" s="1014"/>
      <c r="E8" s="1014"/>
      <c r="F8" s="1014"/>
      <c r="G8" s="1014"/>
    </row>
    <row r="9" spans="1:9" s="39" customFormat="1">
      <c r="A9" s="1013" t="s">
        <v>1296</v>
      </c>
      <c r="B9" s="1013"/>
      <c r="C9" s="1014"/>
      <c r="D9" s="1014"/>
      <c r="E9" s="1014"/>
      <c r="F9" s="1014"/>
      <c r="G9" s="1014"/>
    </row>
    <row r="10" spans="1:9">
      <c r="A10" s="267"/>
      <c r="B10" s="267"/>
      <c r="C10" s="264"/>
      <c r="D10" s="264"/>
      <c r="E10" s="264"/>
      <c r="F10" s="264"/>
    </row>
    <row r="11" spans="1:9">
      <c r="A11" s="1017" t="s">
        <v>1298</v>
      </c>
      <c r="B11" s="1017"/>
      <c r="C11" s="1017"/>
      <c r="D11" s="1017"/>
      <c r="E11" s="1017"/>
      <c r="F11" s="1017"/>
      <c r="G11" s="1017"/>
    </row>
    <row r="12" spans="1:9">
      <c r="A12" s="264"/>
      <c r="B12" s="697"/>
      <c r="E12" s="50"/>
    </row>
    <row r="13" spans="1:9" ht="13.35" customHeight="1">
      <c r="C13" s="264"/>
      <c r="D13" s="989" t="s">
        <v>1297</v>
      </c>
      <c r="E13" s="989"/>
      <c r="F13" s="989"/>
    </row>
    <row r="14" spans="1:9">
      <c r="C14" s="264"/>
      <c r="D14" s="989"/>
      <c r="E14" s="989"/>
      <c r="F14" s="989"/>
    </row>
    <row r="15" spans="1:9">
      <c r="A15" s="269"/>
      <c r="B15" s="269"/>
      <c r="C15" s="269"/>
      <c r="D15" s="986" t="s">
        <v>1280</v>
      </c>
      <c r="E15" s="986"/>
      <c r="F15" s="986"/>
    </row>
    <row r="16" spans="1:9">
      <c r="A16" s="269"/>
      <c r="B16" s="269"/>
      <c r="C16" s="269"/>
      <c r="D16" s="337"/>
    </row>
    <row r="17" spans="1:7" ht="14.25">
      <c r="A17" s="270"/>
      <c r="B17" s="703" t="s">
        <v>329</v>
      </c>
      <c r="C17" s="323"/>
      <c r="D17" s="961" t="s">
        <v>1281</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990" t="s">
        <v>1282</v>
      </c>
      <c r="E21" s="990"/>
      <c r="F21" s="990"/>
    </row>
    <row r="22" spans="1:7" ht="14.25">
      <c r="A22" s="270"/>
      <c r="B22" s="270"/>
      <c r="D22" s="138"/>
    </row>
    <row r="23" spans="1:7" ht="14.25">
      <c r="A23" s="270"/>
      <c r="B23" s="703" t="s">
        <v>329</v>
      </c>
      <c r="D23" s="961" t="s">
        <v>1283</v>
      </c>
      <c r="E23" s="961"/>
      <c r="F23" s="961"/>
    </row>
    <row r="24" spans="1:7" ht="14.25">
      <c r="A24" s="270"/>
      <c r="B24" s="270"/>
      <c r="D24" s="961"/>
      <c r="E24" s="961"/>
      <c r="F24" s="961"/>
    </row>
    <row r="25" spans="1:7"/>
    <row r="26" spans="1:7" ht="14.25">
      <c r="A26" s="270"/>
      <c r="B26" s="703" t="s">
        <v>329</v>
      </c>
      <c r="D26" s="984" t="s">
        <v>1284</v>
      </c>
      <c r="E26" s="984"/>
      <c r="F26" s="984"/>
    </row>
    <row r="27" spans="1:7">
      <c r="D27" s="984"/>
      <c r="E27" s="984"/>
      <c r="F27" s="984"/>
    </row>
    <row r="28" spans="1:7">
      <c r="D28" s="984"/>
      <c r="E28" s="984"/>
      <c r="F28" s="984"/>
    </row>
    <row r="29" spans="1:7">
      <c r="A29" s="582"/>
      <c r="C29" s="582"/>
      <c r="D29" s="984"/>
      <c r="E29" s="984"/>
      <c r="F29" s="984"/>
    </row>
    <row r="30" spans="1:7">
      <c r="A30" s="582"/>
      <c r="C30" s="582"/>
      <c r="D30" s="984"/>
      <c r="E30" s="984"/>
      <c r="F30" s="984"/>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1" t="s">
        <v>1294</v>
      </c>
      <c r="E68" s="961"/>
      <c r="F68" s="961"/>
    </row>
    <row r="69" spans="1:7">
      <c r="D69" s="961"/>
      <c r="E69" s="961"/>
      <c r="F69" s="961"/>
    </row>
    <row r="70" spans="1:7" ht="14.25">
      <c r="A70" s="270"/>
      <c r="B70" s="270"/>
      <c r="D70" s="138"/>
    </row>
    <row r="71" spans="1:7">
      <c r="A71" s="987" t="s">
        <v>1201</v>
      </c>
      <c r="B71" s="987"/>
      <c r="C71" s="987"/>
      <c r="D71" s="987"/>
      <c r="E71" s="987"/>
      <c r="F71" s="987"/>
      <c r="G71" s="987"/>
    </row>
    <row r="72" spans="1:7"/>
    <row r="73" spans="1:7">
      <c r="C73" s="271"/>
      <c r="D73" s="1003" t="s">
        <v>1299</v>
      </c>
      <c r="E73" s="1003"/>
      <c r="F73" s="1003"/>
    </row>
    <row r="74" spans="1:7">
      <c r="A74" s="138"/>
      <c r="B74" s="138"/>
      <c r="D74" s="961" t="s">
        <v>1326</v>
      </c>
      <c r="E74" s="961"/>
      <c r="F74" s="961"/>
    </row>
    <row r="75" spans="1:7">
      <c r="A75" s="138"/>
      <c r="B75" s="138"/>
    </row>
    <row r="76" spans="1:7" ht="14.25">
      <c r="A76" s="270"/>
      <c r="B76" s="703" t="s">
        <v>329</v>
      </c>
      <c r="D76" s="961" t="s">
        <v>1300</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1018" t="s">
        <v>1399</v>
      </c>
      <c r="E83" s="1018"/>
      <c r="F83" s="1018"/>
      <c r="G83" s="7"/>
    </row>
    <row r="84" spans="1:7" s="730" customFormat="1" ht="14.25">
      <c r="A84" s="731"/>
      <c r="B84" s="731"/>
      <c r="C84" s="729"/>
      <c r="D84" s="1018"/>
      <c r="E84" s="1018"/>
      <c r="F84" s="1018"/>
      <c r="G84" s="7"/>
    </row>
    <row r="85" spans="1:7" s="730" customFormat="1" ht="14.25">
      <c r="A85" s="731"/>
      <c r="B85" s="731"/>
      <c r="C85" s="729"/>
      <c r="D85" s="1018"/>
      <c r="E85" s="1018"/>
      <c r="F85" s="1018"/>
      <c r="G85" s="7"/>
    </row>
    <row r="86" spans="1:7" s="730" customFormat="1" ht="14.25">
      <c r="A86" s="731"/>
      <c r="B86" s="731"/>
      <c r="C86" s="729"/>
      <c r="D86" s="1018"/>
      <c r="E86" s="1018"/>
      <c r="F86" s="1018"/>
      <c r="G86" s="7"/>
    </row>
    <row r="87" spans="1:7" s="730" customFormat="1" ht="14.25">
      <c r="A87" s="731"/>
      <c r="B87" s="731"/>
      <c r="C87" s="729"/>
      <c r="D87" s="1018"/>
      <c r="E87" s="1018"/>
      <c r="F87" s="1018"/>
      <c r="G87" s="7"/>
    </row>
    <row r="88" spans="1:7" s="743" customFormat="1" ht="14.25">
      <c r="A88" s="738"/>
      <c r="B88" s="738"/>
      <c r="C88" s="769"/>
      <c r="D88" s="1018"/>
      <c r="E88" s="1018"/>
      <c r="F88" s="1018"/>
      <c r="G88" s="7"/>
    </row>
    <row r="89" spans="1:7" s="743" customFormat="1" ht="14.25">
      <c r="A89" s="738"/>
      <c r="B89" s="738"/>
      <c r="C89" s="769"/>
      <c r="D89" s="1018"/>
      <c r="E89" s="1018"/>
      <c r="F89" s="1018"/>
      <c r="G89" s="7"/>
    </row>
    <row r="90" spans="1:7" s="743" customFormat="1" ht="14.25">
      <c r="A90" s="738"/>
      <c r="B90" s="738"/>
      <c r="C90" s="769"/>
      <c r="D90" s="1018"/>
      <c r="E90" s="1018"/>
      <c r="F90" s="1018"/>
      <c r="G90" s="7"/>
    </row>
    <row r="91" spans="1:7" ht="14.25">
      <c r="A91" s="270"/>
      <c r="B91" s="270"/>
      <c r="D91" s="1018"/>
      <c r="E91" s="1018"/>
      <c r="F91" s="1018"/>
    </row>
    <row r="92" spans="1:7" ht="14.25">
      <c r="A92" s="270"/>
      <c r="B92" s="270"/>
      <c r="D92" s="1018"/>
      <c r="E92" s="1018"/>
      <c r="F92" s="1018"/>
    </row>
    <row r="93" spans="1:7" ht="14.25">
      <c r="A93" s="270"/>
      <c r="B93" s="270"/>
      <c r="D93" s="1018"/>
      <c r="E93" s="1018"/>
      <c r="F93" s="1018"/>
    </row>
    <row r="94" spans="1:7" ht="14.25">
      <c r="A94" s="270"/>
      <c r="B94" s="270"/>
      <c r="D94" s="1018"/>
      <c r="E94" s="1018"/>
      <c r="F94" s="1018"/>
    </row>
    <row r="95" spans="1:7" ht="14.25">
      <c r="A95" s="270"/>
      <c r="B95" s="270"/>
      <c r="D95" s="1018"/>
      <c r="E95" s="1018"/>
      <c r="F95" s="1018"/>
    </row>
    <row r="96" spans="1:7" ht="14.25">
      <c r="A96" s="270"/>
      <c r="B96" s="270"/>
      <c r="D96" s="1018"/>
      <c r="E96" s="1018"/>
      <c r="F96" s="1018"/>
    </row>
    <row r="97" spans="1:11" s="734" customFormat="1" ht="14.25">
      <c r="A97" s="735"/>
      <c r="B97" s="739" t="s">
        <v>329</v>
      </c>
      <c r="C97" s="729"/>
      <c r="D97" s="961" t="s">
        <v>1301</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1413</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1" t="s">
        <v>1306</v>
      </c>
      <c r="E156" s="1021"/>
      <c r="F156" s="1021"/>
      <c r="G156" s="461"/>
    </row>
    <row r="157" spans="1:7" customFormat="1" ht="13.7" customHeight="1">
      <c r="A157" s="395"/>
      <c r="B157" s="395"/>
      <c r="C157" s="335"/>
      <c r="D157" s="1021"/>
      <c r="E157" s="1021"/>
      <c r="F157" s="1021"/>
      <c r="G157" s="461"/>
    </row>
    <row r="158" spans="1:7" customFormat="1" ht="13.7" customHeight="1">
      <c r="A158" s="395"/>
      <c r="B158" s="395"/>
      <c r="C158" s="335"/>
      <c r="D158" s="337"/>
      <c r="E158" s="335"/>
      <c r="F158" s="335"/>
      <c r="G158" s="461"/>
    </row>
    <row r="159" spans="1:7" customFormat="1" ht="13.7" customHeight="1">
      <c r="A159" s="395"/>
      <c r="B159" s="703" t="s">
        <v>329</v>
      </c>
      <c r="C159" s="335"/>
      <c r="D159" s="964" t="s">
        <v>1307</v>
      </c>
      <c r="E159" s="964"/>
      <c r="F159" s="964"/>
      <c r="G159" s="461"/>
    </row>
    <row r="160" spans="1:7" customFormat="1" ht="13.7" customHeight="1">
      <c r="A160" s="395"/>
      <c r="B160" s="395"/>
      <c r="C160" s="335"/>
      <c r="D160" s="964"/>
      <c r="E160" s="964"/>
      <c r="F160" s="964"/>
      <c r="G160" s="461"/>
    </row>
    <row r="161" spans="1:7" customFormat="1" ht="13.7" customHeight="1">
      <c r="A161" s="395"/>
      <c r="B161" s="395"/>
      <c r="C161" s="335"/>
      <c r="D161" s="964"/>
      <c r="E161" s="964"/>
      <c r="F161" s="964"/>
      <c r="G161" s="461"/>
    </row>
    <row r="162" spans="1:7" customFormat="1" ht="13.7" customHeight="1">
      <c r="A162" s="395"/>
      <c r="B162" s="395"/>
      <c r="C162" s="335"/>
      <c r="D162" s="964"/>
      <c r="E162" s="964"/>
      <c r="F162" s="96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1308</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7" t="s">
        <v>1202</v>
      </c>
      <c r="B168" s="987"/>
      <c r="C168" s="987"/>
      <c r="D168" s="987"/>
      <c r="E168" s="987"/>
      <c r="F168" s="987"/>
      <c r="G168" s="987"/>
    </row>
    <row r="169" spans="1:7" ht="12" customHeight="1">
      <c r="D169" s="138"/>
      <c r="E169" s="138"/>
      <c r="F169" s="138"/>
    </row>
    <row r="170" spans="1:7">
      <c r="B170" s="983" t="s">
        <v>484</v>
      </c>
      <c r="C170" s="983"/>
      <c r="D170" s="983"/>
      <c r="E170" s="983"/>
      <c r="F170" s="983"/>
    </row>
    <row r="171" spans="1:7" ht="12" customHeight="1">
      <c r="A171" s="264"/>
      <c r="B171" s="697"/>
      <c r="C171" s="264"/>
    </row>
    <row r="172" spans="1:7">
      <c r="A172" s="987" t="s">
        <v>1203</v>
      </c>
      <c r="B172" s="987"/>
      <c r="C172" s="987"/>
      <c r="D172" s="987"/>
      <c r="E172" s="987"/>
      <c r="F172" s="987"/>
      <c r="G172" s="987"/>
    </row>
    <row r="173" spans="1:7" ht="12" customHeight="1">
      <c r="A173" s="273"/>
      <c r="B173" s="273"/>
      <c r="C173" s="274"/>
      <c r="D173" s="57"/>
      <c r="E173" s="49"/>
      <c r="F173" s="57"/>
      <c r="G173" s="57"/>
    </row>
    <row r="174" spans="1:7" ht="13.35" customHeight="1">
      <c r="A174" s="273"/>
      <c r="B174" s="273"/>
      <c r="C174" s="274"/>
      <c r="D174" s="1023" t="s">
        <v>1311</v>
      </c>
      <c r="E174" s="1023"/>
      <c r="F174" s="1023"/>
      <c r="G174" s="57"/>
    </row>
    <row r="175" spans="1:7">
      <c r="A175" s="273"/>
      <c r="B175" s="273"/>
      <c r="C175" s="274"/>
      <c r="D175" s="1023"/>
      <c r="E175" s="1023"/>
      <c r="F175" s="1023"/>
      <c r="G175" s="57"/>
    </row>
    <row r="176" spans="1:7" s="743" customFormat="1">
      <c r="A176" s="745"/>
      <c r="B176" s="745"/>
      <c r="C176" s="274"/>
      <c r="D176" s="1024" t="s">
        <v>1312</v>
      </c>
      <c r="E176" s="1024"/>
      <c r="F176" s="1024"/>
      <c r="G176" s="57"/>
    </row>
    <row r="177" spans="1:7" ht="12" customHeight="1">
      <c r="A177" s="273"/>
      <c r="B177" s="273"/>
      <c r="C177" s="274"/>
      <c r="D177" s="57"/>
      <c r="E177" s="49"/>
      <c r="F177" s="57"/>
      <c r="G177" s="57"/>
    </row>
    <row r="178" spans="1:7" ht="14.25">
      <c r="A178" s="270"/>
      <c r="B178" s="703" t="s">
        <v>329</v>
      </c>
      <c r="C178" s="274"/>
      <c r="D178" s="1022" t="s">
        <v>1310</v>
      </c>
      <c r="E178" s="1022"/>
      <c r="F178" s="1022"/>
      <c r="G178" s="57"/>
    </row>
    <row r="179" spans="1:7" ht="14.25">
      <c r="A179" s="270"/>
      <c r="B179" s="270"/>
      <c r="C179" s="274"/>
      <c r="D179" s="1022"/>
      <c r="E179" s="1022"/>
      <c r="F179" s="1022"/>
      <c r="G179" s="57"/>
    </row>
    <row r="180" spans="1:7" ht="14.25">
      <c r="A180" s="270"/>
      <c r="B180" s="270"/>
      <c r="C180" s="274"/>
      <c r="D180" s="1022"/>
      <c r="E180" s="1022"/>
      <c r="F180" s="1022"/>
      <c r="G180" s="57"/>
    </row>
    <row r="181" spans="1:7">
      <c r="A181" s="274"/>
      <c r="B181" s="274"/>
      <c r="C181" s="274"/>
      <c r="D181" s="1022"/>
      <c r="E181" s="1022"/>
      <c r="F181" s="1022"/>
    </row>
    <row r="182" spans="1:7">
      <c r="A182" s="274"/>
      <c r="B182" s="274"/>
      <c r="C182" s="274"/>
      <c r="D182" s="421"/>
      <c r="E182" s="57"/>
      <c r="F182" s="57"/>
    </row>
    <row r="183" spans="1:7">
      <c r="A183" s="274"/>
      <c r="B183" s="274"/>
      <c r="C183" s="274"/>
      <c r="D183" s="1026" t="s">
        <v>1219</v>
      </c>
      <c r="E183" s="1026"/>
      <c r="F183" s="1026"/>
    </row>
    <row r="184" spans="1:7">
      <c r="A184" s="274"/>
      <c r="B184" s="274"/>
      <c r="C184" s="274"/>
      <c r="D184" s="1026"/>
      <c r="E184" s="1026"/>
      <c r="F184" s="1026"/>
    </row>
    <row r="185" spans="1:7" s="706" customFormat="1">
      <c r="A185" s="274"/>
      <c r="B185" s="274"/>
      <c r="C185" s="274"/>
      <c r="D185" s="720"/>
      <c r="E185" s="720"/>
      <c r="F185" s="720"/>
      <c r="G185" s="7"/>
    </row>
    <row r="186" spans="1:7" s="701" customFormat="1" ht="14.25">
      <c r="A186" s="270"/>
      <c r="B186" s="703" t="s">
        <v>329</v>
      </c>
      <c r="C186" s="581"/>
      <c r="D186" s="961" t="s">
        <v>1309</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7" t="s">
        <v>1204</v>
      </c>
      <c r="B191" s="987"/>
      <c r="C191" s="987"/>
      <c r="D191" s="987"/>
      <c r="E191" s="987"/>
      <c r="F191" s="987"/>
      <c r="G191" s="987"/>
    </row>
    <row r="192" spans="1:7" ht="12" customHeight="1">
      <c r="D192" s="138"/>
      <c r="E192" s="138"/>
      <c r="F192" s="138"/>
    </row>
    <row r="193" spans="1:6">
      <c r="C193" s="271"/>
      <c r="D193" s="1025" t="s">
        <v>222</v>
      </c>
      <c r="E193" s="1025"/>
      <c r="F193" s="1025"/>
    </row>
    <row r="194" spans="1:6">
      <c r="A194" s="264"/>
      <c r="B194" s="697"/>
      <c r="C194" s="264"/>
      <c r="D194" s="993" t="s">
        <v>1333</v>
      </c>
      <c r="E194" s="994"/>
      <c r="F194" s="994"/>
    </row>
    <row r="195" spans="1:6" ht="12" customHeight="1">
      <c r="A195" s="23"/>
      <c r="B195" s="699"/>
      <c r="C195" s="23"/>
    </row>
    <row r="196" spans="1:6" ht="13.35" customHeight="1">
      <c r="A196" s="23"/>
      <c r="C196" s="23"/>
      <c r="D196" s="985" t="s">
        <v>593</v>
      </c>
      <c r="E196" s="985"/>
      <c r="F196" s="985"/>
    </row>
    <row r="197" spans="1:6" ht="14.25">
      <c r="A197" s="270"/>
      <c r="B197" s="703" t="s">
        <v>329</v>
      </c>
      <c r="D197" s="961" t="s">
        <v>1327</v>
      </c>
      <c r="E197" s="961"/>
      <c r="F197" s="961"/>
    </row>
    <row r="198" spans="1:6" ht="14.25">
      <c r="A198" s="270"/>
      <c r="B198" s="270"/>
      <c r="D198" s="961"/>
      <c r="E198" s="961"/>
      <c r="F198" s="961"/>
    </row>
    <row r="199" spans="1:6"/>
    <row r="200" spans="1:6" ht="14.25">
      <c r="A200" s="270"/>
      <c r="B200" s="703" t="s">
        <v>329</v>
      </c>
      <c r="D200" s="961" t="s">
        <v>1328</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1329</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82" t="s">
        <v>1330</v>
      </c>
      <c r="E210" s="982"/>
      <c r="F210" s="982"/>
    </row>
    <row r="211" spans="1:7" ht="14.25">
      <c r="A211" s="270"/>
      <c r="B211" s="270"/>
      <c r="D211" s="982"/>
      <c r="E211" s="982"/>
      <c r="F211" s="982"/>
    </row>
    <row r="212" spans="1:7" ht="14.25">
      <c r="A212" s="270"/>
      <c r="B212" s="270"/>
      <c r="D212" s="983" t="s">
        <v>993</v>
      </c>
      <c r="E212" s="983"/>
      <c r="F212" s="983"/>
    </row>
    <row r="213" spans="1:7" ht="14.25">
      <c r="A213" s="270"/>
      <c r="B213" s="270"/>
      <c r="D213" s="138"/>
      <c r="E213" s="138"/>
      <c r="F213" s="138"/>
    </row>
    <row r="214" spans="1:7" ht="14.45" customHeight="1">
      <c r="A214" s="270"/>
      <c r="B214" s="703" t="s">
        <v>329</v>
      </c>
      <c r="D214" s="982" t="s">
        <v>1332</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1" t="s">
        <v>1331</v>
      </c>
      <c r="E220" s="961"/>
      <c r="F220" s="961"/>
    </row>
    <row r="221" spans="1:7" ht="14.25">
      <c r="A221" s="270"/>
      <c r="B221" s="270"/>
      <c r="D221" s="961"/>
      <c r="E221" s="961"/>
      <c r="F221" s="961"/>
    </row>
    <row r="222" spans="1:7">
      <c r="D222" s="29"/>
    </row>
    <row r="223" spans="1:7">
      <c r="A223" s="987" t="s">
        <v>1205</v>
      </c>
      <c r="B223" s="987"/>
      <c r="C223" s="987"/>
      <c r="D223" s="987"/>
      <c r="E223" s="987"/>
      <c r="F223" s="987"/>
      <c r="G223" s="987"/>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1035" t="s">
        <v>1335</v>
      </c>
      <c r="E228" s="1035"/>
      <c r="F228" s="1035"/>
    </row>
    <row r="229" spans="1:6" ht="14.25">
      <c r="A229" s="270"/>
      <c r="B229" s="270"/>
      <c r="D229" s="1035"/>
      <c r="E229" s="1035"/>
      <c r="F229" s="1035"/>
    </row>
    <row r="230" spans="1:6">
      <c r="D230" s="138"/>
      <c r="E230" s="138"/>
      <c r="F230" s="138"/>
    </row>
    <row r="231" spans="1:6" ht="14.45" customHeight="1">
      <c r="A231" s="270"/>
      <c r="B231" s="703" t="s">
        <v>329</v>
      </c>
      <c r="D231" s="982" t="s">
        <v>1336</v>
      </c>
      <c r="E231" s="982"/>
      <c r="F231" s="982"/>
    </row>
    <row r="232" spans="1:6">
      <c r="D232" s="982"/>
      <c r="E232" s="982"/>
      <c r="F232" s="982"/>
    </row>
    <row r="233" spans="1:6">
      <c r="D233" s="994" t="s">
        <v>984</v>
      </c>
      <c r="E233" s="994"/>
      <c r="F233" s="994"/>
    </row>
    <row r="234" spans="1:6">
      <c r="D234" s="138"/>
      <c r="E234" s="138"/>
      <c r="F234" s="138"/>
    </row>
    <row r="235" spans="1:6" ht="14.45" customHeight="1">
      <c r="A235" s="270"/>
      <c r="B235" s="703" t="s">
        <v>329</v>
      </c>
      <c r="D235" s="982" t="s">
        <v>1338</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1" t="s">
        <v>1337</v>
      </c>
      <c r="E241" s="961"/>
      <c r="F241" s="961"/>
    </row>
    <row r="242" spans="1:7">
      <c r="D242" s="961"/>
      <c r="E242" s="961"/>
      <c r="F242" s="961"/>
    </row>
    <row r="243" spans="1:7">
      <c r="D243" s="961"/>
      <c r="E243" s="961"/>
      <c r="F243" s="961"/>
    </row>
    <row r="244" spans="1:7">
      <c r="D244" s="272"/>
      <c r="E244" s="138"/>
      <c r="F244" s="138"/>
    </row>
    <row r="245" spans="1:7">
      <c r="A245" s="987" t="s">
        <v>1206</v>
      </c>
      <c r="B245" s="987"/>
      <c r="C245" s="987"/>
      <c r="D245" s="987"/>
      <c r="E245" s="987"/>
      <c r="F245" s="987"/>
      <c r="G245" s="987"/>
    </row>
    <row r="246" spans="1:7">
      <c r="D246" s="272"/>
      <c r="E246" s="138"/>
      <c r="F246" s="138"/>
    </row>
    <row r="247" spans="1:7">
      <c r="C247" s="264"/>
      <c r="D247" s="1003" t="s">
        <v>1339</v>
      </c>
      <c r="E247" s="1003"/>
      <c r="F247" s="1003"/>
    </row>
    <row r="248" spans="1:7">
      <c r="C248" s="264"/>
      <c r="D248" s="1003"/>
      <c r="E248" s="1003"/>
      <c r="F248" s="1003"/>
    </row>
    <row r="249" spans="1:7">
      <c r="A249" s="269"/>
      <c r="B249" s="269"/>
      <c r="C249" s="269"/>
      <c r="D249" s="5"/>
      <c r="E249" s="6"/>
      <c r="F249" s="6"/>
    </row>
    <row r="250" spans="1:7">
      <c r="C250" s="269"/>
      <c r="D250" s="985" t="s">
        <v>223</v>
      </c>
      <c r="E250" s="985"/>
      <c r="F250" s="985"/>
    </row>
    <row r="251" spans="1:7" ht="15.75" customHeight="1">
      <c r="A251" s="270"/>
      <c r="B251" s="270"/>
      <c r="D251" s="991" t="s">
        <v>1340</v>
      </c>
      <c r="E251" s="991"/>
      <c r="F251" s="991"/>
    </row>
    <row r="252" spans="1:7">
      <c r="E252" s="138"/>
      <c r="F252" s="138"/>
    </row>
    <row r="253" spans="1:7" ht="14.25">
      <c r="A253" s="270"/>
      <c r="B253" s="703" t="s">
        <v>329</v>
      </c>
      <c r="D253" s="961" t="s">
        <v>1341</v>
      </c>
      <c r="E253" s="961"/>
      <c r="F253" s="961"/>
    </row>
    <row r="254" spans="1:7" ht="14.25">
      <c r="A254" s="270"/>
      <c r="B254" s="270"/>
      <c r="D254" s="961"/>
      <c r="E254" s="961"/>
      <c r="F254" s="961"/>
    </row>
    <row r="255" spans="1:7">
      <c r="D255" s="138"/>
      <c r="E255" s="138"/>
      <c r="F255" s="138"/>
    </row>
    <row r="256" spans="1:7" ht="14.25">
      <c r="A256" s="270"/>
      <c r="B256" s="703" t="s">
        <v>329</v>
      </c>
      <c r="D256" s="982" t="s">
        <v>1342</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1" t="s">
        <v>1343</v>
      </c>
      <c r="E260" s="961"/>
      <c r="F260" s="961"/>
    </row>
    <row r="261" spans="1:7" ht="14.25">
      <c r="A261" s="270"/>
      <c r="B261" s="270"/>
      <c r="D261" s="961"/>
      <c r="E261" s="961"/>
      <c r="F261" s="961"/>
    </row>
    <row r="262" spans="1:7">
      <c r="A262" s="23"/>
      <c r="B262" s="699"/>
      <c r="E262" s="138"/>
      <c r="F262" s="138"/>
    </row>
    <row r="263" spans="1:7">
      <c r="A263" s="987" t="s">
        <v>1207</v>
      </c>
      <c r="B263" s="987"/>
      <c r="C263" s="987"/>
      <c r="D263" s="987"/>
      <c r="E263" s="987"/>
      <c r="F263" s="987"/>
      <c r="G263" s="987"/>
    </row>
    <row r="264" spans="1:7">
      <c r="A264" s="23"/>
      <c r="B264" s="699"/>
      <c r="D264" s="138"/>
      <c r="E264" s="138"/>
      <c r="F264" s="138"/>
    </row>
    <row r="265" spans="1:7">
      <c r="C265" s="23"/>
      <c r="D265" s="985" t="s">
        <v>736</v>
      </c>
      <c r="E265" s="985"/>
      <c r="F265" s="985"/>
    </row>
    <row r="266" spans="1:7">
      <c r="C266" s="23"/>
      <c r="D266" s="986" t="s">
        <v>1344</v>
      </c>
      <c r="E266" s="986"/>
      <c r="F266" s="986"/>
    </row>
    <row r="267" spans="1:7">
      <c r="C267" s="23"/>
      <c r="D267" s="268"/>
    </row>
    <row r="268" spans="1:7">
      <c r="A268" s="282"/>
      <c r="B268" s="703" t="s">
        <v>329</v>
      </c>
      <c r="D268" s="986" t="s">
        <v>1345</v>
      </c>
      <c r="E268" s="986"/>
      <c r="F268" s="986"/>
    </row>
    <row r="269" spans="1:7" s="39" customFormat="1" ht="14.25">
      <c r="A269" s="420"/>
      <c r="B269" s="420"/>
      <c r="C269" s="282"/>
      <c r="D269" s="514"/>
      <c r="E269" s="515"/>
      <c r="F269" s="515"/>
      <c r="G269" s="133"/>
    </row>
    <row r="270" spans="1:7" s="39" customFormat="1" ht="13.35" customHeight="1">
      <c r="A270" s="282"/>
      <c r="B270" s="703" t="s">
        <v>329</v>
      </c>
      <c r="C270" s="282"/>
      <c r="D270" s="1036" t="s">
        <v>1346</v>
      </c>
      <c r="E270" s="1036"/>
      <c r="F270" s="1036"/>
      <c r="G270" s="133"/>
    </row>
    <row r="271" spans="1:7" s="39" customFormat="1" ht="14.25">
      <c r="A271" s="420"/>
      <c r="B271" s="420"/>
      <c r="C271" s="282"/>
      <c r="D271" s="1036"/>
      <c r="E271" s="1036"/>
      <c r="F271" s="1036"/>
      <c r="G271" s="133"/>
    </row>
    <row r="272" spans="1:7" s="39" customFormat="1" ht="14.25">
      <c r="A272" s="420"/>
      <c r="B272" s="420"/>
      <c r="C272" s="282"/>
      <c r="D272" s="1036"/>
      <c r="E272" s="1036"/>
      <c r="F272" s="1036"/>
      <c r="G272" s="133"/>
    </row>
    <row r="273" spans="1:7" s="39" customFormat="1" ht="14.25">
      <c r="A273" s="420"/>
      <c r="B273" s="420"/>
      <c r="C273" s="282"/>
      <c r="D273" s="1036"/>
      <c r="E273" s="1036"/>
      <c r="F273" s="1036"/>
      <c r="G273" s="133"/>
    </row>
    <row r="274" spans="1:7" s="39" customFormat="1" ht="14.25">
      <c r="A274" s="420"/>
      <c r="B274" s="420"/>
      <c r="C274" s="282"/>
      <c r="D274" s="1036"/>
      <c r="E274" s="1036"/>
      <c r="F274" s="1036"/>
      <c r="G274" s="133"/>
    </row>
    <row r="275" spans="1:7" s="39" customFormat="1" ht="14.25">
      <c r="A275" s="420"/>
      <c r="B275" s="420"/>
      <c r="C275" s="282"/>
      <c r="D275" s="514"/>
      <c r="E275" s="515"/>
      <c r="F275" s="515"/>
      <c r="G275" s="133"/>
    </row>
    <row r="276" spans="1:7" s="39" customFormat="1" ht="13.35" customHeight="1">
      <c r="A276" s="282"/>
      <c r="B276" s="703" t="s">
        <v>329</v>
      </c>
      <c r="C276" s="282"/>
      <c r="D276" s="1036" t="s">
        <v>1347</v>
      </c>
      <c r="E276" s="1036"/>
      <c r="F276" s="1036"/>
      <c r="G276" s="133"/>
    </row>
    <row r="277" spans="1:7" s="39" customFormat="1">
      <c r="A277" s="282"/>
      <c r="B277" s="282"/>
      <c r="C277" s="282"/>
      <c r="D277" s="1036"/>
      <c r="E277" s="1036"/>
      <c r="F277" s="1036"/>
      <c r="G277" s="133"/>
    </row>
    <row r="278" spans="1:7" s="39" customFormat="1" ht="14.25">
      <c r="A278" s="420"/>
      <c r="B278" s="420"/>
      <c r="C278" s="282"/>
      <c r="D278" s="514"/>
      <c r="E278" s="515"/>
      <c r="F278" s="515"/>
      <c r="G278" s="133"/>
    </row>
    <row r="279" spans="1:7">
      <c r="A279" s="282"/>
      <c r="B279" s="703" t="s">
        <v>329</v>
      </c>
      <c r="D279" s="986" t="s">
        <v>1348</v>
      </c>
      <c r="E279" s="986"/>
      <c r="F279" s="986"/>
    </row>
    <row r="280" spans="1:7">
      <c r="E280" s="138"/>
      <c r="F280" s="138"/>
    </row>
    <row r="281" spans="1:7" ht="14.25">
      <c r="A281" s="270"/>
      <c r="B281" s="703" t="s">
        <v>329</v>
      </c>
      <c r="D281" s="982" t="s">
        <v>1349</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1350</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1032" t="s">
        <v>1093</v>
      </c>
      <c r="E314" s="1032"/>
      <c r="F314" s="1032"/>
      <c r="G314" s="12"/>
    </row>
    <row r="315" spans="1:7" s="743" customFormat="1" ht="13.5" thickTop="1">
      <c r="A315" s="755"/>
      <c r="B315" s="755"/>
      <c r="C315" s="755"/>
      <c r="D315" s="1033" t="s">
        <v>1352</v>
      </c>
      <c r="E315" s="1033"/>
      <c r="F315" s="1033"/>
    </row>
    <row r="316" spans="1:7">
      <c r="A316" s="335"/>
      <c r="B316" s="335"/>
      <c r="C316" s="335"/>
      <c r="D316" s="484"/>
      <c r="E316" s="484"/>
      <c r="F316" s="138"/>
      <c r="G316" s="12"/>
    </row>
    <row r="317" spans="1:7" ht="14.25">
      <c r="A317" s="270"/>
      <c r="B317" s="703" t="s">
        <v>329</v>
      </c>
      <c r="C317" s="335"/>
      <c r="D317" s="1034" t="s">
        <v>1353</v>
      </c>
      <c r="E317" s="1034"/>
      <c r="F317" s="1034"/>
      <c r="G317" s="12"/>
    </row>
    <row r="318" spans="1:7">
      <c r="A318" s="335"/>
      <c r="B318" s="335"/>
      <c r="C318" s="335"/>
      <c r="D318" s="484"/>
      <c r="E318" s="484"/>
      <c r="F318" s="138"/>
      <c r="G318" s="12"/>
    </row>
    <row r="319" spans="1:7">
      <c r="A319" s="335"/>
      <c r="B319" s="703" t="s">
        <v>329</v>
      </c>
      <c r="C319" s="335"/>
      <c r="D319" s="1018" t="s">
        <v>1354</v>
      </c>
      <c r="E319" s="1018"/>
      <c r="F319" s="1018"/>
      <c r="G319" s="12"/>
    </row>
    <row r="320" spans="1:7">
      <c r="A320" s="335"/>
      <c r="B320" s="335"/>
      <c r="C320" s="335"/>
      <c r="D320" s="1018"/>
      <c r="E320" s="1018"/>
      <c r="F320" s="1018"/>
      <c r="G320" s="12"/>
    </row>
    <row r="321" spans="1:7">
      <c r="A321" s="335"/>
      <c r="B321" s="335"/>
      <c r="C321" s="335"/>
      <c r="D321" s="1018"/>
      <c r="E321" s="1018"/>
      <c r="F321" s="1018"/>
      <c r="G321" s="12"/>
    </row>
    <row r="322" spans="1:7">
      <c r="A322" s="335"/>
      <c r="B322" s="335"/>
      <c r="C322" s="335"/>
      <c r="D322" s="1018"/>
      <c r="E322" s="1018"/>
      <c r="F322" s="1018"/>
      <c r="G322" s="12"/>
    </row>
    <row r="323" spans="1:7" s="743" customFormat="1">
      <c r="A323" s="335"/>
      <c r="B323" s="335"/>
      <c r="C323" s="335"/>
      <c r="D323" s="1018"/>
      <c r="E323" s="1018"/>
      <c r="F323" s="1018"/>
    </row>
    <row r="324" spans="1:7" s="743" customFormat="1">
      <c r="A324" s="335"/>
      <c r="B324" s="335"/>
      <c r="C324" s="335"/>
      <c r="D324" s="1018"/>
      <c r="E324" s="1018"/>
      <c r="F324" s="1018"/>
    </row>
    <row r="325" spans="1:7" s="743" customFormat="1">
      <c r="A325" s="335"/>
      <c r="B325" s="335"/>
      <c r="C325" s="335"/>
      <c r="D325" s="1018"/>
      <c r="E325" s="1018"/>
      <c r="F325" s="1018"/>
    </row>
    <row r="326" spans="1:7" s="743" customFormat="1">
      <c r="A326" s="335"/>
      <c r="B326" s="335"/>
      <c r="C326" s="335"/>
      <c r="D326" s="1018"/>
      <c r="E326" s="1018"/>
      <c r="F326" s="1018"/>
    </row>
    <row r="327" spans="1:7">
      <c r="A327" s="335"/>
      <c r="B327" s="335"/>
      <c r="C327" s="335"/>
      <c r="D327" s="1018"/>
      <c r="E327" s="1018"/>
      <c r="F327" s="1018"/>
      <c r="G327" s="12"/>
    </row>
    <row r="328" spans="1:7">
      <c r="A328" s="335"/>
      <c r="B328" s="335"/>
      <c r="C328" s="335"/>
      <c r="D328" s="1018"/>
      <c r="E328" s="1018"/>
      <c r="F328" s="1018"/>
      <c r="G328" s="12"/>
    </row>
    <row r="329" spans="1:7">
      <c r="A329" s="335"/>
      <c r="B329" s="335"/>
      <c r="C329" s="335"/>
      <c r="D329" s="1018"/>
      <c r="E329" s="1018"/>
      <c r="F329" s="1018"/>
      <c r="G329" s="12"/>
    </row>
    <row r="330" spans="1:7">
      <c r="A330" s="335"/>
      <c r="B330" s="335"/>
      <c r="C330" s="335"/>
      <c r="D330" s="12"/>
      <c r="E330" s="484"/>
      <c r="F330" s="138"/>
      <c r="G330" s="12"/>
    </row>
    <row r="331" spans="1:7" ht="14.25">
      <c r="A331" s="270"/>
      <c r="B331" s="703" t="s">
        <v>329</v>
      </c>
      <c r="C331" s="335"/>
      <c r="D331" s="1037" t="s">
        <v>1355</v>
      </c>
      <c r="E331" s="1037"/>
      <c r="F331" s="1037"/>
      <c r="G331" s="12"/>
    </row>
    <row r="332" spans="1:7">
      <c r="A332" s="335"/>
      <c r="B332" s="335"/>
      <c r="C332" s="335"/>
      <c r="D332" s="1037"/>
      <c r="E332" s="1037"/>
      <c r="F332" s="1037"/>
      <c r="G332" s="12"/>
    </row>
    <row r="333" spans="1:7">
      <c r="A333" s="335"/>
      <c r="B333" s="335"/>
      <c r="C333" s="335"/>
      <c r="D333" s="1037"/>
      <c r="E333" s="1037"/>
      <c r="F333" s="1037"/>
      <c r="G333" s="12"/>
    </row>
    <row r="334" spans="1:7">
      <c r="A334" s="335"/>
      <c r="B334" s="335"/>
      <c r="C334" s="335"/>
      <c r="D334" s="1037"/>
      <c r="E334" s="1037"/>
      <c r="F334" s="1037"/>
      <c r="G334" s="12"/>
    </row>
    <row r="335" spans="1:7">
      <c r="A335" s="335"/>
      <c r="B335" s="335"/>
      <c r="C335" s="335"/>
      <c r="D335" s="526"/>
      <c r="E335" s="484"/>
      <c r="F335" s="138"/>
      <c r="G335" s="12"/>
    </row>
    <row r="336" spans="1:7">
      <c r="A336" s="335"/>
      <c r="B336" s="335"/>
      <c r="C336" s="335"/>
      <c r="D336" s="1037" t="s">
        <v>1356</v>
      </c>
      <c r="E336" s="1037"/>
      <c r="F336" s="1037"/>
      <c r="G336" s="12"/>
    </row>
    <row r="337" spans="1:7">
      <c r="A337" s="335"/>
      <c r="B337" s="335"/>
      <c r="C337" s="335"/>
      <c r="D337" s="1037"/>
      <c r="E337" s="1037"/>
      <c r="F337" s="1037"/>
      <c r="G337" s="12"/>
    </row>
    <row r="338" spans="1:7">
      <c r="A338" s="335"/>
      <c r="B338" s="335"/>
      <c r="C338" s="335"/>
      <c r="D338" s="1037"/>
      <c r="E338" s="1037"/>
      <c r="F338" s="1037"/>
      <c r="G338" s="12"/>
    </row>
    <row r="339" spans="1:7">
      <c r="A339" s="335"/>
      <c r="B339" s="335"/>
      <c r="C339" s="335"/>
      <c r="D339" s="1037"/>
      <c r="E339" s="1037"/>
      <c r="F339" s="1037"/>
      <c r="G339" s="12"/>
    </row>
    <row r="340" spans="1:7" ht="18" customHeight="1">
      <c r="A340" s="335"/>
      <c r="B340" s="335"/>
      <c r="C340" s="335"/>
      <c r="D340" s="1037"/>
      <c r="E340" s="1037"/>
      <c r="F340" s="1037"/>
      <c r="G340" s="12"/>
    </row>
    <row r="341" spans="1:7">
      <c r="A341" s="335"/>
      <c r="B341" s="335"/>
      <c r="C341" s="335"/>
      <c r="D341" s="1037"/>
      <c r="E341" s="1037"/>
      <c r="F341" s="1037"/>
      <c r="G341" s="12"/>
    </row>
    <row r="342" spans="1:7">
      <c r="A342" s="335"/>
      <c r="B342" s="335"/>
      <c r="C342" s="335"/>
      <c r="D342" s="1037"/>
      <c r="E342" s="1037"/>
      <c r="F342" s="1037"/>
      <c r="G342" s="12"/>
    </row>
    <row r="343" spans="1:7">
      <c r="A343" s="335"/>
      <c r="B343" s="335"/>
      <c r="C343" s="335"/>
      <c r="D343" s="1037"/>
      <c r="E343" s="1037"/>
      <c r="F343" s="1037"/>
      <c r="G343" s="12"/>
    </row>
    <row r="344" spans="1:7" ht="8.25" customHeight="1">
      <c r="A344" s="335"/>
      <c r="B344" s="335"/>
      <c r="C344" s="335"/>
      <c r="D344" s="1037"/>
      <c r="E344" s="1037"/>
      <c r="F344" s="1037"/>
      <c r="G344" s="12"/>
    </row>
    <row r="345" spans="1:7" ht="13.35" customHeight="1">
      <c r="A345" s="335"/>
      <c r="B345" s="335"/>
      <c r="C345" s="335"/>
      <c r="D345" s="1030" t="s">
        <v>1357</v>
      </c>
      <c r="E345" s="1030"/>
      <c r="F345" s="1030"/>
      <c r="G345" s="12"/>
    </row>
    <row r="346" spans="1:7">
      <c r="A346" s="335"/>
      <c r="B346" s="335"/>
      <c r="C346" s="335"/>
      <c r="D346" s="1030"/>
      <c r="E346" s="1030"/>
      <c r="F346" s="1030"/>
      <c r="G346" s="12"/>
    </row>
    <row r="347" spans="1:7">
      <c r="A347" s="335"/>
      <c r="B347" s="335"/>
      <c r="C347" s="335"/>
      <c r="D347" s="1030"/>
      <c r="E347" s="1030"/>
      <c r="F347" s="1030"/>
      <c r="G347" s="12"/>
    </row>
    <row r="348" spans="1:7" s="743" customFormat="1">
      <c r="A348" s="335"/>
      <c r="B348" s="335"/>
      <c r="C348" s="335"/>
      <c r="D348" s="1030"/>
      <c r="E348" s="1030"/>
      <c r="F348" s="1030"/>
    </row>
    <row r="349" spans="1:7" s="743" customFormat="1">
      <c r="A349" s="335"/>
      <c r="B349" s="335"/>
      <c r="C349" s="335"/>
      <c r="D349" s="1030"/>
      <c r="E349" s="1030"/>
      <c r="F349" s="1030"/>
    </row>
    <row r="350" spans="1:7" s="743" customFormat="1">
      <c r="A350" s="335"/>
      <c r="B350" s="335"/>
      <c r="C350" s="335"/>
      <c r="D350" s="1030"/>
      <c r="E350" s="1030"/>
      <c r="F350" s="1030"/>
    </row>
    <row r="351" spans="1:7" s="743" customFormat="1">
      <c r="A351" s="335"/>
      <c r="B351" s="335"/>
      <c r="C351" s="335"/>
      <c r="D351" s="1030"/>
      <c r="E351" s="1030"/>
      <c r="F351" s="1030"/>
    </row>
    <row r="352" spans="1:7" s="743" customFormat="1">
      <c r="A352" s="335"/>
      <c r="B352" s="335"/>
      <c r="C352" s="335"/>
      <c r="D352" s="1030"/>
      <c r="E352" s="1030"/>
      <c r="F352" s="1030"/>
    </row>
    <row r="353" spans="1:7">
      <c r="A353" s="335"/>
      <c r="B353" s="335"/>
      <c r="C353" s="335"/>
      <c r="D353" s="1030"/>
      <c r="E353" s="1030"/>
      <c r="F353" s="1030"/>
      <c r="G353" s="12"/>
    </row>
    <row r="354" spans="1:7">
      <c r="A354" s="335"/>
      <c r="B354" s="335"/>
      <c r="C354" s="335"/>
      <c r="D354" s="1030"/>
      <c r="E354" s="1030"/>
      <c r="F354" s="1030"/>
      <c r="G354" s="12"/>
    </row>
    <row r="355" spans="1:7">
      <c r="A355" s="335"/>
      <c r="B355" s="335"/>
      <c r="C355" s="335"/>
      <c r="D355" s="1030"/>
      <c r="E355" s="1030"/>
      <c r="F355" s="1030"/>
      <c r="G355" s="12"/>
    </row>
    <row r="356" spans="1:7">
      <c r="A356" s="335"/>
      <c r="B356" s="335"/>
      <c r="C356" s="335"/>
      <c r="D356" s="1030"/>
      <c r="E356" s="1030"/>
      <c r="F356" s="1030"/>
      <c r="G356" s="12"/>
    </row>
    <row r="357" spans="1:7">
      <c r="A357" s="335"/>
      <c r="B357" s="335"/>
      <c r="C357" s="528"/>
      <c r="D357" s="1030"/>
      <c r="E357" s="1030"/>
      <c r="F357" s="1030"/>
      <c r="G357" s="12"/>
    </row>
    <row r="358" spans="1:7">
      <c r="A358" s="335"/>
      <c r="B358" s="335"/>
      <c r="C358" s="528"/>
      <c r="D358" s="1030"/>
      <c r="E358" s="1030"/>
      <c r="F358" s="1030"/>
      <c r="G358" s="12"/>
    </row>
    <row r="359" spans="1:7">
      <c r="A359" s="335"/>
      <c r="B359" s="335"/>
      <c r="C359" s="335"/>
      <c r="D359" s="1030"/>
      <c r="E359" s="1030"/>
      <c r="F359" s="1030"/>
      <c r="G359" s="12"/>
    </row>
    <row r="360" spans="1:7">
      <c r="A360" s="335"/>
      <c r="B360" s="335"/>
      <c r="C360" s="528"/>
      <c r="D360" s="1030"/>
      <c r="E360" s="1030"/>
      <c r="F360" s="1030"/>
      <c r="G360" s="12"/>
    </row>
    <row r="361" spans="1:7">
      <c r="A361" s="335"/>
      <c r="B361" s="335"/>
      <c r="C361" s="528"/>
      <c r="D361" s="1030"/>
      <c r="E361" s="1030"/>
      <c r="F361" s="1030"/>
      <c r="G361" s="12"/>
    </row>
    <row r="362" spans="1:7">
      <c r="A362" s="335"/>
      <c r="B362" s="335"/>
      <c r="C362" s="528"/>
      <c r="D362" s="1030"/>
      <c r="E362" s="1030"/>
      <c r="F362" s="1030"/>
      <c r="G362" s="12"/>
    </row>
    <row r="363" spans="1:7">
      <c r="A363" s="335"/>
      <c r="B363" s="335"/>
      <c r="C363" s="335"/>
      <c r="D363" s="526"/>
      <c r="E363" s="484"/>
      <c r="F363" s="138"/>
      <c r="G363" s="12"/>
    </row>
    <row r="364" spans="1:7">
      <c r="A364" s="335"/>
      <c r="B364" s="703" t="s">
        <v>329</v>
      </c>
      <c r="C364" s="335"/>
      <c r="D364" s="1030" t="s">
        <v>1358</v>
      </c>
      <c r="E364" s="1030"/>
      <c r="F364" s="1030"/>
      <c r="G364" s="12"/>
    </row>
    <row r="365" spans="1:7">
      <c r="A365" s="335"/>
      <c r="B365" s="335"/>
      <c r="C365" s="335"/>
      <c r="D365" s="1030"/>
      <c r="E365" s="1030"/>
      <c r="F365" s="1030"/>
      <c r="G365" s="12"/>
    </row>
    <row r="366" spans="1:7">
      <c r="A366" s="335"/>
      <c r="B366" s="335"/>
      <c r="C366" s="335"/>
      <c r="D366" s="484"/>
      <c r="E366" s="484"/>
      <c r="F366" s="138"/>
      <c r="G366" s="12"/>
    </row>
    <row r="367" spans="1:7" ht="14.25">
      <c r="A367" s="270"/>
      <c r="B367" s="703" t="s">
        <v>329</v>
      </c>
      <c r="C367" s="335"/>
      <c r="D367" s="1018" t="s">
        <v>1359</v>
      </c>
      <c r="E367" s="1018"/>
      <c r="F367" s="1018"/>
      <c r="G367" s="12"/>
    </row>
    <row r="368" spans="1:7" ht="14.25">
      <c r="A368" s="527"/>
      <c r="B368" s="527"/>
      <c r="C368" s="335"/>
      <c r="D368" s="1018"/>
      <c r="E368" s="1018"/>
      <c r="F368" s="1018"/>
      <c r="G368" s="12"/>
    </row>
    <row r="369" spans="1:7" ht="14.25">
      <c r="A369" s="527"/>
      <c r="B369" s="527"/>
      <c r="C369" s="335"/>
      <c r="D369" s="1018"/>
      <c r="E369" s="1018"/>
      <c r="F369" s="1018"/>
      <c r="G369" s="12"/>
    </row>
    <row r="370" spans="1:7" ht="14.25">
      <c r="A370" s="527"/>
      <c r="B370" s="527"/>
      <c r="C370" s="335"/>
      <c r="D370" s="1018"/>
      <c r="E370" s="1018"/>
      <c r="F370" s="1018"/>
      <c r="G370" s="12"/>
    </row>
    <row r="371" spans="1:7" ht="14.25">
      <c r="A371" s="527"/>
      <c r="B371" s="527"/>
      <c r="C371" s="335"/>
      <c r="D371" s="1018"/>
      <c r="E371" s="1018"/>
      <c r="F371" s="1018"/>
      <c r="G371" s="12"/>
    </row>
    <row r="372" spans="1:7">
      <c r="D372" s="138"/>
      <c r="E372" s="138"/>
      <c r="F372" s="138"/>
      <c r="G372" s="12"/>
    </row>
    <row r="373" spans="1:7" ht="14.25">
      <c r="A373" s="270"/>
      <c r="B373" s="703" t="s">
        <v>329</v>
      </c>
      <c r="C373" s="275"/>
      <c r="D373" s="961" t="s">
        <v>1360</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86" t="s">
        <v>1361</v>
      </c>
      <c r="E405" s="986"/>
      <c r="F405" s="986"/>
    </row>
    <row r="406" spans="1:7">
      <c r="D406" s="1031" t="s">
        <v>1118</v>
      </c>
      <c r="E406" s="1031"/>
      <c r="F406" s="1031"/>
    </row>
    <row r="407" spans="1:7">
      <c r="D407" s="982" t="s">
        <v>1362</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1" t="s">
        <v>1363</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82" t="s">
        <v>1364</v>
      </c>
      <c r="E416" s="982"/>
      <c r="F416" s="982"/>
      <c r="G416" s="12"/>
    </row>
    <row r="417" spans="1:7">
      <c r="D417" s="982"/>
      <c r="E417" s="982"/>
      <c r="F417" s="982"/>
      <c r="G417" s="12"/>
    </row>
    <row r="418" spans="1:7">
      <c r="D418" s="138"/>
      <c r="E418" s="138"/>
      <c r="F418" s="138"/>
      <c r="G418" s="12"/>
    </row>
    <row r="419" spans="1:7" ht="14.25">
      <c r="B419" s="703" t="s">
        <v>329</v>
      </c>
      <c r="C419" s="270"/>
      <c r="D419" s="982" t="s">
        <v>1365</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1366</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93" t="s">
        <v>1367</v>
      </c>
      <c r="E440" s="993"/>
      <c r="F440" s="993"/>
    </row>
    <row r="441" spans="1:7">
      <c r="A441" s="138"/>
      <c r="B441" s="138"/>
    </row>
    <row r="442" spans="1:7">
      <c r="A442" s="987" t="s">
        <v>1208</v>
      </c>
      <c r="B442" s="987"/>
      <c r="C442" s="987"/>
      <c r="D442" s="987"/>
      <c r="E442" s="987"/>
      <c r="F442" s="987"/>
      <c r="G442" s="987"/>
    </row>
    <row r="443" spans="1:7">
      <c r="A443" s="138"/>
      <c r="B443" s="138"/>
    </row>
    <row r="444" spans="1:7">
      <c r="D444" s="1038" t="s">
        <v>978</v>
      </c>
      <c r="E444" s="1038"/>
      <c r="F444" s="1038"/>
    </row>
    <row r="445" spans="1:7" s="39" customFormat="1" ht="14.25">
      <c r="A445" s="420"/>
      <c r="B445" s="420"/>
      <c r="C445" s="282"/>
      <c r="D445" s="1039" t="s">
        <v>1368</v>
      </c>
      <c r="E445" s="1039"/>
      <c r="F445" s="1039"/>
      <c r="G445" s="133"/>
    </row>
    <row r="446" spans="1:7" s="39" customFormat="1" ht="14.25">
      <c r="A446" s="420"/>
      <c r="B446" s="420"/>
      <c r="C446" s="282"/>
      <c r="D446" s="756"/>
      <c r="E446" s="6"/>
      <c r="F446" s="6"/>
      <c r="G446" s="133"/>
    </row>
    <row r="447" spans="1:7" s="39" customFormat="1" ht="14.25">
      <c r="A447" s="270"/>
      <c r="B447" s="703" t="s">
        <v>329</v>
      </c>
      <c r="C447" s="282"/>
      <c r="D447" s="1040" t="s">
        <v>1369</v>
      </c>
      <c r="E447" s="1040"/>
      <c r="F447" s="1040"/>
      <c r="G447" s="133"/>
    </row>
    <row r="448" spans="1:7" s="39" customFormat="1" ht="14.25">
      <c r="A448" s="270"/>
      <c r="B448" s="270"/>
      <c r="C448" s="282"/>
      <c r="D448" s="1040"/>
      <c r="E448" s="1040"/>
      <c r="F448" s="1040"/>
      <c r="G448" s="133"/>
    </row>
    <row r="449" spans="1:7" s="39" customFormat="1" ht="14.25">
      <c r="A449" s="270"/>
      <c r="B449" s="270"/>
      <c r="C449" s="282"/>
      <c r="D449" s="754"/>
      <c r="E449" s="6"/>
      <c r="F449" s="6"/>
      <c r="G449" s="133"/>
    </row>
    <row r="450" spans="1:7">
      <c r="B450" s="703" t="s">
        <v>329</v>
      </c>
      <c r="D450" s="1010" t="s">
        <v>1370</v>
      </c>
      <c r="E450" s="1010"/>
      <c r="F450" s="1010"/>
    </row>
    <row r="451" spans="1:7" ht="14.25">
      <c r="A451" s="270"/>
      <c r="D451" s="1010"/>
      <c r="E451" s="1010"/>
      <c r="F451" s="1010"/>
    </row>
    <row r="452" spans="1:7" ht="14.25">
      <c r="A452" s="270"/>
      <c r="B452" s="270"/>
      <c r="D452" s="1010"/>
      <c r="E452" s="1010"/>
      <c r="F452" s="1010"/>
    </row>
    <row r="453" spans="1:7" ht="14.25">
      <c r="A453" s="270"/>
      <c r="B453" s="270"/>
      <c r="D453" s="1010"/>
      <c r="E453" s="1010"/>
      <c r="F453" s="1010"/>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86" t="s">
        <v>1372</v>
      </c>
      <c r="E459" s="986"/>
      <c r="F459" s="986"/>
      <c r="G459" s="12"/>
    </row>
    <row r="460" spans="1:7" ht="14.25">
      <c r="A460" s="270"/>
      <c r="B460" s="270"/>
      <c r="D460" s="754"/>
      <c r="E460" s="6"/>
      <c r="F460" s="6"/>
      <c r="G460" s="12"/>
    </row>
    <row r="461" spans="1:7" ht="14.25">
      <c r="A461" s="270"/>
      <c r="B461" s="703" t="s">
        <v>329</v>
      </c>
      <c r="D461" s="961" t="s">
        <v>1373</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86" t="s">
        <v>1374</v>
      </c>
      <c r="E464" s="986"/>
      <c r="F464" s="986"/>
      <c r="G464" s="12"/>
    </row>
    <row r="465" spans="1:7" ht="14.25">
      <c r="A465" s="270"/>
      <c r="B465" s="270"/>
      <c r="D465" s="138"/>
    </row>
    <row r="466" spans="1:7">
      <c r="A466" s="987" t="s">
        <v>1209</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1041" t="s">
        <v>875</v>
      </c>
      <c r="E468" s="1041"/>
      <c r="F468" s="1041"/>
      <c r="G468" s="187"/>
    </row>
    <row r="469" spans="1:7" customFormat="1" ht="13.35" customHeight="1">
      <c r="A469" s="269"/>
      <c r="B469" s="269"/>
      <c r="C469" s="323"/>
      <c r="D469" s="1042" t="s">
        <v>1252</v>
      </c>
      <c r="E469" s="1042"/>
      <c r="F469" s="1042"/>
      <c r="G469" s="152"/>
    </row>
    <row r="470" spans="1:7" customFormat="1">
      <c r="A470" s="269"/>
      <c r="B470" s="269"/>
      <c r="C470" s="323"/>
      <c r="D470" s="1042"/>
      <c r="E470" s="1042"/>
      <c r="F470" s="1042"/>
      <c r="G470" s="152"/>
    </row>
    <row r="471" spans="1:7" customFormat="1">
      <c r="A471" s="269"/>
      <c r="B471" s="269"/>
      <c r="C471" s="323"/>
      <c r="D471" s="1042"/>
      <c r="E471" s="1042"/>
      <c r="F471" s="1042"/>
      <c r="G471" s="152"/>
    </row>
    <row r="472" spans="1:7" customFormat="1">
      <c r="A472" s="269"/>
      <c r="B472" s="269"/>
      <c r="C472" s="323"/>
      <c r="D472" s="1042"/>
      <c r="E472" s="1042"/>
      <c r="F472" s="1042"/>
      <c r="G472" s="152"/>
    </row>
    <row r="473" spans="1:7" customFormat="1">
      <c r="A473" s="269"/>
      <c r="B473" s="269"/>
      <c r="C473" s="323"/>
      <c r="D473" s="1042"/>
      <c r="E473" s="1042"/>
      <c r="F473" s="1042"/>
      <c r="G473" s="152"/>
    </row>
    <row r="474" spans="1:7" customFormat="1">
      <c r="A474" s="269"/>
      <c r="B474" s="269"/>
      <c r="C474" s="323"/>
      <c r="D474" s="488"/>
      <c r="E474" s="152"/>
      <c r="F474" s="154"/>
      <c r="G474" s="152"/>
    </row>
    <row r="475" spans="1:7" customFormat="1" ht="14.45" customHeight="1">
      <c r="A475" s="270"/>
      <c r="B475" s="703" t="s">
        <v>329</v>
      </c>
      <c r="C475" s="323"/>
      <c r="D475" s="1008" t="s">
        <v>1243</v>
      </c>
      <c r="E475" s="1008"/>
      <c r="F475" s="1008"/>
      <c r="G475" s="152"/>
    </row>
    <row r="476" spans="1:7" customFormat="1">
      <c r="A476" s="269"/>
      <c r="B476" s="269"/>
      <c r="C476" s="323"/>
      <c r="D476" s="1008"/>
      <c r="E476" s="1008"/>
      <c r="F476" s="1008"/>
      <c r="G476" s="152"/>
    </row>
    <row r="477" spans="1:7" s="704" customFormat="1">
      <c r="A477" s="269"/>
      <c r="B477" s="269"/>
      <c r="C477" s="323"/>
      <c r="D477" s="1008"/>
      <c r="E477" s="1008"/>
      <c r="F477" s="1008"/>
      <c r="G477" s="152"/>
    </row>
    <row r="478" spans="1:7" s="704" customFormat="1">
      <c r="A478" s="269"/>
      <c r="B478" s="269"/>
      <c r="C478" s="323"/>
      <c r="D478" s="1008"/>
      <c r="E478" s="1008"/>
      <c r="F478" s="1008"/>
      <c r="G478" s="152"/>
    </row>
    <row r="479" spans="1:7" customFormat="1">
      <c r="A479" s="269"/>
      <c r="B479" s="269"/>
      <c r="C479" s="323"/>
      <c r="D479" s="1008"/>
      <c r="E479" s="1008"/>
      <c r="F479" s="1008"/>
      <c r="G479" s="152"/>
    </row>
    <row r="480" spans="1:7" customFormat="1">
      <c r="A480" s="269"/>
      <c r="B480" s="269"/>
      <c r="C480" s="323"/>
      <c r="D480" s="460"/>
      <c r="E480" s="152"/>
      <c r="F480" s="154"/>
      <c r="G480" s="152"/>
    </row>
    <row r="481" spans="1:7" customFormat="1" ht="14.45" customHeight="1">
      <c r="A481" s="270"/>
      <c r="B481" s="703" t="s">
        <v>329</v>
      </c>
      <c r="C481" s="323"/>
      <c r="D481" s="1008" t="s">
        <v>1246</v>
      </c>
      <c r="E481" s="1008"/>
      <c r="F481" s="1008"/>
      <c r="G481" s="152"/>
    </row>
    <row r="482" spans="1:7" customFormat="1">
      <c r="A482" s="269"/>
      <c r="B482" s="269"/>
      <c r="C482" s="323"/>
      <c r="D482" s="1008"/>
      <c r="E482" s="1008"/>
      <c r="F482" s="1008"/>
      <c r="G482" s="152"/>
    </row>
    <row r="483" spans="1:7" s="704" customFormat="1">
      <c r="A483" s="269"/>
      <c r="B483" s="269"/>
      <c r="C483" s="323"/>
      <c r="D483" s="1008"/>
      <c r="E483" s="1008"/>
      <c r="F483" s="1008"/>
      <c r="G483" s="152"/>
    </row>
    <row r="484" spans="1:7" customFormat="1">
      <c r="A484" s="269"/>
      <c r="B484" s="269"/>
      <c r="C484" s="323"/>
      <c r="D484" s="1008"/>
      <c r="E484" s="1008"/>
      <c r="F484" s="100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8" t="s">
        <v>1244</v>
      </c>
      <c r="E486" s="1008"/>
      <c r="F486" s="1008"/>
      <c r="G486" s="152"/>
    </row>
    <row r="487" spans="1:7" customFormat="1">
      <c r="A487" s="269"/>
      <c r="B487" s="269"/>
      <c r="C487" s="323"/>
      <c r="D487" s="1008"/>
      <c r="E487" s="1008"/>
      <c r="F487" s="1008"/>
      <c r="G487" s="152"/>
    </row>
    <row r="488" spans="1:7" customFormat="1">
      <c r="A488" s="269"/>
      <c r="B488" s="269"/>
      <c r="C488" s="323"/>
      <c r="D488" s="1008"/>
      <c r="E488" s="1008"/>
      <c r="F488" s="1008"/>
      <c r="G488" s="152"/>
    </row>
    <row r="489" spans="1:7" s="704" customFormat="1">
      <c r="A489" s="269"/>
      <c r="B489" s="269"/>
      <c r="C489" s="323"/>
      <c r="D489" s="724"/>
      <c r="E489" s="724"/>
      <c r="F489" s="724"/>
      <c r="G489" s="152"/>
    </row>
    <row r="490" spans="1:7" customFormat="1" ht="14.45" customHeight="1">
      <c r="A490" s="270"/>
      <c r="B490" s="703" t="s">
        <v>329</v>
      </c>
      <c r="C490" s="323"/>
      <c r="D490" s="1008" t="s">
        <v>1245</v>
      </c>
      <c r="E490" s="1008"/>
      <c r="F490" s="1008"/>
      <c r="G490" s="152"/>
    </row>
    <row r="491" spans="1:7" customFormat="1">
      <c r="A491" s="269"/>
      <c r="B491" s="269"/>
      <c r="C491" s="323"/>
      <c r="D491" s="1008"/>
      <c r="E491" s="1008"/>
      <c r="F491" s="1008"/>
      <c r="G491" s="152"/>
    </row>
    <row r="492" spans="1:7" customFormat="1">
      <c r="A492" s="269"/>
      <c r="B492" s="269"/>
      <c r="C492" s="323"/>
      <c r="D492" s="1008"/>
      <c r="E492" s="1008"/>
      <c r="F492" s="1008"/>
      <c r="G492" s="152"/>
    </row>
    <row r="493" spans="1:7" customFormat="1">
      <c r="A493" s="269"/>
      <c r="B493" s="269"/>
      <c r="C493" s="323"/>
      <c r="D493" s="1008"/>
      <c r="E493" s="1008"/>
      <c r="F493" s="1008"/>
      <c r="G493" s="152"/>
    </row>
    <row r="494" spans="1:7" customFormat="1">
      <c r="A494" s="269"/>
      <c r="B494" s="269"/>
      <c r="C494" s="323"/>
      <c r="D494" s="1008"/>
      <c r="E494" s="1008"/>
      <c r="F494" s="1008"/>
      <c r="G494" s="152"/>
    </row>
    <row r="495" spans="1:7" customFormat="1">
      <c r="A495" s="269"/>
      <c r="B495" s="269"/>
      <c r="C495" s="323"/>
      <c r="D495" s="1008"/>
      <c r="E495" s="1008"/>
      <c r="F495" s="1008"/>
      <c r="G495" s="152"/>
    </row>
    <row r="496" spans="1:7" customFormat="1">
      <c r="A496" s="269"/>
      <c r="B496" s="269"/>
      <c r="C496" s="323"/>
      <c r="D496" s="1008"/>
      <c r="E496" s="1008"/>
      <c r="F496" s="1008"/>
      <c r="G496" s="152"/>
    </row>
    <row r="497" spans="1:7" customFormat="1">
      <c r="A497" s="504"/>
      <c r="B497" s="504"/>
      <c r="C497" s="503"/>
      <c r="D497" s="1008"/>
      <c r="E497" s="1008"/>
      <c r="F497" s="1008"/>
      <c r="G497" s="152"/>
    </row>
    <row r="498" spans="1:7" customFormat="1">
      <c r="A498" s="504"/>
      <c r="B498" s="504"/>
      <c r="C498" s="503"/>
      <c r="D498" s="1008"/>
      <c r="E498" s="1008"/>
      <c r="F498" s="1008"/>
      <c r="G498" s="152"/>
    </row>
    <row r="499" spans="1:7" customFormat="1">
      <c r="A499" s="504"/>
      <c r="B499" s="504"/>
      <c r="C499" s="503"/>
      <c r="D499" s="460"/>
      <c r="E499" s="152"/>
      <c r="F499" s="154"/>
      <c r="G499" s="152"/>
    </row>
    <row r="500" spans="1:7" customFormat="1" ht="13.35" customHeight="1">
      <c r="A500" s="504"/>
      <c r="B500" s="703" t="s">
        <v>329</v>
      </c>
      <c r="C500" s="503"/>
      <c r="D500" s="1021" t="s">
        <v>1389</v>
      </c>
      <c r="E500" s="1021"/>
      <c r="F500" s="1021"/>
      <c r="G500" s="152"/>
    </row>
    <row r="501" spans="1:7" customFormat="1">
      <c r="A501" s="504"/>
      <c r="B501" s="504"/>
      <c r="C501" s="503"/>
      <c r="D501" s="1021"/>
      <c r="E501" s="1021"/>
      <c r="F501" s="1021"/>
      <c r="G501" s="152"/>
    </row>
    <row r="502" spans="1:7" customFormat="1">
      <c r="A502" s="504"/>
      <c r="B502" s="504"/>
      <c r="C502" s="503"/>
      <c r="D502" s="1021"/>
      <c r="E502" s="1021"/>
      <c r="F502" s="1021"/>
      <c r="G502" s="152"/>
    </row>
    <row r="503" spans="1:7" customFormat="1">
      <c r="A503" s="504"/>
      <c r="B503" s="504"/>
      <c r="C503" s="503"/>
      <c r="D503" s="1021"/>
      <c r="E503" s="1021"/>
      <c r="F503" s="1021"/>
      <c r="G503" s="152"/>
    </row>
    <row r="504" spans="1:7" customFormat="1">
      <c r="A504" s="269"/>
      <c r="B504" s="269"/>
      <c r="C504" s="323"/>
      <c r="D504" s="1021"/>
      <c r="E504" s="1021"/>
      <c r="F504" s="1021"/>
      <c r="G504" s="152"/>
    </row>
    <row r="505" spans="1:7" s="741" customFormat="1">
      <c r="A505" s="744"/>
      <c r="B505" s="744"/>
      <c r="C505" s="323"/>
      <c r="D505" s="765"/>
      <c r="E505" s="765"/>
      <c r="F505" s="765"/>
      <c r="G505" s="152"/>
    </row>
    <row r="506" spans="1:7" customFormat="1" ht="14.45" customHeight="1">
      <c r="A506" s="270"/>
      <c r="B506" s="703" t="s">
        <v>329</v>
      </c>
      <c r="C506" s="10"/>
      <c r="D506" s="1008" t="s">
        <v>1247</v>
      </c>
      <c r="E506" s="1008"/>
      <c r="F506" s="1008"/>
      <c r="G506" s="152"/>
    </row>
    <row r="507" spans="1:7" customFormat="1">
      <c r="A507" s="135"/>
      <c r="B507" s="700"/>
      <c r="C507" s="10"/>
      <c r="D507" s="1008"/>
      <c r="E507" s="1008"/>
      <c r="F507" s="1008"/>
      <c r="G507" s="152"/>
    </row>
    <row r="508" spans="1:7" customFormat="1">
      <c r="A508" s="135"/>
      <c r="B508" s="700"/>
      <c r="C508" s="10"/>
      <c r="D508" s="1008"/>
      <c r="E508" s="1008"/>
      <c r="F508" s="1008"/>
      <c r="G508" s="152"/>
    </row>
    <row r="509" spans="1:7" customFormat="1" ht="12" customHeight="1">
      <c r="A509" s="138"/>
      <c r="B509" s="138"/>
      <c r="C509" s="325"/>
      <c r="D509" s="138"/>
      <c r="E509" s="152"/>
      <c r="F509" s="324"/>
      <c r="G509" s="152"/>
    </row>
    <row r="510" spans="1:7">
      <c r="A510" s="987" t="s">
        <v>1210</v>
      </c>
      <c r="B510" s="987"/>
      <c r="C510" s="987"/>
      <c r="D510" s="987"/>
      <c r="E510" s="987"/>
      <c r="F510" s="987"/>
      <c r="G510" s="987"/>
    </row>
    <row r="511" spans="1:7">
      <c r="A511" s="138"/>
      <c r="B511" s="138"/>
      <c r="C511" s="275"/>
      <c r="F511" s="137"/>
    </row>
    <row r="512" spans="1:7">
      <c r="B512" s="983" t="s">
        <v>484</v>
      </c>
      <c r="C512" s="983"/>
      <c r="D512" s="983"/>
      <c r="E512" s="983"/>
      <c r="F512" s="983"/>
    </row>
    <row r="513" spans="1:7">
      <c r="A513" s="138"/>
      <c r="B513" s="138"/>
      <c r="C513" s="275"/>
      <c r="D513" s="138"/>
      <c r="F513" s="138"/>
    </row>
    <row r="514" spans="1:7">
      <c r="A514" s="988" t="s">
        <v>1211</v>
      </c>
      <c r="B514" s="988"/>
      <c r="C514" s="988"/>
      <c r="D514" s="988"/>
      <c r="E514" s="988"/>
      <c r="F514" s="988"/>
      <c r="G514" s="988"/>
    </row>
    <row r="515" spans="1:7">
      <c r="A515" s="138"/>
      <c r="B515" s="138"/>
      <c r="C515" s="275"/>
      <c r="D515" s="138"/>
      <c r="F515" s="138"/>
    </row>
    <row r="516" spans="1:7">
      <c r="C516" s="275"/>
      <c r="D516" s="985" t="s">
        <v>737</v>
      </c>
      <c r="E516" s="985"/>
      <c r="F516" s="985"/>
    </row>
    <row r="517" spans="1:7" s="706" customFormat="1">
      <c r="A517" s="723"/>
      <c r="B517" s="723"/>
      <c r="C517" s="275"/>
      <c r="D517" s="986" t="s">
        <v>1268</v>
      </c>
      <c r="E517" s="986"/>
      <c r="F517" s="986"/>
      <c r="G517" s="7"/>
    </row>
    <row r="518" spans="1:7" s="706" customFormat="1">
      <c r="A518" s="723"/>
      <c r="B518" s="723"/>
      <c r="C518" s="275"/>
      <c r="D518" s="728"/>
      <c r="E518" s="728"/>
      <c r="F518" s="728"/>
      <c r="G518" s="7"/>
    </row>
    <row r="519" spans="1:7" ht="13.35" customHeight="1">
      <c r="A519" s="270"/>
      <c r="B519" s="703" t="s">
        <v>329</v>
      </c>
      <c r="C519" s="275"/>
      <c r="D519" s="986" t="s">
        <v>979</v>
      </c>
      <c r="E519" s="986"/>
      <c r="F519" s="986"/>
      <c r="G519" s="12"/>
    </row>
    <row r="520" spans="1:7" ht="13.35" customHeight="1">
      <c r="A520" s="275"/>
      <c r="B520" s="275"/>
      <c r="C520" s="275"/>
      <c r="D520" s="728"/>
      <c r="E520" s="701"/>
      <c r="F520" s="701"/>
      <c r="G520" s="12"/>
    </row>
    <row r="521" spans="1:7" ht="14.25">
      <c r="A521" s="270"/>
      <c r="B521" s="703" t="s">
        <v>329</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84" t="s">
        <v>1390</v>
      </c>
      <c r="E534" s="984"/>
      <c r="F534" s="984"/>
    </row>
    <row r="535" spans="1:7">
      <c r="A535" s="275"/>
      <c r="B535" s="275"/>
      <c r="C535" s="275"/>
      <c r="D535" s="984"/>
      <c r="E535" s="984"/>
      <c r="F535" s="984"/>
    </row>
    <row r="536" spans="1:7">
      <c r="A536" s="275"/>
      <c r="B536" s="275"/>
      <c r="C536" s="275"/>
      <c r="D536" s="138"/>
      <c r="E536" s="138"/>
      <c r="F536" s="138"/>
    </row>
    <row r="537" spans="1:7" ht="14.25">
      <c r="A537" s="270"/>
      <c r="B537" s="703" t="s">
        <v>329</v>
      </c>
      <c r="C537" s="275"/>
      <c r="D537" s="984" t="s">
        <v>1273</v>
      </c>
      <c r="E537" s="984"/>
      <c r="F537" s="984"/>
    </row>
    <row r="538" spans="1:7">
      <c r="A538" s="275"/>
      <c r="B538" s="275"/>
      <c r="C538" s="275"/>
      <c r="D538" s="984"/>
      <c r="E538" s="984"/>
      <c r="F538" s="984"/>
    </row>
    <row r="539" spans="1:7">
      <c r="A539" s="275"/>
      <c r="B539" s="275"/>
      <c r="C539" s="275"/>
      <c r="D539" s="138"/>
      <c r="E539" s="138"/>
      <c r="F539" s="138"/>
    </row>
    <row r="540" spans="1:7" ht="14.25">
      <c r="A540" s="270"/>
      <c r="B540" s="703" t="s">
        <v>329</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86" t="s">
        <v>1275</v>
      </c>
      <c r="E543" s="986"/>
      <c r="F543" s="986"/>
      <c r="G543" s="57"/>
    </row>
    <row r="544" spans="1:7">
      <c r="A544" s="23"/>
      <c r="B544" s="699"/>
      <c r="C544" s="275"/>
      <c r="D544" s="986" t="s">
        <v>905</v>
      </c>
      <c r="E544" s="986"/>
      <c r="F544" s="986"/>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329</v>
      </c>
      <c r="C547" s="275"/>
      <c r="D547" s="992" t="s">
        <v>1277</v>
      </c>
      <c r="E547" s="992"/>
      <c r="F547" s="992"/>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1279</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7" t="s">
        <v>1212</v>
      </c>
      <c r="B557" s="987"/>
      <c r="C557" s="987"/>
      <c r="D557" s="987"/>
      <c r="E557" s="987"/>
      <c r="F557" s="987"/>
      <c r="G557" s="987"/>
    </row>
    <row r="558" spans="1:7">
      <c r="A558" s="275"/>
      <c r="B558" s="275"/>
      <c r="C558" s="275"/>
      <c r="E558" s="138"/>
      <c r="F558" s="138"/>
      <c r="G558" s="57"/>
    </row>
    <row r="559" spans="1:7" ht="12.75" customHeight="1">
      <c r="C559" s="264"/>
      <c r="D559" s="1003" t="s">
        <v>225</v>
      </c>
      <c r="E559" s="1003"/>
      <c r="F559" s="1003"/>
      <c r="G559" s="57"/>
    </row>
    <row r="560" spans="1:7">
      <c r="A560" s="269"/>
      <c r="B560" s="269"/>
      <c r="C560" s="269"/>
      <c r="D560" s="1009" t="s">
        <v>1228</v>
      </c>
      <c r="E560" s="1009"/>
      <c r="F560" s="1009"/>
      <c r="G560" s="57"/>
    </row>
    <row r="561" spans="1:7">
      <c r="A561" s="12"/>
      <c r="B561" s="12"/>
      <c r="C561" s="269"/>
      <c r="D561" s="393"/>
      <c r="G561" s="57"/>
    </row>
    <row r="562" spans="1:7">
      <c r="A562" s="269"/>
      <c r="B562" s="703" t="s">
        <v>329</v>
      </c>
      <c r="D562" s="1009" t="s">
        <v>985</v>
      </c>
      <c r="E562" s="1009"/>
      <c r="F562" s="1009"/>
      <c r="G562" s="57"/>
    </row>
    <row r="563" spans="1:7">
      <c r="A563" s="23"/>
      <c r="B563" s="699"/>
      <c r="D563" s="335"/>
    </row>
    <row r="564" spans="1:7">
      <c r="A564" s="23"/>
      <c r="B564" s="703" t="s">
        <v>329</v>
      </c>
      <c r="D564" s="1010" t="s">
        <v>1229</v>
      </c>
      <c r="E564" s="1010"/>
      <c r="F564" s="1010"/>
    </row>
    <row r="565" spans="1:7">
      <c r="A565" s="23"/>
      <c r="B565" s="699"/>
      <c r="D565" s="1010"/>
      <c r="E565" s="1010"/>
      <c r="F565" s="1010"/>
    </row>
    <row r="566" spans="1:7">
      <c r="A566" s="23"/>
      <c r="B566" s="712"/>
      <c r="D566" s="1010"/>
      <c r="E566" s="1010"/>
      <c r="F566" s="1010"/>
    </row>
    <row r="567" spans="1:7">
      <c r="A567" s="23"/>
      <c r="B567" s="699"/>
      <c r="D567" s="495"/>
    </row>
    <row r="568" spans="1:7" s="706" customFormat="1">
      <c r="A568" s="712"/>
      <c r="B568" s="703" t="s">
        <v>329</v>
      </c>
      <c r="C568" s="713"/>
      <c r="D568" s="1010" t="s">
        <v>1230</v>
      </c>
      <c r="E568" s="1010"/>
      <c r="F568" s="1010"/>
      <c r="G568" s="7"/>
    </row>
    <row r="569" spans="1:7" s="706" customFormat="1">
      <c r="A569" s="712"/>
      <c r="B569" s="712"/>
      <c r="C569" s="713"/>
      <c r="D569" s="1010"/>
      <c r="E569" s="1010"/>
      <c r="F569" s="1010"/>
      <c r="G569" s="7"/>
    </row>
    <row r="570" spans="1:7" s="706" customFormat="1">
      <c r="A570" s="712"/>
      <c r="B570" s="712"/>
      <c r="C570" s="713"/>
      <c r="D570" s="1010"/>
      <c r="E570" s="1010"/>
      <c r="F570" s="1010"/>
      <c r="G570" s="7"/>
    </row>
    <row r="571" spans="1:7" s="706" customFormat="1">
      <c r="A571" s="712"/>
      <c r="B571" s="712"/>
      <c r="C571" s="713"/>
      <c r="D571" s="1010"/>
      <c r="E571" s="1010"/>
      <c r="F571" s="1010"/>
      <c r="G571" s="7"/>
    </row>
    <row r="572" spans="1:7" s="706" customFormat="1">
      <c r="A572" s="712"/>
      <c r="B572" s="712"/>
      <c r="C572" s="713"/>
      <c r="D572" s="718"/>
      <c r="E572" s="718"/>
      <c r="F572" s="718"/>
      <c r="G572" s="7"/>
    </row>
    <row r="573" spans="1:7">
      <c r="A573" s="23"/>
      <c r="B573" s="703" t="s">
        <v>329</v>
      </c>
      <c r="D573" s="1010" t="s">
        <v>1231</v>
      </c>
      <c r="E573" s="1010"/>
      <c r="F573" s="1010"/>
    </row>
    <row r="574" spans="1:7">
      <c r="A574" s="23"/>
      <c r="B574" s="699"/>
      <c r="D574" s="1010"/>
      <c r="E574" s="1010"/>
      <c r="F574" s="1010"/>
    </row>
    <row r="575" spans="1:7">
      <c r="A575" s="23"/>
      <c r="B575" s="699"/>
      <c r="D575" s="393"/>
    </row>
    <row r="576" spans="1:7" s="706" customFormat="1">
      <c r="A576" s="712"/>
      <c r="B576" s="703" t="s">
        <v>329</v>
      </c>
      <c r="C576" s="713"/>
      <c r="D576" s="1009" t="s">
        <v>1232</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980</v>
      </c>
      <c r="E579" s="1009"/>
      <c r="F579" s="1009"/>
    </row>
    <row r="580" spans="1:7" ht="14.25">
      <c r="A580" s="270"/>
      <c r="B580" s="270"/>
      <c r="D580" s="393"/>
    </row>
    <row r="581" spans="1:7" ht="14.25">
      <c r="A581" s="270"/>
      <c r="B581" s="703" t="s">
        <v>329</v>
      </c>
      <c r="D581" s="1009" t="s">
        <v>1233</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7" t="s">
        <v>1213</v>
      </c>
      <c r="B588" s="987"/>
      <c r="C588" s="987"/>
      <c r="D588" s="987"/>
      <c r="E588" s="987"/>
      <c r="F588" s="987"/>
      <c r="G588" s="987"/>
    </row>
    <row r="589" spans="1:7"/>
    <row r="590" spans="1:7">
      <c r="D590" s="977" t="s">
        <v>1313</v>
      </c>
      <c r="E590" s="977"/>
      <c r="F590" s="977"/>
    </row>
    <row r="591" spans="1:7">
      <c r="D591" s="978" t="s">
        <v>1314</v>
      </c>
      <c r="E591" s="978"/>
      <c r="F591" s="978"/>
    </row>
    <row r="592" spans="1:7" s="743" customFormat="1">
      <c r="A592" s="729"/>
      <c r="B592" s="729"/>
      <c r="C592" s="729"/>
      <c r="D592" s="747"/>
      <c r="E592" s="746"/>
      <c r="F592" s="746"/>
      <c r="G592" s="7"/>
    </row>
    <row r="593" spans="1:7" s="39" customFormat="1" ht="14.25">
      <c r="A593" s="420"/>
      <c r="B593" s="703" t="s">
        <v>329</v>
      </c>
      <c r="C593" s="282"/>
      <c r="D593" s="979" t="s">
        <v>1315</v>
      </c>
      <c r="E593" s="979"/>
      <c r="F593" s="979"/>
      <c r="G593" s="133"/>
    </row>
    <row r="594" spans="1:7">
      <c r="D594" s="979"/>
      <c r="E594" s="979"/>
      <c r="F594" s="979"/>
    </row>
    <row r="595" spans="1:7">
      <c r="D595" s="979"/>
      <c r="E595" s="979"/>
      <c r="F595" s="979"/>
    </row>
    <row r="596" spans="1:7"/>
    <row r="597" spans="1:7">
      <c r="A597" s="987" t="s">
        <v>1214</v>
      </c>
      <c r="B597" s="987"/>
      <c r="C597" s="987"/>
      <c r="D597" s="987"/>
      <c r="E597" s="987"/>
      <c r="F597" s="987"/>
      <c r="G597" s="987"/>
    </row>
    <row r="598" spans="1:7">
      <c r="A598" s="138"/>
      <c r="B598" s="138"/>
      <c r="G598" s="57"/>
    </row>
    <row r="599" spans="1:7">
      <c r="A599" s="266"/>
      <c r="B599" s="698"/>
      <c r="C599" s="264"/>
      <c r="D599" s="980" t="s">
        <v>1316</v>
      </c>
      <c r="E599" s="980"/>
      <c r="F599" s="980"/>
      <c r="G599" s="57"/>
    </row>
    <row r="600" spans="1:7">
      <c r="A600" s="266"/>
      <c r="B600" s="698"/>
      <c r="C600" s="264"/>
      <c r="D600" s="980"/>
      <c r="E600" s="980"/>
      <c r="F600" s="980"/>
      <c r="G600" s="57"/>
    </row>
    <row r="601" spans="1:7">
      <c r="C601" s="269"/>
      <c r="D601" s="978" t="s">
        <v>1317</v>
      </c>
      <c r="E601" s="978"/>
      <c r="F601" s="978"/>
      <c r="G601" s="57"/>
    </row>
    <row r="602" spans="1:7" s="743" customFormat="1">
      <c r="A602" s="729"/>
      <c r="B602" s="729"/>
      <c r="C602" s="744"/>
      <c r="D602" s="748"/>
      <c r="E602" s="748"/>
      <c r="F602" s="748"/>
      <c r="G602" s="57"/>
    </row>
    <row r="603" spans="1:7">
      <c r="A603" s="23"/>
      <c r="B603" s="703" t="s">
        <v>329</v>
      </c>
      <c r="D603" s="978" t="s">
        <v>467</v>
      </c>
      <c r="E603" s="978"/>
      <c r="F603" s="978"/>
      <c r="G603" s="57"/>
    </row>
    <row r="604" spans="1:7">
      <c r="C604" s="277"/>
      <c r="E604" s="12"/>
      <c r="G604" s="57"/>
    </row>
    <row r="605" spans="1:7">
      <c r="A605" s="23"/>
      <c r="B605" s="703" t="s">
        <v>329</v>
      </c>
      <c r="D605" s="981" t="s">
        <v>1318</v>
      </c>
      <c r="E605" s="981"/>
      <c r="F605" s="981"/>
      <c r="G605" s="57"/>
    </row>
    <row r="606" spans="1:7">
      <c r="D606" s="981"/>
      <c r="E606" s="981"/>
      <c r="F606" s="981"/>
      <c r="G606" s="57"/>
    </row>
    <row r="607" spans="1:7">
      <c r="D607" s="12"/>
      <c r="G607" s="57"/>
    </row>
    <row r="608" spans="1:7">
      <c r="B608" s="703" t="s">
        <v>329</v>
      </c>
      <c r="D608" s="981" t="s">
        <v>1319</v>
      </c>
      <c r="E608" s="981"/>
      <c r="F608" s="981"/>
      <c r="G608" s="57"/>
    </row>
    <row r="609" spans="1:7">
      <c r="C609" s="277"/>
      <c r="D609" s="981"/>
      <c r="E609" s="981"/>
      <c r="F609" s="981"/>
      <c r="G609" s="57"/>
    </row>
    <row r="610" spans="1:7">
      <c r="C610" s="277"/>
      <c r="G610" s="57"/>
    </row>
    <row r="611" spans="1:7">
      <c r="B611" s="703" t="s">
        <v>329</v>
      </c>
      <c r="C611" s="277"/>
      <c r="D611" s="981" t="s">
        <v>1320</v>
      </c>
      <c r="E611" s="981"/>
      <c r="F611" s="981"/>
      <c r="G611" s="57"/>
    </row>
    <row r="612" spans="1:7">
      <c r="C612" s="277"/>
      <c r="D612" s="981"/>
      <c r="E612" s="981"/>
      <c r="F612" s="981"/>
      <c r="G612" s="57"/>
    </row>
    <row r="613" spans="1:7">
      <c r="C613" s="277"/>
      <c r="G613" s="57"/>
    </row>
    <row r="614" spans="1:7">
      <c r="A614" s="987" t="s">
        <v>1215</v>
      </c>
      <c r="B614" s="987"/>
      <c r="C614" s="987"/>
      <c r="D614" s="987"/>
      <c r="E614" s="987"/>
      <c r="F614" s="987"/>
      <c r="G614" s="987"/>
    </row>
    <row r="615" spans="1:7">
      <c r="A615" s="276"/>
      <c r="B615" s="276"/>
      <c r="C615" s="276"/>
      <c r="G615" s="57"/>
    </row>
    <row r="616" spans="1:7">
      <c r="C616" s="23"/>
      <c r="D616" s="977" t="s">
        <v>1321</v>
      </c>
      <c r="E616" s="977"/>
      <c r="F616" s="977"/>
      <c r="G616" s="57"/>
    </row>
    <row r="617" spans="1:7">
      <c r="A617" s="23"/>
      <c r="B617" s="699"/>
      <c r="C617" s="274"/>
      <c r="D617" s="50"/>
      <c r="G617" s="57"/>
    </row>
    <row r="618" spans="1:7" ht="14.25">
      <c r="A618" s="270"/>
      <c r="B618" s="703" t="s">
        <v>329</v>
      </c>
      <c r="C618" s="274"/>
      <c r="D618" s="1022" t="s">
        <v>1322</v>
      </c>
      <c r="E618" s="1022"/>
      <c r="F618" s="1022"/>
      <c r="G618" s="57"/>
    </row>
    <row r="619" spans="1:7">
      <c r="C619" s="274"/>
      <c r="D619" s="1022"/>
      <c r="E619" s="1022"/>
      <c r="F619" s="1022"/>
      <c r="G619" s="57"/>
    </row>
    <row r="620" spans="1:7">
      <c r="C620" s="274"/>
      <c r="D620" s="1022"/>
      <c r="E620" s="1022"/>
      <c r="F620" s="1022"/>
      <c r="G620" s="57"/>
    </row>
    <row r="621" spans="1:7">
      <c r="C621" s="274"/>
      <c r="D621" s="1022"/>
      <c r="E621" s="1022"/>
      <c r="F621" s="1022"/>
      <c r="G621" s="57"/>
    </row>
    <row r="622" spans="1:7">
      <c r="C622" s="274"/>
      <c r="D622" s="1022"/>
      <c r="E622" s="1022"/>
      <c r="F622" s="1022"/>
      <c r="G622" s="57"/>
    </row>
    <row r="623" spans="1:7">
      <c r="C623" s="274"/>
      <c r="D623" s="1022"/>
      <c r="E623" s="1022"/>
      <c r="F623" s="1022"/>
      <c r="G623" s="57"/>
    </row>
    <row r="624" spans="1:7" s="743" customFormat="1">
      <c r="A624" s="729"/>
      <c r="B624" s="729"/>
      <c r="C624" s="274"/>
      <c r="D624" s="749"/>
      <c r="E624" s="749"/>
      <c r="F624" s="749"/>
      <c r="G624" s="57"/>
    </row>
    <row r="625" spans="1:7" ht="14.25">
      <c r="A625" s="270"/>
      <c r="B625" s="703" t="s">
        <v>329</v>
      </c>
      <c r="C625" s="274"/>
      <c r="D625" s="1022" t="s">
        <v>1323</v>
      </c>
      <c r="E625" s="1022"/>
      <c r="F625" s="1022"/>
      <c r="G625" s="57"/>
    </row>
    <row r="626" spans="1:7">
      <c r="A626" s="275"/>
      <c r="B626" s="275"/>
      <c r="C626" s="275"/>
      <c r="D626" s="1022"/>
      <c r="E626" s="1022"/>
      <c r="F626" s="1022"/>
      <c r="G626" s="57"/>
    </row>
    <row r="627" spans="1:7">
      <c r="A627" s="275"/>
      <c r="B627" s="275"/>
      <c r="C627" s="275"/>
      <c r="D627" s="154"/>
      <c r="E627" s="150"/>
      <c r="F627" s="150"/>
      <c r="G627" s="57"/>
    </row>
    <row r="628" spans="1:7" ht="14.25">
      <c r="A628" s="270"/>
      <c r="B628" s="703" t="s">
        <v>329</v>
      </c>
      <c r="C628" s="275"/>
      <c r="D628" s="979" t="s">
        <v>1324</v>
      </c>
      <c r="E628" s="979"/>
      <c r="F628" s="979"/>
      <c r="G628" s="57"/>
    </row>
    <row r="629" spans="1:7" ht="14.25">
      <c r="A629" s="270"/>
      <c r="B629" s="270"/>
      <c r="C629" s="275"/>
      <c r="D629" s="979"/>
      <c r="E629" s="979"/>
      <c r="F629" s="979"/>
      <c r="G629" s="57"/>
    </row>
    <row r="630" spans="1:7" ht="14.25">
      <c r="A630" s="270"/>
      <c r="B630" s="270"/>
      <c r="C630" s="275"/>
      <c r="D630" s="979"/>
      <c r="E630" s="979"/>
      <c r="F630" s="979"/>
      <c r="G630" s="57"/>
    </row>
    <row r="631" spans="1:7">
      <c r="A631" s="275"/>
      <c r="B631" s="275"/>
      <c r="C631" s="275"/>
      <c r="D631" s="979"/>
      <c r="E631" s="979"/>
      <c r="F631" s="979"/>
      <c r="G631" s="57"/>
    </row>
    <row r="632" spans="1:7" s="743" customFormat="1">
      <c r="A632" s="275"/>
      <c r="B632" s="275"/>
      <c r="C632" s="275"/>
      <c r="D632" s="750"/>
      <c r="E632" s="750"/>
      <c r="F632" s="750"/>
      <c r="G632" s="57"/>
    </row>
    <row r="633" spans="1:7">
      <c r="A633" s="275"/>
      <c r="B633" s="703" t="s">
        <v>329</v>
      </c>
      <c r="C633" s="275"/>
      <c r="D633" s="1027" t="s">
        <v>1325</v>
      </c>
      <c r="E633" s="1027"/>
      <c r="F633" s="1027"/>
      <c r="G633" s="57"/>
    </row>
    <row r="634" spans="1:7">
      <c r="A634" s="275"/>
      <c r="B634" s="275"/>
      <c r="C634" s="275"/>
      <c r="D634" s="751"/>
      <c r="E634" s="751"/>
      <c r="F634" s="751"/>
      <c r="G634" s="57"/>
    </row>
    <row r="635" spans="1:7">
      <c r="A635" s="987" t="s">
        <v>1216</v>
      </c>
      <c r="B635" s="987"/>
      <c r="C635" s="987"/>
      <c r="D635" s="987"/>
      <c r="E635" s="987"/>
      <c r="F635" s="987"/>
      <c r="G635" s="987"/>
    </row>
    <row r="636" spans="1:7">
      <c r="A636" s="138"/>
      <c r="B636" s="138"/>
      <c r="C636" s="275"/>
      <c r="D636" s="150"/>
      <c r="E636" s="150"/>
      <c r="F636" s="150"/>
      <c r="G636" s="57"/>
    </row>
    <row r="637" spans="1:7">
      <c r="C637" s="276"/>
      <c r="D637" s="1028" t="s">
        <v>1375</v>
      </c>
      <c r="E637" s="1028"/>
      <c r="F637" s="1028"/>
      <c r="G637" s="57"/>
    </row>
    <row r="638" spans="1:7">
      <c r="A638" s="269"/>
      <c r="B638" s="269"/>
      <c r="C638" s="269"/>
      <c r="D638" s="1029" t="s">
        <v>1376</v>
      </c>
      <c r="E638" s="1029"/>
      <c r="F638" s="1029"/>
      <c r="G638" s="57"/>
    </row>
    <row r="639" spans="1:7" s="743" customFormat="1">
      <c r="A639" s="744"/>
      <c r="B639" s="744"/>
      <c r="C639" s="744"/>
      <c r="D639" s="758"/>
      <c r="E639" s="758"/>
      <c r="F639" s="758"/>
      <c r="G639" s="57"/>
    </row>
    <row r="640" spans="1:7" ht="14.45" customHeight="1">
      <c r="A640" s="270"/>
      <c r="B640" s="703" t="s">
        <v>329</v>
      </c>
      <c r="C640" s="275"/>
      <c r="D640" s="975" t="s">
        <v>1377</v>
      </c>
      <c r="E640" s="975"/>
      <c r="F640" s="975"/>
      <c r="G640" s="57"/>
    </row>
    <row r="641" spans="1:11" ht="14.25">
      <c r="A641" s="270"/>
      <c r="B641" s="270"/>
      <c r="C641" s="275"/>
      <c r="D641" s="975"/>
      <c r="E641" s="975"/>
      <c r="F641" s="975"/>
      <c r="G641" s="57"/>
    </row>
    <row r="642" spans="1:11" ht="14.25">
      <c r="A642" s="270"/>
      <c r="B642" s="270"/>
      <c r="C642" s="275"/>
      <c r="D642" s="975"/>
      <c r="E642" s="975"/>
      <c r="F642" s="975"/>
      <c r="G642" s="57"/>
    </row>
    <row r="643" spans="1:11" ht="14.25">
      <c r="A643" s="270"/>
      <c r="B643" s="270"/>
      <c r="C643" s="275"/>
      <c r="D643" s="975"/>
      <c r="E643" s="975"/>
      <c r="F643" s="975"/>
      <c r="G643" s="57"/>
    </row>
    <row r="644" spans="1:11" s="706" customFormat="1" ht="14.25">
      <c r="A644" s="270"/>
      <c r="B644" s="270"/>
      <c r="C644" s="275"/>
      <c r="D644" s="975"/>
      <c r="E644" s="975"/>
      <c r="F644" s="975"/>
      <c r="G644" s="57"/>
    </row>
    <row r="645" spans="1:11" s="743" customFormat="1" ht="14.25">
      <c r="A645" s="738"/>
      <c r="B645" s="738"/>
      <c r="C645" s="275"/>
      <c r="D645" s="760"/>
      <c r="E645" s="760"/>
      <c r="F645" s="760"/>
      <c r="G645" s="57"/>
    </row>
    <row r="646" spans="1:11" s="706" customFormat="1" ht="14.25">
      <c r="A646" s="270"/>
      <c r="B646" s="703" t="s">
        <v>329</v>
      </c>
      <c r="C646" s="275"/>
      <c r="D646" s="1005" t="s">
        <v>1227</v>
      </c>
      <c r="E646" s="1005"/>
      <c r="F646" s="1005"/>
      <c r="G646" s="57"/>
    </row>
    <row r="647" spans="1:11" s="706" customFormat="1" ht="14.25">
      <c r="A647" s="270"/>
      <c r="B647" s="270"/>
      <c r="C647" s="275"/>
      <c r="D647" s="1006" t="s">
        <v>1378</v>
      </c>
      <c r="E647" s="1006"/>
      <c r="F647" s="1006"/>
      <c r="G647" s="57"/>
    </row>
    <row r="648" spans="1:11" s="706" customFormat="1" ht="14.25">
      <c r="A648" s="270"/>
      <c r="B648" s="270"/>
      <c r="C648" s="275"/>
      <c r="D648" s="1006"/>
      <c r="E648" s="1006"/>
      <c r="F648" s="1006"/>
      <c r="G648" s="57"/>
    </row>
    <row r="649" spans="1:11" s="706" customFormat="1" ht="14.25">
      <c r="A649" s="270"/>
      <c r="B649" s="270"/>
      <c r="C649" s="275"/>
      <c r="D649" s="1006"/>
      <c r="E649" s="1006"/>
      <c r="F649" s="1006"/>
      <c r="G649" s="57"/>
    </row>
    <row r="650" spans="1:11" s="706" customFormat="1" ht="14.25">
      <c r="A650" s="270"/>
      <c r="B650" s="270"/>
      <c r="C650" s="275"/>
      <c r="D650" s="1006"/>
      <c r="E650" s="1006"/>
      <c r="F650" s="1006"/>
      <c r="G650" s="57"/>
    </row>
    <row r="651" spans="1:11" s="706" customFormat="1" ht="14.25">
      <c r="A651" s="270"/>
      <c r="B651" s="270"/>
      <c r="C651" s="275"/>
      <c r="D651" s="1006"/>
      <c r="E651" s="1006"/>
      <c r="F651" s="1006"/>
      <c r="G651" s="57"/>
    </row>
    <row r="652" spans="1:11" s="706" customFormat="1" ht="14.25">
      <c r="A652" s="270"/>
      <c r="B652" s="270"/>
      <c r="C652" s="275"/>
      <c r="D652" s="1007" t="s">
        <v>1379</v>
      </c>
      <c r="E652" s="1007"/>
      <c r="F652" s="1007"/>
      <c r="G652" s="57"/>
    </row>
    <row r="653" spans="1:11">
      <c r="A653" s="275"/>
      <c r="B653" s="275"/>
      <c r="C653" s="275"/>
      <c r="D653" s="150"/>
      <c r="E653" s="150"/>
      <c r="F653" s="150"/>
      <c r="G653" s="57"/>
    </row>
    <row r="654" spans="1:11">
      <c r="A654" s="987" t="s">
        <v>1217</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86" t="s">
        <v>1253</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6" t="s">
        <v>981</v>
      </c>
      <c r="E660" s="986"/>
      <c r="F660" s="986"/>
      <c r="G660" s="57"/>
      <c r="H660" s="278"/>
      <c r="I660" s="278"/>
      <c r="J660" s="278"/>
      <c r="K660" s="278"/>
    </row>
    <row r="661" spans="1:11">
      <c r="A661" s="269"/>
      <c r="B661" s="269"/>
      <c r="C661" s="269"/>
      <c r="D661" s="986" t="s">
        <v>992</v>
      </c>
      <c r="E661" s="986"/>
      <c r="F661" s="986"/>
      <c r="G661" s="57"/>
      <c r="H661" s="278"/>
      <c r="I661" s="278"/>
      <c r="J661" s="278"/>
      <c r="K661" s="278"/>
    </row>
    <row r="662" spans="1:11">
      <c r="A662" s="269"/>
      <c r="B662" s="269"/>
      <c r="C662" s="269"/>
      <c r="D662" s="6"/>
      <c r="E662" s="965" t="s">
        <v>1254</v>
      </c>
      <c r="F662" s="965"/>
      <c r="G662" s="57"/>
      <c r="H662" s="278"/>
      <c r="I662" s="278"/>
      <c r="J662" s="278"/>
      <c r="K662" s="278"/>
    </row>
    <row r="663" spans="1:11">
      <c r="A663" s="269"/>
      <c r="B663" s="269"/>
      <c r="C663" s="269"/>
      <c r="D663" s="6"/>
      <c r="E663" s="965"/>
      <c r="F663" s="96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1255</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6" t="s">
        <v>1022</v>
      </c>
      <c r="E669" s="986"/>
      <c r="F669" s="986"/>
      <c r="G669" s="57"/>
      <c r="H669" s="278"/>
      <c r="I669" s="278"/>
      <c r="J669" s="278"/>
      <c r="K669" s="278"/>
    </row>
    <row r="670" spans="1:11" ht="14.25">
      <c r="A670" s="270"/>
      <c r="B670" s="270"/>
      <c r="C670" s="269"/>
      <c r="D670" s="986" t="s">
        <v>992</v>
      </c>
      <c r="E670" s="986"/>
      <c r="F670" s="986"/>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4" t="s">
        <v>1266</v>
      </c>
      <c r="E673" s="984"/>
      <c r="F673" s="984"/>
      <c r="G673" s="57"/>
      <c r="H673" s="278"/>
      <c r="I673" s="278"/>
      <c r="J673" s="278"/>
      <c r="K673" s="278"/>
    </row>
    <row r="674" spans="1:11">
      <c r="A674" s="269"/>
      <c r="B674" s="269"/>
      <c r="C674" s="269"/>
      <c r="D674" s="984"/>
      <c r="E674" s="984"/>
      <c r="F674" s="984"/>
      <c r="G674" s="57"/>
      <c r="H674" s="278"/>
      <c r="I674" s="278"/>
      <c r="J674" s="278"/>
      <c r="K674" s="278"/>
    </row>
    <row r="675" spans="1:11">
      <c r="A675" s="269"/>
      <c r="B675" s="269"/>
      <c r="C675" s="269"/>
      <c r="D675" s="984"/>
      <c r="E675" s="984"/>
      <c r="F675" s="984"/>
      <c r="G675" s="57"/>
      <c r="H675" s="278"/>
      <c r="I675" s="278"/>
      <c r="J675" s="278"/>
      <c r="K675" s="278"/>
    </row>
    <row r="676" spans="1:11">
      <c r="A676" s="269"/>
      <c r="B676" s="269"/>
      <c r="C676" s="269"/>
      <c r="D676" s="984"/>
      <c r="E676" s="984"/>
      <c r="F676" s="984"/>
      <c r="G676" s="57"/>
      <c r="H676" s="278"/>
      <c r="I676" s="278"/>
      <c r="J676" s="278"/>
      <c r="K676" s="278"/>
    </row>
    <row r="677" spans="1:11">
      <c r="A677" s="269"/>
      <c r="B677" s="269"/>
      <c r="C677" s="269"/>
      <c r="D677" s="984"/>
      <c r="E677" s="984"/>
      <c r="F677" s="984"/>
      <c r="G677" s="57"/>
      <c r="H677" s="278"/>
      <c r="I677" s="278"/>
      <c r="J677" s="278"/>
      <c r="K677" s="278"/>
    </row>
    <row r="678" spans="1:11" s="39" customFormat="1">
      <c r="A678" s="504"/>
      <c r="B678" s="504"/>
      <c r="C678" s="504"/>
      <c r="D678" s="984"/>
      <c r="E678" s="984"/>
      <c r="F678" s="98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4" t="s">
        <v>1257</v>
      </c>
      <c r="E680" s="984"/>
      <c r="F680" s="984"/>
      <c r="G680" s="57"/>
      <c r="H680" s="278"/>
      <c r="I680" s="278"/>
      <c r="J680" s="278"/>
      <c r="K680" s="278"/>
    </row>
    <row r="681" spans="1:11">
      <c r="A681" s="269"/>
      <c r="B681" s="269"/>
      <c r="C681" s="269"/>
      <c r="D681" s="984"/>
      <c r="E681" s="984"/>
      <c r="F681" s="984"/>
      <c r="G681" s="57"/>
      <c r="H681" s="278"/>
      <c r="I681" s="278"/>
      <c r="J681" s="278"/>
      <c r="K681" s="278"/>
    </row>
    <row r="682" spans="1:11">
      <c r="A682" s="269"/>
      <c r="B682" s="269"/>
      <c r="C682" s="269"/>
      <c r="D682" s="984"/>
      <c r="E682" s="984"/>
      <c r="F682" s="984"/>
      <c r="G682" s="57"/>
      <c r="H682" s="278"/>
      <c r="I682" s="278"/>
      <c r="J682" s="278"/>
      <c r="K682" s="278"/>
    </row>
    <row r="683" spans="1:11" ht="15" customHeight="1">
      <c r="A683" s="269"/>
      <c r="B683" s="269"/>
      <c r="C683" s="269"/>
      <c r="D683" s="984"/>
      <c r="E683" s="984"/>
      <c r="F683" s="984"/>
      <c r="G683" s="57"/>
      <c r="H683" s="278"/>
      <c r="I683" s="278"/>
      <c r="J683" s="278"/>
      <c r="K683" s="278"/>
    </row>
    <row r="684" spans="1:11" ht="15" customHeight="1">
      <c r="A684" s="269"/>
      <c r="B684" s="269"/>
      <c r="C684" s="269"/>
      <c r="D684" s="984"/>
      <c r="E684" s="984"/>
      <c r="F684" s="984"/>
      <c r="G684" s="57"/>
      <c r="H684" s="278"/>
      <c r="I684" s="278"/>
      <c r="J684" s="278"/>
      <c r="K684" s="278"/>
    </row>
    <row r="685" spans="1:11">
      <c r="A685" s="269"/>
      <c r="B685" s="269"/>
      <c r="C685" s="269"/>
      <c r="D685" s="984"/>
      <c r="E685" s="984"/>
      <c r="F685" s="984"/>
      <c r="G685" s="57"/>
      <c r="H685" s="278"/>
      <c r="I685" s="278"/>
      <c r="J685" s="278"/>
      <c r="K685" s="278"/>
    </row>
    <row r="686" spans="1:11">
      <c r="A686" s="269"/>
      <c r="B686" s="269"/>
      <c r="C686" s="269"/>
      <c r="D686" s="984"/>
      <c r="E686" s="984"/>
      <c r="F686" s="984"/>
      <c r="G686" s="57"/>
      <c r="H686" s="278"/>
      <c r="I686" s="278"/>
      <c r="J686" s="278"/>
      <c r="K686" s="278"/>
    </row>
    <row r="687" spans="1:11">
      <c r="A687" s="269"/>
      <c r="B687" s="269"/>
      <c r="C687" s="269"/>
      <c r="D687" s="984"/>
      <c r="E687" s="984"/>
      <c r="F687" s="984"/>
      <c r="G687" s="57"/>
      <c r="H687" s="278"/>
      <c r="I687" s="278"/>
      <c r="J687" s="278"/>
      <c r="K687" s="278"/>
    </row>
    <row r="688" spans="1:11" ht="15" customHeight="1">
      <c r="A688" s="269"/>
      <c r="B688" s="269"/>
      <c r="C688" s="269"/>
      <c r="D688" s="984"/>
      <c r="E688" s="984"/>
      <c r="F688" s="984"/>
      <c r="G688" s="57"/>
      <c r="H688" s="278"/>
      <c r="I688" s="278"/>
      <c r="J688" s="278"/>
      <c r="K688" s="278"/>
    </row>
    <row r="689" spans="1:11">
      <c r="A689" s="269"/>
      <c r="B689" s="269"/>
      <c r="C689" s="269"/>
      <c r="D689" s="984"/>
      <c r="E689" s="984"/>
      <c r="F689" s="984"/>
      <c r="G689" s="57"/>
      <c r="H689" s="278"/>
      <c r="I689" s="278"/>
      <c r="J689" s="278"/>
      <c r="K689" s="278"/>
    </row>
    <row r="690" spans="1:11">
      <c r="A690" s="269"/>
      <c r="B690" s="269"/>
      <c r="C690" s="269"/>
      <c r="D690" s="984"/>
      <c r="E690" s="984"/>
      <c r="F690" s="984"/>
      <c r="G690" s="57"/>
      <c r="H690" s="278"/>
      <c r="I690" s="278"/>
      <c r="J690" s="278"/>
      <c r="K690" s="278"/>
    </row>
    <row r="691" spans="1:11">
      <c r="A691" s="269"/>
      <c r="B691" s="269"/>
      <c r="C691" s="269"/>
      <c r="D691" s="984"/>
      <c r="E691" s="984"/>
      <c r="F691" s="98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4" t="s">
        <v>1267</v>
      </c>
      <c r="E693" s="984"/>
      <c r="F693" s="984"/>
      <c r="G693" s="57"/>
      <c r="H693" s="278"/>
      <c r="I693" s="278"/>
      <c r="J693" s="278"/>
      <c r="K693" s="278"/>
    </row>
    <row r="694" spans="1:11">
      <c r="A694" s="269"/>
      <c r="B694" s="269"/>
      <c r="C694" s="269"/>
      <c r="D694" s="984"/>
      <c r="E694" s="984"/>
      <c r="F694" s="984"/>
      <c r="G694" s="57"/>
      <c r="H694" s="278"/>
      <c r="I694" s="278"/>
      <c r="J694" s="278"/>
      <c r="K694" s="278"/>
    </row>
    <row r="695" spans="1:11">
      <c r="A695" s="269"/>
      <c r="B695" s="269"/>
      <c r="C695" s="269"/>
      <c r="D695" s="984"/>
      <c r="E695" s="984"/>
      <c r="F695" s="98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4" t="s">
        <v>1264</v>
      </c>
      <c r="E697" s="984"/>
      <c r="F697" s="984"/>
      <c r="G697" s="57"/>
      <c r="H697" s="278"/>
      <c r="I697" s="278"/>
      <c r="J697" s="278"/>
      <c r="K697" s="278"/>
    </row>
    <row r="698" spans="1:11" s="706" customFormat="1">
      <c r="A698" s="269"/>
      <c r="B698" s="269"/>
      <c r="C698" s="269"/>
      <c r="D698" s="984"/>
      <c r="E698" s="984"/>
      <c r="F698" s="98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4" t="s">
        <v>1265</v>
      </c>
      <c r="E700" s="984"/>
      <c r="F700" s="984"/>
      <c r="G700" s="57"/>
      <c r="H700" s="278"/>
      <c r="I700" s="278"/>
      <c r="J700" s="278"/>
      <c r="K700" s="278"/>
    </row>
    <row r="701" spans="1:11" s="706" customFormat="1">
      <c r="A701" s="269"/>
      <c r="B701" s="269"/>
      <c r="C701" s="269"/>
      <c r="D701" s="984"/>
      <c r="E701" s="984"/>
      <c r="F701" s="984"/>
      <c r="G701" s="57"/>
      <c r="H701" s="278"/>
      <c r="I701" s="278"/>
      <c r="J701" s="278"/>
      <c r="K701" s="278"/>
    </row>
    <row r="702" spans="1:11" s="706" customFormat="1">
      <c r="A702" s="269"/>
      <c r="B702" s="269"/>
      <c r="C702" s="269"/>
      <c r="D702" s="984"/>
      <c r="E702" s="984"/>
      <c r="F702" s="98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4" t="s">
        <v>1258</v>
      </c>
      <c r="E704" s="984"/>
      <c r="F704" s="984"/>
      <c r="G704" s="57"/>
      <c r="H704" s="278"/>
      <c r="I704" s="278"/>
      <c r="J704" s="278"/>
      <c r="K704" s="278"/>
    </row>
    <row r="705" spans="1:11">
      <c r="A705" s="269"/>
      <c r="B705" s="269"/>
      <c r="C705" s="269"/>
      <c r="D705" s="984"/>
      <c r="E705" s="984"/>
      <c r="F705" s="984"/>
      <c r="G705" s="57"/>
      <c r="H705" s="278"/>
      <c r="I705" s="278"/>
      <c r="J705" s="278"/>
      <c r="K705" s="278"/>
    </row>
    <row r="706" spans="1:11">
      <c r="A706" s="269"/>
      <c r="B706" s="269"/>
      <c r="C706" s="269"/>
      <c r="D706" s="984"/>
      <c r="E706" s="984"/>
      <c r="F706" s="98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4" t="s">
        <v>1259</v>
      </c>
      <c r="E708" s="984"/>
      <c r="F708" s="984"/>
      <c r="G708" s="57"/>
      <c r="H708" s="278"/>
      <c r="I708" s="278"/>
      <c r="J708" s="278"/>
      <c r="K708" s="278"/>
    </row>
    <row r="709" spans="1:11">
      <c r="A709" s="269"/>
      <c r="B709" s="269"/>
      <c r="C709" s="269"/>
      <c r="D709" s="984"/>
      <c r="E709" s="984"/>
      <c r="F709" s="984"/>
      <c r="G709" s="57"/>
      <c r="H709" s="278"/>
      <c r="I709" s="278"/>
      <c r="J709" s="278"/>
      <c r="K709" s="278"/>
    </row>
    <row r="710" spans="1:11">
      <c r="A710" s="269"/>
      <c r="B710" s="269"/>
      <c r="C710" s="269"/>
      <c r="D710" s="984"/>
      <c r="E710" s="984"/>
      <c r="F710" s="98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1260</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4" t="s">
        <v>1393</v>
      </c>
      <c r="E717" s="984"/>
      <c r="F717" s="984"/>
      <c r="G717" s="57"/>
      <c r="H717" s="278"/>
      <c r="I717" s="278"/>
      <c r="J717" s="278"/>
      <c r="K717" s="278"/>
    </row>
    <row r="718" spans="1:11">
      <c r="A718" s="269"/>
      <c r="B718" s="269"/>
      <c r="C718" s="269"/>
      <c r="D718" s="984"/>
      <c r="E718" s="984"/>
      <c r="F718" s="984"/>
      <c r="G718" s="57"/>
      <c r="H718" s="278"/>
      <c r="I718" s="278"/>
      <c r="J718" s="278"/>
      <c r="K718" s="278"/>
    </row>
    <row r="719" spans="1:11">
      <c r="A719" s="269"/>
      <c r="B719" s="269"/>
      <c r="C719" s="269"/>
      <c r="D719" s="984"/>
      <c r="E719" s="984"/>
      <c r="F719" s="984"/>
      <c r="G719" s="57"/>
      <c r="H719" s="278"/>
      <c r="I719" s="278"/>
      <c r="J719" s="278"/>
      <c r="K719" s="278"/>
    </row>
    <row r="720" spans="1:11">
      <c r="A720" s="269"/>
      <c r="B720" s="269"/>
      <c r="C720" s="269"/>
      <c r="D720" s="984"/>
      <c r="E720" s="984"/>
      <c r="F720" s="984"/>
      <c r="G720" s="57"/>
      <c r="H720" s="278"/>
      <c r="I720" s="278"/>
      <c r="J720" s="278"/>
      <c r="K720" s="278"/>
    </row>
    <row r="721" spans="1:11">
      <c r="A721" s="269"/>
      <c r="B721" s="269"/>
      <c r="C721" s="269"/>
      <c r="D721" s="984"/>
      <c r="E721" s="984"/>
      <c r="F721" s="984"/>
      <c r="G721" s="57"/>
      <c r="H721" s="278"/>
      <c r="I721" s="278"/>
      <c r="J721" s="278"/>
      <c r="K721" s="278"/>
    </row>
    <row r="722" spans="1:11">
      <c r="A722" s="269"/>
      <c r="B722" s="269"/>
      <c r="C722" s="269"/>
      <c r="D722" s="984"/>
      <c r="E722" s="984"/>
      <c r="F722" s="984"/>
      <c r="G722" s="57"/>
      <c r="H722" s="278"/>
      <c r="I722" s="278"/>
      <c r="J722" s="278"/>
      <c r="K722" s="278"/>
    </row>
    <row r="723" spans="1:11">
      <c r="A723" s="269"/>
      <c r="B723" s="269"/>
      <c r="C723" s="269"/>
      <c r="D723" s="984"/>
      <c r="E723" s="984"/>
      <c r="F723" s="984"/>
      <c r="G723" s="57"/>
      <c r="H723" s="278"/>
      <c r="I723" s="278"/>
      <c r="J723" s="278"/>
      <c r="K723" s="278"/>
    </row>
    <row r="724" spans="1:11">
      <c r="A724" s="269"/>
      <c r="B724" s="269"/>
      <c r="C724" s="269"/>
      <c r="D724" s="995" t="s">
        <v>1261</v>
      </c>
      <c r="E724" s="995"/>
      <c r="F724" s="995"/>
      <c r="G724" s="57"/>
      <c r="H724" s="278"/>
      <c r="I724" s="278"/>
      <c r="J724" s="278"/>
      <c r="K724" s="278"/>
    </row>
    <row r="725" spans="1:11" s="706" customFormat="1">
      <c r="A725" s="269"/>
      <c r="B725" s="269"/>
      <c r="C725" s="269"/>
      <c r="D725" s="557"/>
      <c r="E725" s="7"/>
      <c r="F725" s="7"/>
      <c r="G725" s="57"/>
      <c r="H725" s="278"/>
      <c r="I725" s="278"/>
      <c r="J725" s="278"/>
      <c r="K725" s="278"/>
    </row>
    <row r="726" spans="1:11">
      <c r="A726" s="988" t="s">
        <v>1218</v>
      </c>
      <c r="B726" s="988"/>
      <c r="C726" s="988"/>
      <c r="D726" s="988"/>
      <c r="E726" s="988"/>
      <c r="F726" s="988"/>
      <c r="G726" s="988"/>
      <c r="H726" s="278"/>
      <c r="I726" s="278"/>
      <c r="J726" s="278"/>
      <c r="K726" s="278"/>
    </row>
    <row r="727" spans="1:11">
      <c r="A727" s="269"/>
      <c r="B727" s="269"/>
      <c r="C727" s="269"/>
      <c r="D727" s="272"/>
      <c r="G727" s="280"/>
      <c r="H727" s="278"/>
      <c r="I727" s="278"/>
      <c r="J727" s="278"/>
      <c r="K727" s="278"/>
    </row>
    <row r="728" spans="1:11" ht="13.35" customHeight="1">
      <c r="C728" s="269"/>
      <c r="D728" s="1003" t="s">
        <v>1234</v>
      </c>
      <c r="E728" s="1003"/>
      <c r="F728" s="1003"/>
      <c r="G728" s="280"/>
      <c r="H728" s="278"/>
      <c r="I728" s="278"/>
      <c r="J728" s="278"/>
      <c r="K728" s="278"/>
    </row>
    <row r="729" spans="1:11">
      <c r="A729" s="269"/>
      <c r="B729" s="269"/>
      <c r="C729" s="269"/>
      <c r="D729" s="990" t="s">
        <v>1235</v>
      </c>
      <c r="E729" s="990"/>
      <c r="F729" s="990"/>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1236</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04" t="s">
        <v>1238</v>
      </c>
      <c r="E743" s="1004"/>
      <c r="F743" s="1004"/>
      <c r="G743" s="321"/>
    </row>
    <row r="744" spans="1:11" s="426" customFormat="1">
      <c r="A744" s="425"/>
      <c r="B744" s="425"/>
      <c r="C744" s="425"/>
      <c r="D744" s="1004"/>
      <c r="E744" s="1004"/>
      <c r="F744" s="1004"/>
      <c r="G744" s="321"/>
    </row>
    <row r="745" spans="1:11" s="426" customFormat="1">
      <c r="A745" s="425"/>
      <c r="B745" s="425"/>
      <c r="C745" s="425"/>
      <c r="D745" s="1004"/>
      <c r="E745" s="1004"/>
      <c r="F745" s="1004"/>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8" t="s">
        <v>1241</v>
      </c>
      <c r="B754" s="998"/>
      <c r="C754" s="998"/>
      <c r="D754" s="998"/>
      <c r="E754" s="998"/>
      <c r="F754" s="998"/>
      <c r="G754" s="998"/>
    </row>
    <row r="755" spans="1:11">
      <c r="A755" s="269"/>
      <c r="B755" s="269"/>
      <c r="C755" s="269"/>
      <c r="D755" s="285"/>
      <c r="F755" s="150"/>
      <c r="G755" s="280"/>
    </row>
    <row r="756" spans="1:11">
      <c r="A756" s="282"/>
      <c r="B756" s="282"/>
      <c r="C756" s="459"/>
      <c r="D756" s="999" t="s">
        <v>1225</v>
      </c>
      <c r="E756" s="999"/>
      <c r="F756" s="999"/>
      <c r="G756" s="280"/>
    </row>
    <row r="757" spans="1:11">
      <c r="A757" s="523"/>
      <c r="B757" s="523"/>
      <c r="C757" s="522"/>
      <c r="D757" s="1000" t="s">
        <v>1242</v>
      </c>
      <c r="E757" s="1000"/>
      <c r="F757" s="1000"/>
      <c r="G757" s="280"/>
    </row>
    <row r="758" spans="1:11">
      <c r="A758" s="282"/>
      <c r="B758" s="282"/>
      <c r="C758" s="459"/>
      <c r="D758" s="717"/>
      <c r="E758" s="717"/>
      <c r="F758" s="717"/>
      <c r="G758" s="280"/>
    </row>
    <row r="759" spans="1:11" ht="14.25">
      <c r="A759" s="270"/>
      <c r="B759" s="703" t="s">
        <v>329</v>
      </c>
      <c r="C759" s="459"/>
      <c r="D759" s="1001" t="s">
        <v>1103</v>
      </c>
      <c r="E759" s="1001"/>
      <c r="F759" s="1001"/>
      <c r="G759" s="280"/>
    </row>
    <row r="760" spans="1:11">
      <c r="A760" s="282"/>
      <c r="B760" s="282"/>
      <c r="C760" s="459"/>
      <c r="D760" s="716"/>
      <c r="E760" s="1002" t="s">
        <v>1226</v>
      </c>
      <c r="F760" s="1002"/>
      <c r="G760" s="280"/>
    </row>
    <row r="761" spans="1:11">
      <c r="A761" s="276"/>
      <c r="B761" s="276"/>
      <c r="C761" s="276"/>
      <c r="D761" s="138"/>
      <c r="F761" s="57"/>
      <c r="G761" s="280"/>
    </row>
    <row r="762" spans="1:11">
      <c r="A762" s="996" t="s">
        <v>485</v>
      </c>
      <c r="B762" s="996"/>
      <c r="C762" s="996"/>
      <c r="D762" s="996"/>
      <c r="E762" s="996"/>
      <c r="F762" s="996"/>
      <c r="G762" s="996"/>
    </row>
    <row r="763" spans="1:11">
      <c r="A763" s="264"/>
      <c r="B763" s="697"/>
      <c r="C763" s="275"/>
      <c r="D763" s="280"/>
      <c r="E763" s="280"/>
      <c r="F763" s="280"/>
      <c r="G763" s="280"/>
    </row>
    <row r="764" spans="1:11">
      <c r="A764" s="138"/>
      <c r="B764" s="997" t="s">
        <v>1102</v>
      </c>
      <c r="C764" s="997"/>
      <c r="D764" s="997"/>
      <c r="E764" s="997"/>
      <c r="F764" s="997"/>
      <c r="G764" s="280"/>
    </row>
    <row r="765" spans="1:11">
      <c r="A765" s="23"/>
      <c r="B765" s="699"/>
      <c r="G765" s="280"/>
    </row>
    <row r="766" spans="1:11">
      <c r="A766" s="996" t="s">
        <v>486</v>
      </c>
      <c r="B766" s="996"/>
      <c r="C766" s="996"/>
      <c r="D766" s="996"/>
      <c r="E766" s="996"/>
      <c r="F766" s="996"/>
      <c r="G766" s="996"/>
    </row>
    <row r="767" spans="1:11">
      <c r="A767" s="264"/>
      <c r="B767" s="697"/>
      <c r="C767" s="264"/>
      <c r="D767" s="272"/>
      <c r="G767" s="280"/>
    </row>
    <row r="768" spans="1:11">
      <c r="A768" s="138"/>
      <c r="B768" s="993" t="s">
        <v>484</v>
      </c>
      <c r="C768" s="993"/>
      <c r="D768" s="993"/>
      <c r="E768" s="993"/>
      <c r="F768" s="993"/>
      <c r="G768" s="280"/>
    </row>
    <row r="769" spans="1:7" ht="14.25">
      <c r="A769" s="270"/>
      <c r="B769" s="270"/>
      <c r="D769" s="138"/>
      <c r="E769" s="138"/>
      <c r="F769" s="280"/>
      <c r="G769" s="280"/>
    </row>
    <row r="770" spans="1:7">
      <c r="A770" s="996" t="s">
        <v>487</v>
      </c>
      <c r="B770" s="996"/>
      <c r="C770" s="996"/>
      <c r="D770" s="996"/>
      <c r="E770" s="996"/>
      <c r="F770" s="996"/>
      <c r="G770" s="996"/>
    </row>
    <row r="771" spans="1:7">
      <c r="C771" s="269"/>
      <c r="D771" s="268"/>
      <c r="E771" s="138"/>
      <c r="F771" s="280"/>
      <c r="G771" s="280"/>
    </row>
    <row r="772" spans="1:7">
      <c r="A772" s="138"/>
      <c r="B772" s="993" t="s">
        <v>484</v>
      </c>
      <c r="C772" s="993"/>
      <c r="D772" s="993"/>
      <c r="E772" s="993"/>
      <c r="F772" s="993"/>
      <c r="G772" s="280"/>
    </row>
    <row r="773" spans="1:7">
      <c r="A773" s="138"/>
      <c r="B773" s="138"/>
      <c r="C773" s="275"/>
      <c r="D773" s="280"/>
      <c r="E773" s="280"/>
      <c r="F773" s="280"/>
      <c r="G773" s="280"/>
    </row>
    <row r="774" spans="1:7">
      <c r="A774" s="996" t="s">
        <v>488</v>
      </c>
      <c r="B774" s="996"/>
      <c r="C774" s="996"/>
      <c r="D774" s="996"/>
      <c r="E774" s="996"/>
      <c r="F774" s="996"/>
      <c r="G774" s="996"/>
    </row>
    <row r="775" spans="1:7">
      <c r="A775" s="138"/>
      <c r="B775" s="138"/>
    </row>
    <row r="776" spans="1:7">
      <c r="A776" s="138"/>
      <c r="B776" s="993" t="s">
        <v>484</v>
      </c>
      <c r="C776" s="993"/>
      <c r="D776" s="993"/>
      <c r="E776" s="993"/>
      <c r="F776" s="993"/>
    </row>
    <row r="777" spans="1:7">
      <c r="A777" s="275"/>
      <c r="B777" s="275"/>
      <c r="C777" s="275"/>
      <c r="D777" s="267"/>
      <c r="F777" s="280"/>
    </row>
    <row r="778" spans="1:7">
      <c r="A778" s="996" t="s">
        <v>489</v>
      </c>
      <c r="B778" s="996"/>
      <c r="C778" s="996"/>
      <c r="D778" s="996"/>
      <c r="E778" s="996"/>
      <c r="F778" s="996"/>
      <c r="G778" s="996"/>
    </row>
    <row r="779" spans="1:7">
      <c r="A779" s="138"/>
      <c r="B779" s="138"/>
    </row>
    <row r="780" spans="1:7">
      <c r="A780" s="138"/>
      <c r="B780" s="993" t="s">
        <v>484</v>
      </c>
      <c r="C780" s="993"/>
      <c r="D780" s="993"/>
      <c r="E780" s="993"/>
      <c r="F780" s="993"/>
    </row>
    <row r="781" spans="1:7">
      <c r="A781" s="275"/>
      <c r="B781" s="275"/>
      <c r="C781" s="275"/>
      <c r="D781" s="267"/>
      <c r="F781" s="280"/>
    </row>
    <row r="782" spans="1:7">
      <c r="A782" s="996" t="s">
        <v>490</v>
      </c>
      <c r="B782" s="996"/>
      <c r="C782" s="996"/>
      <c r="D782" s="996"/>
      <c r="E782" s="996"/>
      <c r="F782" s="996"/>
      <c r="G782" s="996"/>
    </row>
    <row r="783" spans="1:7">
      <c r="A783" s="138"/>
      <c r="B783" s="138"/>
    </row>
    <row r="784" spans="1:7">
      <c r="A784" s="138"/>
      <c r="B784" s="993" t="s">
        <v>484</v>
      </c>
      <c r="C784" s="993"/>
      <c r="D784" s="993"/>
      <c r="E784" s="993"/>
      <c r="F784" s="993"/>
    </row>
    <row r="785" spans="1:7">
      <c r="A785" s="274"/>
      <c r="B785" s="274"/>
      <c r="C785" s="274"/>
      <c r="D785" s="286"/>
      <c r="E785" s="57"/>
      <c r="F785" s="57"/>
      <c r="G785" s="57"/>
    </row>
    <row r="786" spans="1:7">
      <c r="A786" s="996" t="s">
        <v>200</v>
      </c>
      <c r="B786" s="996"/>
      <c r="C786" s="996"/>
      <c r="D786" s="996"/>
      <c r="E786" s="996"/>
      <c r="F786" s="996"/>
      <c r="G786" s="996"/>
    </row>
    <row r="787" spans="1:7">
      <c r="A787" s="138"/>
      <c r="B787" s="138"/>
    </row>
    <row r="788" spans="1:7">
      <c r="A788" s="138"/>
      <c r="B788" s="993" t="s">
        <v>484</v>
      </c>
      <c r="C788" s="993"/>
      <c r="D788" s="993"/>
      <c r="E788" s="993"/>
      <c r="F788" s="993"/>
    </row>
    <row r="789" spans="1:7">
      <c r="A789" s="138"/>
      <c r="B789" s="138"/>
      <c r="D789" s="267"/>
    </row>
    <row r="790" spans="1:7">
      <c r="A790" s="996" t="s">
        <v>968</v>
      </c>
      <c r="B790" s="996"/>
      <c r="C790" s="996"/>
      <c r="D790" s="996"/>
      <c r="E790" s="996"/>
      <c r="F790" s="996"/>
      <c r="G790" s="996"/>
    </row>
    <row r="791" spans="1:7">
      <c r="A791" s="138"/>
      <c r="B791" s="138"/>
    </row>
    <row r="792" spans="1:7">
      <c r="A792" s="138"/>
      <c r="B792" s="993" t="s">
        <v>484</v>
      </c>
      <c r="C792" s="993"/>
      <c r="D792" s="993"/>
      <c r="E792" s="993"/>
      <c r="F792" s="99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3" t="s">
        <v>1473</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69" t="s">
        <v>1132</v>
      </c>
      <c r="B76" s="969"/>
      <c r="C76" s="969"/>
      <c r="D76" s="969"/>
      <c r="E76" s="969"/>
    </row>
    <row r="77" spans="1:9" ht="12.75">
      <c r="A77" s="969" t="s">
        <v>1439</v>
      </c>
      <c r="B77" s="969"/>
      <c r="C77" s="969"/>
      <c r="D77" s="969"/>
      <c r="E77" s="969"/>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6" t="s">
        <v>1561</v>
      </c>
      <c r="B2" s="1076"/>
      <c r="C2" s="1077"/>
      <c r="D2" s="1077"/>
      <c r="E2" s="1077"/>
      <c r="F2" s="1077"/>
      <c r="G2" s="1077"/>
    </row>
    <row r="3" spans="1:9">
      <c r="A3" s="1083" t="s">
        <v>1564</v>
      </c>
      <c r="B3" s="1083"/>
      <c r="C3" s="1084"/>
      <c r="D3" s="1084"/>
      <c r="E3" s="1084"/>
      <c r="F3" s="1084"/>
      <c r="G3" s="1084"/>
      <c r="I3" s="717" t="s">
        <v>1199</v>
      </c>
    </row>
    <row r="4" spans="1:9">
      <c r="A4" s="1080" t="s">
        <v>1563</v>
      </c>
      <c r="B4" s="1080"/>
      <c r="C4" s="1085"/>
      <c r="D4" s="1085"/>
      <c r="E4" s="1085"/>
      <c r="F4" s="1085"/>
      <c r="G4" s="1085"/>
      <c r="I4" s="717"/>
    </row>
    <row r="5" spans="1:9" s="816" customFormat="1">
      <c r="A5" s="1080"/>
      <c r="B5" s="1080"/>
      <c r="C5" s="1081"/>
      <c r="D5" s="1081"/>
      <c r="E5" s="1081"/>
      <c r="F5" s="1081"/>
      <c r="G5" s="1081"/>
      <c r="I5" s="717" t="s">
        <v>1200</v>
      </c>
    </row>
    <row r="6" spans="1:9" s="816" customFormat="1">
      <c r="A6" s="1078" t="s">
        <v>1295</v>
      </c>
      <c r="B6" s="1078"/>
      <c r="C6" s="1079"/>
      <c r="D6" s="1079"/>
      <c r="E6" s="1079"/>
      <c r="F6" s="1079"/>
      <c r="G6" s="1079"/>
    </row>
    <row r="7" spans="1:9" s="816" customFormat="1">
      <c r="A7" s="1078" t="s">
        <v>1296</v>
      </c>
      <c r="B7" s="1078"/>
      <c r="C7" s="1079"/>
      <c r="D7" s="1079"/>
      <c r="E7" s="1079"/>
      <c r="F7" s="1079"/>
      <c r="G7" s="1079"/>
    </row>
    <row r="8" spans="1:9">
      <c r="A8" s="817"/>
      <c r="B8" s="817"/>
      <c r="C8" s="818"/>
      <c r="D8" s="818"/>
      <c r="E8" s="818"/>
      <c r="F8" s="818"/>
    </row>
    <row r="9" spans="1:9">
      <c r="A9" s="1017" t="s">
        <v>1298</v>
      </c>
      <c r="B9" s="1017"/>
      <c r="C9" s="1017"/>
      <c r="D9" s="1017"/>
      <c r="E9" s="1017"/>
      <c r="F9" s="1017"/>
      <c r="G9" s="1017"/>
    </row>
    <row r="10" spans="1:9">
      <c r="A10" s="818"/>
      <c r="B10" s="818"/>
      <c r="E10" s="819"/>
    </row>
    <row r="11" spans="1:9" ht="13.7" customHeight="1">
      <c r="C11" s="818"/>
      <c r="D11" s="1065" t="s">
        <v>1297</v>
      </c>
      <c r="E11" s="1065"/>
      <c r="F11" s="1065"/>
    </row>
    <row r="12" spans="1:9">
      <c r="C12" s="818"/>
      <c r="D12" s="1065"/>
      <c r="E12" s="1065"/>
      <c r="F12" s="1065"/>
    </row>
    <row r="13" spans="1:9">
      <c r="A13" s="820"/>
      <c r="B13" s="820"/>
      <c r="C13" s="820"/>
      <c r="D13" s="1027" t="s">
        <v>1280</v>
      </c>
      <c r="E13" s="1027"/>
      <c r="F13" s="1027"/>
    </row>
    <row r="14" spans="1:9">
      <c r="A14" s="820"/>
      <c r="B14" s="820"/>
      <c r="C14" s="820"/>
      <c r="D14" s="821"/>
    </row>
    <row r="15" spans="1:9" ht="14.25">
      <c r="A15" s="822"/>
      <c r="B15" s="823" t="s">
        <v>329</v>
      </c>
      <c r="C15" s="824"/>
      <c r="D15" s="1022" t="s">
        <v>1281</v>
      </c>
      <c r="E15" s="1022"/>
      <c r="F15" s="1022"/>
    </row>
    <row r="16" spans="1:9">
      <c r="A16" s="820"/>
      <c r="B16" s="820"/>
      <c r="C16" s="824"/>
      <c r="D16" s="1022"/>
      <c r="E16" s="1022"/>
      <c r="F16" s="1022"/>
    </row>
    <row r="17" spans="1:7">
      <c r="A17" s="820"/>
      <c r="B17" s="820"/>
      <c r="C17" s="824"/>
      <c r="D17" s="1022"/>
      <c r="E17" s="1022"/>
      <c r="F17" s="1022"/>
    </row>
    <row r="18" spans="1:7">
      <c r="A18" s="820"/>
      <c r="B18" s="820"/>
      <c r="C18" s="820"/>
    </row>
    <row r="19" spans="1:7" ht="14.25">
      <c r="A19" s="822"/>
      <c r="B19" s="823" t="s">
        <v>329</v>
      </c>
      <c r="D19" s="1001" t="s">
        <v>1282</v>
      </c>
      <c r="E19" s="1001"/>
      <c r="F19" s="1001"/>
    </row>
    <row r="20" spans="1:7" ht="14.25">
      <c r="A20" s="822"/>
      <c r="B20" s="822"/>
      <c r="D20" s="825"/>
    </row>
    <row r="21" spans="1:7" ht="14.25">
      <c r="A21" s="822"/>
      <c r="B21" s="823" t="s">
        <v>329</v>
      </c>
      <c r="D21" s="1022" t="s">
        <v>1283</v>
      </c>
      <c r="E21" s="1022"/>
      <c r="F21" s="1022"/>
    </row>
    <row r="22" spans="1:7" ht="14.25">
      <c r="A22" s="822"/>
      <c r="B22" s="822"/>
      <c r="D22" s="1022"/>
      <c r="E22" s="1022"/>
      <c r="F22" s="1022"/>
    </row>
    <row r="23" spans="1:7"/>
    <row r="24" spans="1:7" ht="14.25">
      <c r="A24" s="822"/>
      <c r="B24" s="823" t="s">
        <v>329</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979" t="s">
        <v>1285</v>
      </c>
      <c r="E30" s="979"/>
      <c r="F30" s="979"/>
      <c r="G30" s="827"/>
    </row>
    <row r="31" spans="1:7" s="816" customFormat="1">
      <c r="A31" s="826"/>
      <c r="B31" s="826"/>
      <c r="C31" s="826"/>
      <c r="D31" s="979"/>
      <c r="E31" s="979"/>
      <c r="F31" s="979"/>
      <c r="G31" s="827"/>
    </row>
    <row r="32" spans="1:7" ht="14.25">
      <c r="A32" s="822"/>
      <c r="B32" s="822"/>
      <c r="D32" s="828"/>
    </row>
    <row r="33" spans="1:6" ht="14.45" customHeight="1">
      <c r="A33" s="822"/>
      <c r="B33" s="823" t="s">
        <v>329</v>
      </c>
      <c r="D33" s="979" t="s">
        <v>1474</v>
      </c>
      <c r="E33" s="979"/>
      <c r="F33" s="979"/>
    </row>
    <row r="34" spans="1:6" ht="14.25">
      <c r="A34" s="822"/>
      <c r="B34" s="822"/>
      <c r="D34" s="979"/>
      <c r="E34" s="979"/>
      <c r="F34" s="979"/>
    </row>
    <row r="35" spans="1:6" ht="14.25">
      <c r="A35" s="822"/>
      <c r="B35" s="822"/>
      <c r="D35" s="979"/>
      <c r="E35" s="979"/>
      <c r="F35" s="979"/>
    </row>
    <row r="36" spans="1:6" ht="14.25">
      <c r="A36" s="822"/>
      <c r="B36" s="822"/>
      <c r="D36" s="979"/>
      <c r="E36" s="979"/>
      <c r="F36" s="979"/>
    </row>
    <row r="37" spans="1:6" ht="14.25">
      <c r="A37" s="822"/>
      <c r="B37" s="822"/>
      <c r="D37" s="815"/>
    </row>
    <row r="38" spans="1:6" ht="14.25">
      <c r="A38" s="822"/>
      <c r="B38" s="823" t="s">
        <v>329</v>
      </c>
      <c r="D38" s="979" t="s">
        <v>1287</v>
      </c>
      <c r="E38" s="979"/>
      <c r="F38" s="979"/>
    </row>
    <row r="39" spans="1:6" ht="14.25">
      <c r="A39" s="822"/>
      <c r="B39" s="822"/>
      <c r="D39" s="979"/>
      <c r="E39" s="979"/>
      <c r="F39" s="979"/>
    </row>
    <row r="40" spans="1:6" ht="14.25">
      <c r="A40" s="822"/>
      <c r="B40" s="822"/>
      <c r="D40" s="979"/>
      <c r="E40" s="979"/>
      <c r="F40" s="979"/>
    </row>
    <row r="41" spans="1:6" ht="14.25">
      <c r="A41" s="822"/>
      <c r="B41" s="822"/>
      <c r="D41" s="979"/>
      <c r="E41" s="979"/>
      <c r="F41" s="979"/>
    </row>
    <row r="42" spans="1:6" ht="14.25">
      <c r="A42" s="822"/>
      <c r="B42" s="822"/>
      <c r="D42" s="979"/>
      <c r="E42" s="979"/>
      <c r="F42" s="979"/>
    </row>
    <row r="43" spans="1:6" ht="14.25">
      <c r="A43" s="822"/>
      <c r="B43" s="822"/>
      <c r="D43" s="805"/>
      <c r="E43" s="805"/>
      <c r="F43" s="805"/>
    </row>
    <row r="44" spans="1:6" ht="14.25">
      <c r="A44" s="822"/>
      <c r="B44" s="823" t="s">
        <v>329</v>
      </c>
      <c r="D44" s="979" t="s">
        <v>1288</v>
      </c>
      <c r="E44" s="979"/>
      <c r="F44" s="979"/>
    </row>
    <row r="45" spans="1:6" ht="14.25">
      <c r="A45" s="822"/>
      <c r="B45" s="822"/>
      <c r="D45" s="979"/>
      <c r="E45" s="979"/>
      <c r="F45" s="979"/>
    </row>
    <row r="46" spans="1:6" ht="14.25">
      <c r="A46" s="822"/>
      <c r="B46" s="822"/>
      <c r="D46" s="979"/>
      <c r="E46" s="979"/>
      <c r="F46" s="979"/>
    </row>
    <row r="47" spans="1:6" ht="23.25" customHeight="1">
      <c r="A47" s="822"/>
      <c r="B47" s="822"/>
      <c r="D47" s="979"/>
      <c r="E47" s="979"/>
      <c r="F47" s="979"/>
    </row>
    <row r="48" spans="1:6" ht="14.25">
      <c r="A48" s="822"/>
      <c r="B48" s="822"/>
      <c r="D48" s="810"/>
    </row>
    <row r="49" spans="1:7" ht="14.45" customHeight="1">
      <c r="A49" s="822"/>
      <c r="B49" s="823" t="s">
        <v>329</v>
      </c>
      <c r="D49" s="979" t="s">
        <v>1289</v>
      </c>
      <c r="E49" s="979"/>
      <c r="F49" s="979"/>
    </row>
    <row r="50" spans="1:7" ht="14.25">
      <c r="A50" s="822"/>
      <c r="B50" s="822"/>
      <c r="D50" s="979"/>
      <c r="E50" s="979"/>
      <c r="F50" s="979"/>
    </row>
    <row r="51" spans="1:7" ht="14.25">
      <c r="A51" s="822"/>
      <c r="B51" s="822"/>
      <c r="D51" s="979"/>
      <c r="E51" s="979"/>
      <c r="F51" s="979"/>
    </row>
    <row r="52" spans="1:7" s="642" customFormat="1" ht="14.25">
      <c r="A52" s="822"/>
      <c r="B52" s="822"/>
      <c r="C52" s="829"/>
      <c r="D52" s="827"/>
      <c r="E52" s="717"/>
      <c r="F52" s="717"/>
      <c r="G52" s="717"/>
    </row>
    <row r="53" spans="1:7" s="642" customFormat="1" ht="14.25">
      <c r="A53" s="830"/>
      <c r="B53" s="823" t="s">
        <v>329</v>
      </c>
      <c r="C53" s="831"/>
      <c r="D53" s="979" t="s">
        <v>1290</v>
      </c>
      <c r="E53" s="979"/>
      <c r="F53" s="979"/>
      <c r="G53" s="717"/>
    </row>
    <row r="54" spans="1:7" s="642" customFormat="1" ht="14.25">
      <c r="A54" s="830"/>
      <c r="B54" s="830"/>
      <c r="C54" s="831"/>
      <c r="D54" s="979"/>
      <c r="E54" s="979"/>
      <c r="F54" s="979"/>
      <c r="G54" s="717"/>
    </row>
    <row r="55" spans="1:7" s="816" customFormat="1">
      <c r="A55" s="826"/>
      <c r="B55" s="826"/>
      <c r="C55" s="826"/>
      <c r="D55" s="757"/>
      <c r="E55" s="827"/>
      <c r="F55" s="827"/>
      <c r="G55" s="827"/>
    </row>
    <row r="56" spans="1:7" ht="14.25">
      <c r="A56" s="822"/>
      <c r="B56" s="823" t="s">
        <v>329</v>
      </c>
      <c r="D56" s="979" t="s">
        <v>1291</v>
      </c>
      <c r="E56" s="979"/>
      <c r="F56" s="979"/>
    </row>
    <row r="57" spans="1:7">
      <c r="D57" s="979"/>
      <c r="E57" s="979"/>
      <c r="F57" s="979"/>
    </row>
    <row r="58" spans="1:7">
      <c r="D58" s="979"/>
      <c r="E58" s="979"/>
      <c r="F58" s="979"/>
    </row>
    <row r="59" spans="1:7">
      <c r="D59" s="717"/>
    </row>
    <row r="60" spans="1:7" ht="14.25">
      <c r="A60" s="822"/>
      <c r="B60" s="823" t="s">
        <v>329</v>
      </c>
      <c r="D60" s="979" t="s">
        <v>1292</v>
      </c>
      <c r="E60" s="979"/>
      <c r="F60" s="979"/>
    </row>
    <row r="61" spans="1:7">
      <c r="D61" s="979"/>
      <c r="E61" s="979"/>
      <c r="F61" s="979"/>
    </row>
    <row r="62" spans="1:7"/>
    <row r="63" spans="1:7" ht="14.25">
      <c r="A63" s="822"/>
      <c r="B63" s="823" t="s">
        <v>329</v>
      </c>
      <c r="D63" s="979" t="s">
        <v>1293</v>
      </c>
      <c r="E63" s="979"/>
      <c r="F63" s="979"/>
    </row>
    <row r="64" spans="1:7">
      <c r="D64" s="979"/>
      <c r="E64" s="979"/>
      <c r="F64" s="979"/>
    </row>
    <row r="65" spans="1:7">
      <c r="D65" s="979"/>
      <c r="E65" s="979"/>
      <c r="F65" s="979"/>
    </row>
    <row r="66" spans="1:7">
      <c r="D66" s="815"/>
    </row>
    <row r="67" spans="1:7" ht="14.25">
      <c r="A67" s="822"/>
      <c r="B67" s="823" t="s">
        <v>329</v>
      </c>
      <c r="D67" s="1022" t="s">
        <v>1294</v>
      </c>
      <c r="E67" s="1022"/>
      <c r="F67" s="1022"/>
    </row>
    <row r="68" spans="1:7">
      <c r="D68" s="1022"/>
      <c r="E68" s="1022"/>
      <c r="F68" s="1022"/>
    </row>
    <row r="69" spans="1:7" ht="14.25">
      <c r="A69" s="822"/>
      <c r="B69" s="822"/>
      <c r="D69" s="825"/>
    </row>
    <row r="70" spans="1:7">
      <c r="A70" s="987" t="s">
        <v>1201</v>
      </c>
      <c r="B70" s="987"/>
      <c r="C70" s="987"/>
      <c r="D70" s="987"/>
      <c r="E70" s="987"/>
      <c r="F70" s="987"/>
      <c r="G70" s="987"/>
    </row>
    <row r="71" spans="1:7"/>
    <row r="72" spans="1:7">
      <c r="C72" s="832"/>
      <c r="D72" s="1064" t="s">
        <v>1299</v>
      </c>
      <c r="E72" s="1064"/>
      <c r="F72" s="1064"/>
    </row>
    <row r="73" spans="1:7">
      <c r="A73" s="825"/>
      <c r="B73" s="825"/>
      <c r="D73" s="1022" t="s">
        <v>1326</v>
      </c>
      <c r="E73" s="1022"/>
      <c r="F73" s="1022"/>
    </row>
    <row r="74" spans="1:7">
      <c r="A74" s="825"/>
      <c r="B74" s="825"/>
    </row>
    <row r="75" spans="1:7" ht="13.7" customHeight="1">
      <c r="A75" s="822"/>
      <c r="B75" s="823" t="s">
        <v>329</v>
      </c>
      <c r="D75" s="1022" t="s">
        <v>1528</v>
      </c>
      <c r="E75" s="1022"/>
      <c r="F75" s="1022"/>
    </row>
    <row r="76" spans="1:7" ht="14.25">
      <c r="A76" s="822"/>
      <c r="B76" s="822"/>
      <c r="D76" s="1022"/>
      <c r="E76" s="1022"/>
      <c r="F76" s="1022"/>
    </row>
    <row r="77" spans="1:7" ht="14.25">
      <c r="A77" s="822"/>
      <c r="B77" s="822"/>
      <c r="D77" s="1022"/>
      <c r="E77" s="1022"/>
      <c r="F77" s="1022"/>
    </row>
    <row r="78" spans="1:7" ht="14.25">
      <c r="A78" s="822"/>
      <c r="B78" s="822"/>
      <c r="D78" s="1022"/>
      <c r="E78" s="1022"/>
      <c r="F78" s="1022"/>
    </row>
    <row r="79" spans="1:7" ht="14.25">
      <c r="A79" s="822"/>
      <c r="B79" s="822"/>
      <c r="D79" s="1022"/>
      <c r="E79" s="1022"/>
      <c r="F79" s="1022"/>
    </row>
    <row r="80" spans="1:7" ht="14.25">
      <c r="A80" s="822"/>
      <c r="B80" s="822"/>
      <c r="D80" s="1022"/>
      <c r="E80" s="1022"/>
      <c r="F80" s="1022"/>
    </row>
    <row r="81" spans="1:6" ht="14.25">
      <c r="A81" s="822"/>
      <c r="B81" s="822"/>
      <c r="D81" s="1022"/>
      <c r="E81" s="1022"/>
      <c r="F81" s="1022"/>
    </row>
    <row r="82" spans="1:6" ht="14.25">
      <c r="A82" s="822"/>
      <c r="B82" s="822"/>
      <c r="D82" s="1022"/>
      <c r="E82" s="1022"/>
      <c r="F82" s="1022"/>
    </row>
    <row r="83" spans="1:6" s="815" customFormat="1" ht="14.25">
      <c r="A83" s="822"/>
      <c r="B83" s="822"/>
      <c r="C83" s="813"/>
      <c r="D83" s="1022"/>
      <c r="E83" s="1022"/>
      <c r="F83" s="1022"/>
    </row>
    <row r="84" spans="1:6" s="815" customFormat="1" ht="14.45" customHeight="1">
      <c r="A84" s="822"/>
      <c r="B84" s="823" t="s">
        <v>329</v>
      </c>
      <c r="C84" s="813"/>
      <c r="D84" s="1022" t="s">
        <v>1446</v>
      </c>
      <c r="E84" s="1022"/>
      <c r="F84" s="1022"/>
    </row>
    <row r="85" spans="1:6" s="815" customFormat="1" ht="14.25">
      <c r="A85" s="822"/>
      <c r="B85" s="822"/>
      <c r="C85" s="813"/>
      <c r="D85" s="1022"/>
      <c r="E85" s="1022"/>
      <c r="F85" s="1022"/>
    </row>
    <row r="86" spans="1:6" s="815" customFormat="1" ht="14.25">
      <c r="A86" s="822"/>
      <c r="B86" s="822"/>
      <c r="C86" s="813"/>
      <c r="D86" s="1022"/>
      <c r="E86" s="1022"/>
      <c r="F86" s="1022"/>
    </row>
    <row r="87" spans="1:6" s="815" customFormat="1" ht="14.25">
      <c r="A87" s="822"/>
      <c r="B87" s="822"/>
      <c r="C87" s="813"/>
      <c r="D87" s="1022"/>
      <c r="E87" s="1022"/>
      <c r="F87" s="1022"/>
    </row>
    <row r="88" spans="1:6" s="815" customFormat="1" ht="14.25">
      <c r="A88" s="822"/>
      <c r="B88" s="822"/>
      <c r="C88" s="813"/>
      <c r="D88" s="1022"/>
      <c r="E88" s="1022"/>
      <c r="F88" s="1022"/>
    </row>
    <row r="89" spans="1:6" s="815" customFormat="1" ht="14.25">
      <c r="A89" s="822"/>
      <c r="B89" s="822"/>
      <c r="C89" s="813"/>
      <c r="D89" s="1022"/>
      <c r="E89" s="1022"/>
      <c r="F89" s="1022"/>
    </row>
    <row r="90" spans="1:6" s="815" customFormat="1" ht="14.25">
      <c r="A90" s="822"/>
      <c r="B90" s="822"/>
      <c r="C90" s="813"/>
      <c r="D90" s="1022"/>
      <c r="E90" s="1022"/>
      <c r="F90" s="1022"/>
    </row>
    <row r="91" spans="1:6" s="815" customFormat="1" ht="14.25">
      <c r="A91" s="822"/>
      <c r="B91" s="822"/>
      <c r="C91" s="813"/>
      <c r="D91" s="1022"/>
      <c r="E91" s="1022"/>
      <c r="F91" s="1022"/>
    </row>
    <row r="92" spans="1:6" s="815" customFormat="1" ht="14.25">
      <c r="A92" s="822"/>
      <c r="B92" s="822"/>
      <c r="C92" s="813"/>
      <c r="D92" s="1022"/>
      <c r="E92" s="1022"/>
      <c r="F92" s="1022"/>
    </row>
    <row r="93" spans="1:6" s="815" customFormat="1" ht="14.25">
      <c r="A93" s="822"/>
      <c r="B93" s="822"/>
      <c r="C93" s="813"/>
      <c r="D93" s="1022"/>
      <c r="E93" s="1022"/>
      <c r="F93" s="1022"/>
    </row>
    <row r="94" spans="1:6" s="815" customFormat="1" ht="14.25">
      <c r="A94" s="822"/>
      <c r="B94" s="822"/>
      <c r="C94" s="813"/>
      <c r="D94" s="1022"/>
      <c r="E94" s="1022"/>
      <c r="F94" s="1022"/>
    </row>
    <row r="95" spans="1:6" s="815" customFormat="1" ht="14.25">
      <c r="A95" s="822"/>
      <c r="B95" s="822"/>
      <c r="C95" s="813"/>
      <c r="D95" s="1022"/>
      <c r="E95" s="1022"/>
      <c r="F95" s="1022"/>
    </row>
    <row r="96" spans="1:6" s="815" customFormat="1" ht="14.25">
      <c r="A96" s="822"/>
      <c r="B96" s="822"/>
      <c r="C96" s="813"/>
      <c r="D96" s="1022"/>
      <c r="E96" s="1022"/>
      <c r="F96" s="1022"/>
    </row>
    <row r="97" spans="1:11" ht="14.25">
      <c r="A97" s="822"/>
      <c r="B97" s="822"/>
      <c r="D97" s="1022"/>
      <c r="E97" s="1022"/>
      <c r="F97" s="1022"/>
    </row>
    <row r="98" spans="1:11" ht="14.25">
      <c r="A98" s="822"/>
      <c r="B98" s="822"/>
      <c r="D98" s="1022"/>
      <c r="E98" s="1022"/>
      <c r="F98" s="1022"/>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22" t="s">
        <v>1304</v>
      </c>
      <c r="E112" s="1022"/>
      <c r="F112" s="1022"/>
    </row>
    <row r="113" spans="1:7">
      <c r="C113" s="829"/>
      <c r="D113" s="1022"/>
      <c r="E113" s="1022"/>
      <c r="F113" s="1022"/>
    </row>
    <row r="114" spans="1:7">
      <c r="C114" s="829"/>
      <c r="D114" s="1022"/>
      <c r="E114" s="1022"/>
      <c r="F114" s="1022"/>
    </row>
    <row r="115" spans="1:7">
      <c r="C115" s="829"/>
      <c r="D115" s="1022"/>
      <c r="E115" s="1022"/>
      <c r="F115" s="1022"/>
    </row>
    <row r="116" spans="1:7">
      <c r="C116" s="829"/>
      <c r="D116" s="1022"/>
      <c r="E116" s="1022"/>
      <c r="F116" s="1022"/>
    </row>
    <row r="117" spans="1:7">
      <c r="C117" s="829"/>
      <c r="D117" s="696"/>
      <c r="E117" s="696"/>
      <c r="F117" s="696"/>
    </row>
    <row r="118" spans="1:7" s="746" customFormat="1" ht="14.25">
      <c r="A118" s="822"/>
      <c r="B118" s="823" t="s">
        <v>329</v>
      </c>
      <c r="C118" s="829"/>
      <c r="D118" s="979" t="s">
        <v>1305</v>
      </c>
      <c r="E118" s="979"/>
      <c r="F118" s="979"/>
      <c r="G118" s="696"/>
    </row>
    <row r="119" spans="1:7" s="837" customFormat="1" ht="13.7" customHeight="1">
      <c r="A119" s="834"/>
      <c r="B119" s="834"/>
      <c r="C119" s="835"/>
      <c r="D119" s="979"/>
      <c r="E119" s="979"/>
      <c r="F119" s="979"/>
      <c r="G119" s="836"/>
    </row>
    <row r="120" spans="1:7" s="746" customFormat="1" ht="13.7" customHeight="1">
      <c r="A120" s="813"/>
      <c r="B120" s="813"/>
      <c r="C120" s="829"/>
      <c r="D120" s="979"/>
      <c r="E120" s="979"/>
      <c r="F120" s="979"/>
      <c r="G120" s="696"/>
    </row>
    <row r="121" spans="1:7" s="746" customFormat="1" ht="13.7" customHeight="1">
      <c r="A121" s="813"/>
      <c r="B121" s="813"/>
      <c r="C121" s="829"/>
      <c r="D121" s="979"/>
      <c r="E121" s="979"/>
      <c r="F121" s="979"/>
      <c r="G121" s="696"/>
    </row>
    <row r="122" spans="1:7" s="746" customFormat="1" ht="13.7" customHeight="1">
      <c r="A122" s="813"/>
      <c r="B122" s="813"/>
      <c r="C122" s="829"/>
      <c r="D122" s="979"/>
      <c r="E122" s="979"/>
      <c r="F122" s="979"/>
      <c r="G122" s="696"/>
    </row>
    <row r="123" spans="1:7" s="746" customFormat="1" ht="13.7" customHeight="1">
      <c r="A123" s="838"/>
      <c r="B123" s="838"/>
      <c r="C123" s="829"/>
      <c r="D123" s="979"/>
      <c r="E123" s="979"/>
      <c r="F123" s="979"/>
      <c r="G123" s="696"/>
    </row>
    <row r="124" spans="1:7" s="642" customFormat="1" ht="13.7" customHeight="1">
      <c r="A124" s="826"/>
      <c r="B124" s="826"/>
      <c r="C124" s="831"/>
      <c r="D124" s="979"/>
      <c r="E124" s="979"/>
      <c r="F124" s="979"/>
      <c r="G124" s="717"/>
    </row>
    <row r="125" spans="1:7" s="642" customFormat="1" ht="13.7" customHeight="1">
      <c r="A125" s="826"/>
      <c r="B125" s="826"/>
      <c r="C125" s="831"/>
      <c r="D125" s="979"/>
      <c r="E125" s="979"/>
      <c r="F125" s="979"/>
      <c r="G125" s="717"/>
    </row>
    <row r="126" spans="1:7" s="746" customFormat="1" ht="13.7" customHeight="1">
      <c r="A126" s="813"/>
      <c r="B126" s="813"/>
      <c r="C126" s="829"/>
      <c r="D126" s="979"/>
      <c r="E126" s="979"/>
      <c r="F126" s="979"/>
      <c r="G126" s="696"/>
    </row>
    <row r="127" spans="1:7" s="746" customFormat="1" ht="13.7" customHeight="1">
      <c r="A127" s="813"/>
      <c r="B127" s="813"/>
      <c r="C127" s="829"/>
      <c r="D127" s="979"/>
      <c r="E127" s="979"/>
      <c r="F127" s="979"/>
      <c r="G127" s="696"/>
    </row>
    <row r="128" spans="1:7" s="746" customFormat="1" ht="13.7" customHeight="1">
      <c r="A128" s="813"/>
      <c r="B128" s="813"/>
      <c r="C128" s="829"/>
      <c r="D128" s="979"/>
      <c r="E128" s="979"/>
      <c r="F128" s="979"/>
      <c r="G128" s="696"/>
    </row>
    <row r="129" spans="1:7" s="746" customFormat="1" ht="13.7" customHeight="1">
      <c r="A129" s="813"/>
      <c r="B129" s="813"/>
      <c r="C129" s="829"/>
      <c r="D129" s="979"/>
      <c r="E129" s="979"/>
      <c r="F129" s="97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6" t="s">
        <v>1413</v>
      </c>
      <c r="E131" s="1056"/>
      <c r="F131" s="1056"/>
      <c r="G131" s="696"/>
    </row>
    <row r="132" spans="1:7" s="746" customFormat="1" ht="13.7" customHeight="1">
      <c r="A132" s="813"/>
      <c r="B132" s="813"/>
      <c r="C132" s="829"/>
      <c r="D132" s="1056"/>
      <c r="E132" s="1056"/>
      <c r="F132" s="1056"/>
      <c r="G132" s="696"/>
    </row>
    <row r="133" spans="1:7" s="746" customFormat="1" ht="13.7" customHeight="1">
      <c r="A133" s="813"/>
      <c r="B133" s="813"/>
      <c r="C133" s="829"/>
      <c r="D133" s="1056"/>
      <c r="E133" s="1056"/>
      <c r="F133" s="1056"/>
      <c r="G133" s="696"/>
    </row>
    <row r="134" spans="1:7" s="746" customFormat="1" ht="13.7" customHeight="1">
      <c r="A134" s="813"/>
      <c r="B134" s="813"/>
      <c r="C134" s="829"/>
      <c r="D134" s="1056"/>
      <c r="E134" s="1056"/>
      <c r="F134" s="1056"/>
      <c r="G134" s="696"/>
    </row>
    <row r="135" spans="1:7" s="746" customFormat="1" ht="13.7" customHeight="1">
      <c r="A135" s="813"/>
      <c r="B135" s="813"/>
      <c r="C135" s="829"/>
      <c r="D135" s="1056"/>
      <c r="E135" s="1056"/>
      <c r="F135" s="1056"/>
      <c r="G135" s="696"/>
    </row>
    <row r="136" spans="1:7" s="746" customFormat="1" ht="13.7" customHeight="1">
      <c r="A136" s="813"/>
      <c r="B136" s="813"/>
      <c r="C136" s="829"/>
      <c r="D136" s="1056"/>
      <c r="E136" s="1056"/>
      <c r="F136" s="1056"/>
      <c r="G136" s="696"/>
    </row>
    <row r="137" spans="1:7" s="746" customFormat="1" ht="13.7" customHeight="1">
      <c r="A137" s="813"/>
      <c r="B137" s="813"/>
      <c r="C137" s="829"/>
      <c r="D137" s="1056"/>
      <c r="E137" s="1056"/>
      <c r="F137" s="1056"/>
      <c r="G137" s="696"/>
    </row>
    <row r="138" spans="1:7" s="746" customFormat="1" ht="13.7" customHeight="1">
      <c r="A138" s="813"/>
      <c r="B138" s="813"/>
      <c r="C138" s="829"/>
      <c r="D138" s="1056"/>
      <c r="E138" s="1056"/>
      <c r="F138" s="1056"/>
      <c r="G138" s="696"/>
    </row>
    <row r="139" spans="1:7" s="746" customFormat="1" ht="13.7" customHeight="1">
      <c r="A139" s="813"/>
      <c r="B139" s="813"/>
      <c r="C139" s="829"/>
      <c r="D139" s="1056"/>
      <c r="E139" s="1056"/>
      <c r="F139" s="1056"/>
      <c r="G139" s="696"/>
    </row>
    <row r="140" spans="1:7" s="746" customFormat="1" ht="13.7" customHeight="1">
      <c r="A140" s="813"/>
      <c r="B140" s="813"/>
      <c r="C140" s="829"/>
      <c r="D140" s="1056"/>
      <c r="E140" s="1056"/>
      <c r="F140" s="1056"/>
      <c r="G140" s="696"/>
    </row>
    <row r="141" spans="1:7" s="746" customFormat="1" ht="13.7" customHeight="1">
      <c r="A141" s="813"/>
      <c r="B141" s="813"/>
      <c r="C141" s="829"/>
      <c r="D141" s="1056"/>
      <c r="E141" s="1056"/>
      <c r="F141" s="1056"/>
      <c r="G141" s="696"/>
    </row>
    <row r="142" spans="1:7" s="746" customFormat="1" ht="13.7" customHeight="1">
      <c r="A142" s="813"/>
      <c r="B142" s="813"/>
      <c r="C142" s="829"/>
      <c r="D142" s="1056"/>
      <c r="E142" s="1056"/>
      <c r="F142" s="1056"/>
      <c r="G142" s="696"/>
    </row>
    <row r="143" spans="1:7" s="746" customFormat="1" ht="13.7" customHeight="1">
      <c r="A143" s="813"/>
      <c r="B143" s="813"/>
      <c r="C143" s="829"/>
      <c r="D143" s="1056"/>
      <c r="E143" s="1056"/>
      <c r="F143" s="1056"/>
      <c r="G143" s="696"/>
    </row>
    <row r="144" spans="1:7" s="746" customFormat="1" ht="13.7" customHeight="1">
      <c r="A144" s="813"/>
      <c r="B144" s="813"/>
      <c r="C144" s="829"/>
      <c r="D144" s="1056"/>
      <c r="E144" s="1056"/>
      <c r="F144" s="1056"/>
      <c r="G144" s="696"/>
    </row>
    <row r="145" spans="1:7" s="746" customFormat="1" ht="13.7" customHeight="1">
      <c r="A145" s="813"/>
      <c r="B145" s="813"/>
      <c r="C145" s="829"/>
      <c r="D145" s="1056"/>
      <c r="E145" s="1056"/>
      <c r="F145" s="1056"/>
      <c r="G145" s="696"/>
    </row>
    <row r="146" spans="1:7" s="746" customFormat="1" ht="13.7" customHeight="1">
      <c r="A146" s="813"/>
      <c r="B146" s="813"/>
      <c r="C146" s="829"/>
      <c r="D146" s="1056"/>
      <c r="E146" s="1056"/>
      <c r="F146" s="1056"/>
      <c r="G146" s="696"/>
    </row>
    <row r="147" spans="1:7" s="746" customFormat="1" ht="13.7" customHeight="1">
      <c r="A147" s="813"/>
      <c r="B147" s="813"/>
      <c r="C147" s="829"/>
      <c r="D147" s="1056"/>
      <c r="E147" s="1056"/>
      <c r="F147" s="1056"/>
      <c r="G147" s="696"/>
    </row>
    <row r="148" spans="1:7" s="746" customFormat="1" ht="13.7" customHeight="1">
      <c r="A148" s="813"/>
      <c r="B148" s="813"/>
      <c r="C148" s="829"/>
      <c r="D148" s="1056"/>
      <c r="E148" s="1056"/>
      <c r="F148" s="1056"/>
      <c r="G148" s="696"/>
    </row>
    <row r="149" spans="1:7" s="746" customFormat="1" ht="13.7" customHeight="1">
      <c r="A149" s="813"/>
      <c r="B149" s="813"/>
      <c r="C149" s="829"/>
      <c r="D149" s="1087" t="s">
        <v>1456</v>
      </c>
      <c r="E149" s="1087"/>
      <c r="F149" s="1087"/>
      <c r="G149" s="887"/>
    </row>
    <row r="150" spans="1:7" s="746" customFormat="1" ht="13.7" customHeight="1">
      <c r="A150" s="813"/>
      <c r="B150" s="813"/>
      <c r="C150" s="829"/>
      <c r="D150" s="1086"/>
      <c r="E150" s="1086"/>
      <c r="F150" s="1086"/>
      <c r="G150" s="1086"/>
    </row>
    <row r="151" spans="1:7" s="746" customFormat="1" ht="14.45" customHeight="1">
      <c r="A151" s="838"/>
      <c r="B151" s="823" t="s">
        <v>329</v>
      </c>
      <c r="C151" s="839"/>
      <c r="D151" s="1021" t="s">
        <v>1488</v>
      </c>
      <c r="E151" s="1021"/>
      <c r="F151" s="1021"/>
      <c r="G151" s="840"/>
    </row>
    <row r="152" spans="1:7" s="746" customFormat="1" ht="14.45" customHeight="1">
      <c r="A152" s="838"/>
      <c r="B152" s="838"/>
      <c r="C152" s="839"/>
      <c r="D152" s="1021"/>
      <c r="E152" s="1021"/>
      <c r="F152" s="1021"/>
      <c r="G152" s="840"/>
    </row>
    <row r="153" spans="1:7" s="746" customFormat="1" ht="13.7" customHeight="1">
      <c r="A153" s="838"/>
      <c r="B153" s="838"/>
      <c r="C153" s="839"/>
      <c r="D153" s="1021"/>
      <c r="E153" s="1021"/>
      <c r="F153" s="102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4" t="s">
        <v>1307</v>
      </c>
      <c r="E155" s="964"/>
      <c r="F155" s="964"/>
      <c r="G155" s="840"/>
    </row>
    <row r="156" spans="1:7" s="746" customFormat="1" ht="13.7" customHeight="1">
      <c r="A156" s="838"/>
      <c r="B156" s="838"/>
      <c r="C156" s="839"/>
      <c r="D156" s="964"/>
      <c r="E156" s="964"/>
      <c r="F156" s="964"/>
      <c r="G156" s="840"/>
    </row>
    <row r="157" spans="1:7" s="746" customFormat="1" ht="13.7" customHeight="1">
      <c r="A157" s="838"/>
      <c r="B157" s="838"/>
      <c r="C157" s="839"/>
      <c r="D157" s="964"/>
      <c r="E157" s="964"/>
      <c r="F157" s="964"/>
      <c r="G157" s="840"/>
    </row>
    <row r="158" spans="1:7" s="746" customFormat="1" ht="13.7" customHeight="1">
      <c r="A158" s="838"/>
      <c r="B158" s="838"/>
      <c r="C158" s="839"/>
      <c r="D158" s="964"/>
      <c r="E158" s="964"/>
      <c r="F158" s="96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1308</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7" t="s">
        <v>1202</v>
      </c>
      <c r="B164" s="987"/>
      <c r="C164" s="987"/>
      <c r="D164" s="987"/>
      <c r="E164" s="987"/>
      <c r="F164" s="987"/>
      <c r="G164" s="987"/>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7" t="s">
        <v>1203</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23" t="s">
        <v>1311</v>
      </c>
      <c r="E170" s="1023"/>
      <c r="F170" s="1023"/>
      <c r="G170" s="844"/>
    </row>
    <row r="171" spans="1:7">
      <c r="A171" s="842"/>
      <c r="B171" s="842"/>
      <c r="C171" s="843"/>
      <c r="D171" s="1023"/>
      <c r="E171" s="1023"/>
      <c r="F171" s="1023"/>
      <c r="G171" s="844"/>
    </row>
    <row r="172" spans="1:7">
      <c r="A172" s="842"/>
      <c r="B172" s="842"/>
      <c r="C172" s="843"/>
      <c r="D172" s="1024" t="s">
        <v>1447</v>
      </c>
      <c r="E172" s="1024"/>
      <c r="F172" s="1024"/>
      <c r="G172" s="844"/>
    </row>
    <row r="173" spans="1:7" ht="12" customHeight="1">
      <c r="A173" s="842"/>
      <c r="B173" s="842"/>
      <c r="C173" s="843"/>
      <c r="D173" s="844"/>
      <c r="E173" s="845"/>
      <c r="F173" s="844"/>
      <c r="G173" s="844"/>
    </row>
    <row r="174" spans="1:7" ht="14.25">
      <c r="A174" s="822"/>
      <c r="B174" s="823" t="s">
        <v>329</v>
      </c>
      <c r="C174" s="843"/>
      <c r="D174" s="1022" t="s">
        <v>1310</v>
      </c>
      <c r="E174" s="1022"/>
      <c r="F174" s="1022"/>
      <c r="G174" s="844"/>
    </row>
    <row r="175" spans="1:7" ht="14.25">
      <c r="A175" s="822"/>
      <c r="B175" s="822"/>
      <c r="C175" s="843"/>
      <c r="D175" s="1022"/>
      <c r="E175" s="1022"/>
      <c r="F175" s="1022"/>
      <c r="G175" s="844"/>
    </row>
    <row r="176" spans="1:7" ht="14.25">
      <c r="A176" s="822"/>
      <c r="B176" s="822"/>
      <c r="C176" s="843"/>
      <c r="D176" s="1022"/>
      <c r="E176" s="1022"/>
      <c r="F176" s="1022"/>
      <c r="G176" s="844"/>
    </row>
    <row r="177" spans="1:7">
      <c r="A177" s="843"/>
      <c r="B177" s="843"/>
      <c r="C177" s="843"/>
      <c r="D177" s="1022"/>
      <c r="E177" s="1022"/>
      <c r="F177" s="1022"/>
    </row>
    <row r="178" spans="1:7">
      <c r="A178" s="843"/>
      <c r="B178" s="843"/>
      <c r="C178" s="843"/>
      <c r="D178" s="828"/>
      <c r="E178" s="844"/>
      <c r="F178" s="844"/>
    </row>
    <row r="179" spans="1:7">
      <c r="A179" s="843"/>
      <c r="B179" s="843"/>
      <c r="C179" s="843"/>
      <c r="D179" s="964" t="s">
        <v>1219</v>
      </c>
      <c r="E179" s="964"/>
      <c r="F179" s="964"/>
    </row>
    <row r="180" spans="1:7">
      <c r="A180" s="843"/>
      <c r="B180" s="843"/>
      <c r="C180" s="843"/>
      <c r="D180" s="964"/>
      <c r="E180" s="964"/>
      <c r="F180" s="964"/>
    </row>
    <row r="181" spans="1:7">
      <c r="A181" s="843"/>
      <c r="B181" s="843"/>
      <c r="C181" s="843"/>
      <c r="D181" s="803"/>
      <c r="E181" s="803"/>
      <c r="F181" s="803"/>
    </row>
    <row r="182" spans="1:7" s="642" customFormat="1" ht="14.25">
      <c r="A182" s="822"/>
      <c r="B182" s="823" t="s">
        <v>329</v>
      </c>
      <c r="C182" s="831"/>
      <c r="D182" s="1022" t="s">
        <v>1476</v>
      </c>
      <c r="E182" s="1022"/>
      <c r="F182" s="1022"/>
      <c r="G182" s="717"/>
    </row>
    <row r="183" spans="1:7" s="642" customFormat="1" ht="14.45" customHeight="1">
      <c r="A183" s="822"/>
      <c r="C183" s="831"/>
      <c r="D183" s="1022"/>
      <c r="E183" s="1022"/>
      <c r="F183" s="1022"/>
      <c r="G183" s="717"/>
    </row>
    <row r="184" spans="1:7" s="642" customFormat="1" ht="14.25">
      <c r="A184" s="822"/>
      <c r="B184" s="843"/>
      <c r="C184" s="831"/>
      <c r="D184" s="1022"/>
      <c r="E184" s="1022"/>
      <c r="F184" s="1022"/>
      <c r="G184" s="717"/>
    </row>
    <row r="185" spans="1:7" s="642" customFormat="1" ht="14.25">
      <c r="A185" s="822"/>
      <c r="B185" s="843"/>
      <c r="C185" s="831"/>
      <c r="D185" s="1022"/>
      <c r="E185" s="1022"/>
      <c r="F185" s="1022"/>
      <c r="G185" s="717"/>
    </row>
    <row r="186" spans="1:7">
      <c r="A186" s="843"/>
      <c r="B186" s="843"/>
      <c r="C186" s="843"/>
      <c r="D186" s="803"/>
      <c r="E186" s="803"/>
      <c r="F186" s="803"/>
    </row>
    <row r="187" spans="1:7">
      <c r="A187" s="987" t="s">
        <v>1204</v>
      </c>
      <c r="B187" s="987"/>
      <c r="C187" s="987"/>
      <c r="D187" s="987"/>
      <c r="E187" s="987"/>
      <c r="F187" s="987"/>
      <c r="G187" s="987"/>
    </row>
    <row r="188" spans="1:7" ht="12" customHeight="1">
      <c r="D188" s="825"/>
      <c r="E188" s="825"/>
      <c r="F188" s="825"/>
    </row>
    <row r="189" spans="1:7">
      <c r="C189" s="832"/>
      <c r="D189" s="1082" t="s">
        <v>222</v>
      </c>
      <c r="E189" s="1082"/>
      <c r="F189" s="1082"/>
    </row>
    <row r="190" spans="1:7">
      <c r="A190" s="818"/>
      <c r="B190" s="818"/>
      <c r="C190" s="818"/>
      <c r="D190" s="1060" t="s">
        <v>1333</v>
      </c>
      <c r="E190" s="1060"/>
      <c r="F190" s="1060"/>
    </row>
    <row r="191" spans="1:7" ht="12" customHeight="1">
      <c r="A191" s="841"/>
      <c r="B191" s="841"/>
      <c r="C191" s="841"/>
    </row>
    <row r="192" spans="1:7" ht="13.7" customHeight="1">
      <c r="A192" s="841"/>
      <c r="C192" s="841"/>
      <c r="D192" s="977" t="s">
        <v>593</v>
      </c>
      <c r="E192" s="977"/>
      <c r="F192" s="977"/>
    </row>
    <row r="193" spans="1:6" ht="14.25">
      <c r="A193" s="822"/>
      <c r="B193" s="823" t="s">
        <v>329</v>
      </c>
      <c r="D193" s="1022" t="s">
        <v>1328</v>
      </c>
      <c r="E193" s="1022"/>
      <c r="F193" s="1022"/>
    </row>
    <row r="194" spans="1:6" ht="14.25">
      <c r="A194" s="822"/>
      <c r="B194" s="822"/>
      <c r="D194" s="1022"/>
      <c r="E194" s="1022"/>
      <c r="F194" s="1022"/>
    </row>
    <row r="195" spans="1:6" ht="14.25">
      <c r="A195" s="822"/>
      <c r="B195" s="822"/>
      <c r="D195" s="1022"/>
      <c r="E195" s="1022"/>
      <c r="F195" s="1022"/>
    </row>
    <row r="196" spans="1:6" ht="5.0999999999999996" customHeight="1">
      <c r="A196" s="822"/>
      <c r="B196" s="822"/>
      <c r="D196" s="810"/>
      <c r="E196" s="825"/>
      <c r="F196" s="825"/>
    </row>
    <row r="197" spans="1:6" ht="14.25">
      <c r="A197" s="822"/>
      <c r="B197" s="822"/>
      <c r="D197" s="1022" t="s">
        <v>1329</v>
      </c>
      <c r="E197" s="1022"/>
      <c r="F197" s="1022"/>
    </row>
    <row r="198" spans="1:6" ht="14.25">
      <c r="A198" s="822"/>
      <c r="B198" s="822"/>
      <c r="D198" s="1022"/>
      <c r="E198" s="1022"/>
      <c r="F198" s="1022"/>
    </row>
    <row r="199" spans="1:6" ht="14.25">
      <c r="A199" s="822"/>
      <c r="B199" s="822"/>
      <c r="D199" s="1022"/>
      <c r="E199" s="1022"/>
      <c r="F199" s="1022"/>
    </row>
    <row r="200" spans="1:6" ht="14.25">
      <c r="A200" s="822"/>
      <c r="B200" s="822"/>
      <c r="D200" s="1022"/>
      <c r="E200" s="1022"/>
      <c r="F200" s="1022"/>
    </row>
    <row r="201" spans="1:6" ht="14.25">
      <c r="A201" s="822"/>
      <c r="B201" s="822"/>
      <c r="D201" s="1022"/>
      <c r="E201" s="1022"/>
      <c r="F201" s="1022"/>
    </row>
    <row r="202" spans="1:6" ht="14.25">
      <c r="A202" s="822"/>
      <c r="B202" s="822"/>
      <c r="D202" s="825"/>
      <c r="E202" s="825"/>
      <c r="F202" s="825"/>
    </row>
    <row r="203" spans="1:6" ht="14.25">
      <c r="A203" s="822"/>
      <c r="B203" s="823" t="s">
        <v>329</v>
      </c>
      <c r="D203" s="1061" t="s">
        <v>1330</v>
      </c>
      <c r="E203" s="1061"/>
      <c r="F203" s="1061"/>
    </row>
    <row r="204" spans="1:6" ht="14.25">
      <c r="A204" s="822"/>
      <c r="B204" s="822"/>
      <c r="D204" s="1061"/>
      <c r="E204" s="1061"/>
      <c r="F204" s="106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61" t="s">
        <v>1332</v>
      </c>
      <c r="E207" s="1061"/>
      <c r="F207" s="1061"/>
    </row>
    <row r="208" spans="1:6" ht="14.25">
      <c r="A208" s="822"/>
      <c r="B208" s="822"/>
      <c r="D208" s="1061"/>
      <c r="E208" s="1061"/>
      <c r="F208" s="1061"/>
    </row>
    <row r="209" spans="1:7" ht="14.25">
      <c r="A209" s="822"/>
      <c r="B209" s="822"/>
      <c r="D209" s="1061"/>
      <c r="E209" s="1061"/>
      <c r="F209" s="1061"/>
    </row>
    <row r="210" spans="1:7" ht="14.25">
      <c r="A210" s="822"/>
      <c r="B210" s="822"/>
      <c r="D210" s="1061"/>
      <c r="E210" s="1061"/>
      <c r="F210" s="1061"/>
    </row>
    <row r="211" spans="1:7" ht="14.25">
      <c r="A211" s="822"/>
      <c r="B211" s="822"/>
      <c r="D211" s="1061"/>
      <c r="E211" s="1061"/>
      <c r="F211" s="1061"/>
    </row>
    <row r="212" spans="1:7">
      <c r="D212" s="825"/>
      <c r="E212" s="825"/>
      <c r="F212" s="825"/>
    </row>
    <row r="213" spans="1:7" ht="14.25">
      <c r="A213" s="822"/>
      <c r="B213" s="823" t="s">
        <v>329</v>
      </c>
      <c r="D213" s="1022" t="s">
        <v>1331</v>
      </c>
      <c r="E213" s="1022"/>
      <c r="F213" s="1022"/>
    </row>
    <row r="214" spans="1:7" ht="14.25">
      <c r="A214" s="822"/>
      <c r="B214" s="822"/>
      <c r="D214" s="1022"/>
      <c r="E214" s="1022"/>
      <c r="F214" s="1022"/>
    </row>
    <row r="215" spans="1:7">
      <c r="D215" s="846"/>
    </row>
    <row r="216" spans="1:7">
      <c r="A216" s="987" t="s">
        <v>1205</v>
      </c>
      <c r="B216" s="987"/>
      <c r="C216" s="987"/>
      <c r="D216" s="987"/>
      <c r="E216" s="987"/>
      <c r="F216" s="987"/>
      <c r="G216" s="987"/>
    </row>
    <row r="217" spans="1:7">
      <c r="D217" s="846"/>
    </row>
    <row r="218" spans="1:7">
      <c r="C218" s="832"/>
      <c r="D218" s="977" t="s">
        <v>1334</v>
      </c>
      <c r="E218" s="977"/>
      <c r="F218" s="977"/>
    </row>
    <row r="219" spans="1:7">
      <c r="A219" s="818"/>
      <c r="B219" s="818"/>
      <c r="C219" s="818"/>
      <c r="D219" s="825"/>
      <c r="E219" s="825"/>
      <c r="F219" s="825"/>
    </row>
    <row r="220" spans="1:7">
      <c r="A220" s="820"/>
      <c r="B220" s="820"/>
      <c r="C220" s="820"/>
      <c r="D220" s="977" t="s">
        <v>285</v>
      </c>
      <c r="E220" s="977"/>
      <c r="F220" s="977"/>
    </row>
    <row r="221" spans="1:7" ht="14.45" customHeight="1">
      <c r="A221" s="822"/>
      <c r="B221" s="823" t="s">
        <v>329</v>
      </c>
      <c r="D221" s="1073" t="s">
        <v>1448</v>
      </c>
      <c r="E221" s="1073"/>
      <c r="F221" s="1073"/>
    </row>
    <row r="222" spans="1:7">
      <c r="D222" s="1073"/>
      <c r="E222" s="1073"/>
      <c r="F222" s="1073"/>
    </row>
    <row r="223" spans="1:7">
      <c r="D223" s="1060" t="s">
        <v>984</v>
      </c>
      <c r="E223" s="1060"/>
      <c r="F223" s="1060"/>
    </row>
    <row r="224" spans="1:7">
      <c r="D224" s="825"/>
      <c r="E224" s="825"/>
      <c r="F224" s="825"/>
    </row>
    <row r="225" spans="1:7" ht="14.45" customHeight="1">
      <c r="A225" s="822"/>
      <c r="B225" s="823" t="s">
        <v>329</v>
      </c>
      <c r="D225" s="1061" t="s">
        <v>1449</v>
      </c>
      <c r="E225" s="1061"/>
      <c r="F225" s="1061"/>
    </row>
    <row r="226" spans="1:7">
      <c r="D226" s="1061"/>
      <c r="E226" s="1061"/>
      <c r="F226" s="1061"/>
    </row>
    <row r="227" spans="1:7">
      <c r="D227" s="1061"/>
      <c r="E227" s="1061"/>
      <c r="F227" s="1061"/>
    </row>
    <row r="228" spans="1:7">
      <c r="D228" s="1061"/>
      <c r="E228" s="1061"/>
      <c r="F228" s="1061"/>
    </row>
    <row r="229" spans="1:7">
      <c r="D229" s="1061"/>
      <c r="E229" s="1061"/>
      <c r="F229" s="1061"/>
    </row>
    <row r="230" spans="1:7">
      <c r="D230" s="825"/>
      <c r="E230" s="825"/>
      <c r="F230" s="825"/>
    </row>
    <row r="231" spans="1:7" ht="14.25">
      <c r="A231" s="822"/>
      <c r="B231" s="823" t="s">
        <v>329</v>
      </c>
      <c r="D231" s="1022" t="s">
        <v>1337</v>
      </c>
      <c r="E231" s="1022"/>
      <c r="F231" s="1022"/>
    </row>
    <row r="232" spans="1:7">
      <c r="D232" s="1022"/>
      <c r="E232" s="1022"/>
      <c r="F232" s="1022"/>
    </row>
    <row r="233" spans="1:7">
      <c r="D233" s="1022"/>
      <c r="E233" s="1022"/>
      <c r="F233" s="1022"/>
    </row>
    <row r="234" spans="1:7">
      <c r="D234" s="847"/>
      <c r="E234" s="825"/>
      <c r="F234" s="825"/>
    </row>
    <row r="235" spans="1:7">
      <c r="A235" s="987" t="s">
        <v>1206</v>
      </c>
      <c r="B235" s="987"/>
      <c r="C235" s="987"/>
      <c r="D235" s="987"/>
      <c r="E235" s="987"/>
      <c r="F235" s="987"/>
      <c r="G235" s="987"/>
    </row>
    <row r="236" spans="1:7">
      <c r="D236" s="847"/>
      <c r="E236" s="825"/>
      <c r="F236" s="825"/>
    </row>
    <row r="237" spans="1:7">
      <c r="C237" s="818"/>
      <c r="D237" s="1064" t="s">
        <v>1339</v>
      </c>
      <c r="E237" s="1064"/>
      <c r="F237" s="1064"/>
    </row>
    <row r="238" spans="1:7">
      <c r="C238" s="818"/>
      <c r="D238" s="1064"/>
      <c r="E238" s="1064"/>
      <c r="F238" s="1064"/>
    </row>
    <row r="239" spans="1:7">
      <c r="A239" s="820"/>
      <c r="B239" s="820"/>
      <c r="C239" s="820"/>
      <c r="D239" s="646"/>
      <c r="E239" s="696"/>
      <c r="F239" s="696"/>
    </row>
    <row r="240" spans="1:7">
      <c r="C240" s="820"/>
      <c r="D240" s="977" t="s">
        <v>223</v>
      </c>
      <c r="E240" s="977"/>
      <c r="F240" s="977"/>
    </row>
    <row r="241" spans="1:7" ht="15.75" customHeight="1">
      <c r="A241" s="822"/>
      <c r="B241" s="822"/>
      <c r="D241" s="1062" t="s">
        <v>1340</v>
      </c>
      <c r="E241" s="1062"/>
      <c r="F241" s="1062"/>
    </row>
    <row r="242" spans="1:7">
      <c r="E242" s="825"/>
      <c r="F242" s="825"/>
    </row>
    <row r="243" spans="1:7" ht="14.25">
      <c r="A243" s="822"/>
      <c r="B243" s="823" t="s">
        <v>329</v>
      </c>
      <c r="D243" s="1022" t="s">
        <v>1341</v>
      </c>
      <c r="E243" s="1022"/>
      <c r="F243" s="1022"/>
    </row>
    <row r="244" spans="1:7" ht="14.25">
      <c r="A244" s="822"/>
      <c r="B244" s="822"/>
      <c r="D244" s="1022"/>
      <c r="E244" s="1022"/>
      <c r="F244" s="1022"/>
    </row>
    <row r="245" spans="1:7">
      <c r="D245" s="825"/>
      <c r="E245" s="825"/>
      <c r="F245" s="825"/>
    </row>
    <row r="246" spans="1:7" ht="14.25">
      <c r="A246" s="822"/>
      <c r="B246" s="823" t="s">
        <v>329</v>
      </c>
      <c r="D246" s="1061" t="s">
        <v>1342</v>
      </c>
      <c r="E246" s="1061"/>
      <c r="F246" s="1061"/>
    </row>
    <row r="247" spans="1:7" ht="14.25">
      <c r="A247" s="822"/>
      <c r="B247" s="822"/>
      <c r="D247" s="1061"/>
      <c r="E247" s="1061"/>
      <c r="F247" s="1061"/>
    </row>
    <row r="248" spans="1:7" ht="14.25">
      <c r="A248" s="822"/>
      <c r="B248" s="822"/>
      <c r="D248" s="1061"/>
      <c r="E248" s="1061"/>
      <c r="F248" s="1061"/>
    </row>
    <row r="249" spans="1:7">
      <c r="D249" s="825"/>
      <c r="E249" s="825"/>
      <c r="F249" s="825"/>
    </row>
    <row r="250" spans="1:7" ht="14.25">
      <c r="A250" s="822"/>
      <c r="B250" s="823" t="s">
        <v>329</v>
      </c>
      <c r="D250" s="1022" t="s">
        <v>1343</v>
      </c>
      <c r="E250" s="1022"/>
      <c r="F250" s="1022"/>
    </row>
    <row r="251" spans="1:7" ht="14.25">
      <c r="A251" s="822"/>
      <c r="B251" s="822"/>
      <c r="D251" s="1022"/>
      <c r="E251" s="1022"/>
      <c r="F251" s="1022"/>
    </row>
    <row r="252" spans="1:7">
      <c r="A252" s="841"/>
      <c r="B252" s="841"/>
      <c r="E252" s="825"/>
      <c r="F252" s="825"/>
    </row>
    <row r="253" spans="1:7">
      <c r="A253" s="987" t="s">
        <v>1207</v>
      </c>
      <c r="B253" s="987"/>
      <c r="C253" s="987"/>
      <c r="D253" s="987"/>
      <c r="E253" s="987"/>
      <c r="F253" s="987"/>
      <c r="G253" s="987"/>
    </row>
    <row r="254" spans="1:7">
      <c r="A254" s="841"/>
      <c r="B254" s="841"/>
      <c r="D254" s="825"/>
      <c r="E254" s="825"/>
      <c r="F254" s="825"/>
    </row>
    <row r="255" spans="1:7">
      <c r="C255" s="841"/>
      <c r="D255" s="977" t="s">
        <v>736</v>
      </c>
      <c r="E255" s="977"/>
      <c r="F255" s="977"/>
    </row>
    <row r="256" spans="1:7">
      <c r="C256" s="841"/>
      <c r="D256" s="1027" t="s">
        <v>1344</v>
      </c>
      <c r="E256" s="1027"/>
      <c r="F256" s="1027"/>
    </row>
    <row r="257" spans="1:7">
      <c r="C257" s="841"/>
      <c r="D257" s="848"/>
    </row>
    <row r="258" spans="1:7">
      <c r="A258" s="826"/>
      <c r="B258" s="823" t="s">
        <v>329</v>
      </c>
      <c r="D258" s="1027" t="s">
        <v>1345</v>
      </c>
      <c r="E258" s="1027"/>
      <c r="F258" s="1027"/>
    </row>
    <row r="259" spans="1:7" s="816" customFormat="1" ht="14.25">
      <c r="A259" s="830"/>
      <c r="B259" s="830"/>
      <c r="C259" s="826"/>
      <c r="D259" s="849"/>
      <c r="E259" s="850"/>
      <c r="F259" s="850"/>
      <c r="G259" s="827"/>
    </row>
    <row r="260" spans="1:7" s="816" customFormat="1" ht="13.7" customHeight="1">
      <c r="A260" s="826"/>
      <c r="B260" s="823" t="s">
        <v>329</v>
      </c>
      <c r="C260" s="826"/>
      <c r="D260" s="1066" t="s">
        <v>1481</v>
      </c>
      <c r="E260" s="1066"/>
      <c r="F260" s="1066"/>
      <c r="G260" s="827"/>
    </row>
    <row r="261" spans="1:7" s="816" customFormat="1" ht="14.25">
      <c r="A261" s="830"/>
      <c r="B261" s="830"/>
      <c r="C261" s="826"/>
      <c r="D261" s="1066"/>
      <c r="E261" s="1066"/>
      <c r="F261" s="1066"/>
      <c r="G261" s="827"/>
    </row>
    <row r="262" spans="1:7" s="816" customFormat="1" ht="14.25">
      <c r="A262" s="830"/>
      <c r="B262" s="830"/>
      <c r="C262" s="826"/>
      <c r="D262" s="1066"/>
      <c r="E262" s="1066"/>
      <c r="F262" s="1066"/>
      <c r="G262" s="827"/>
    </row>
    <row r="263" spans="1:7" s="816" customFormat="1" ht="14.25">
      <c r="A263" s="830"/>
      <c r="B263" s="830"/>
      <c r="C263" s="826"/>
      <c r="D263" s="1066"/>
      <c r="E263" s="1066"/>
      <c r="F263" s="1066"/>
      <c r="G263" s="827"/>
    </row>
    <row r="264" spans="1:7" s="816" customFormat="1" ht="14.25">
      <c r="A264" s="830"/>
      <c r="B264" s="830"/>
      <c r="C264" s="826"/>
      <c r="D264" s="1066"/>
      <c r="E264" s="1066"/>
      <c r="F264" s="1066"/>
      <c r="G264" s="827"/>
    </row>
    <row r="265" spans="1:7" s="816" customFormat="1" ht="14.25">
      <c r="A265" s="830"/>
      <c r="B265" s="830"/>
      <c r="C265" s="826"/>
      <c r="D265" s="849"/>
      <c r="E265" s="850"/>
      <c r="F265" s="850"/>
      <c r="G265" s="827"/>
    </row>
    <row r="266" spans="1:7" s="816" customFormat="1" ht="13.7" customHeight="1">
      <c r="A266" s="826"/>
      <c r="B266" s="823" t="s">
        <v>329</v>
      </c>
      <c r="C266" s="826"/>
      <c r="D266" s="1066" t="s">
        <v>1347</v>
      </c>
      <c r="E266" s="1066"/>
      <c r="F266" s="1066"/>
      <c r="G266" s="827"/>
    </row>
    <row r="267" spans="1:7" s="816" customFormat="1">
      <c r="A267" s="826"/>
      <c r="B267" s="826"/>
      <c r="C267" s="826"/>
      <c r="D267" s="1066"/>
      <c r="E267" s="1066"/>
      <c r="F267" s="1066"/>
      <c r="G267" s="827"/>
    </row>
    <row r="268" spans="1:7" s="816" customFormat="1" ht="14.25">
      <c r="A268" s="830"/>
      <c r="B268" s="830"/>
      <c r="C268" s="826"/>
      <c r="D268" s="849"/>
      <c r="E268" s="850"/>
      <c r="F268" s="850"/>
      <c r="G268" s="827"/>
    </row>
    <row r="269" spans="1:7">
      <c r="A269" s="826"/>
      <c r="B269" s="823" t="s">
        <v>329</v>
      </c>
      <c r="D269" s="1027" t="s">
        <v>1348</v>
      </c>
      <c r="E269" s="1027"/>
      <c r="F269" s="1027"/>
    </row>
    <row r="270" spans="1:7">
      <c r="E270" s="825"/>
      <c r="F270" s="825"/>
    </row>
    <row r="271" spans="1:7" ht="14.25">
      <c r="A271" s="822"/>
      <c r="B271" s="823" t="s">
        <v>329</v>
      </c>
      <c r="D271" s="1061" t="s">
        <v>1511</v>
      </c>
      <c r="E271" s="1061"/>
      <c r="F271" s="1061"/>
    </row>
    <row r="272" spans="1:7" ht="14.25">
      <c r="A272" s="822"/>
      <c r="B272" s="822"/>
      <c r="D272" s="1061"/>
      <c r="E272" s="1061"/>
      <c r="F272" s="1061"/>
    </row>
    <row r="273" spans="1:6" ht="14.25">
      <c r="A273" s="822"/>
      <c r="B273" s="822"/>
      <c r="D273" s="1061"/>
      <c r="E273" s="1061"/>
      <c r="F273" s="1061"/>
    </row>
    <row r="274" spans="1:6" ht="14.25">
      <c r="A274" s="822"/>
      <c r="B274" s="822"/>
      <c r="D274" s="1061"/>
      <c r="E274" s="1061"/>
      <c r="F274" s="1061"/>
    </row>
    <row r="275" spans="1:6" ht="14.25">
      <c r="A275" s="822"/>
      <c r="B275" s="822"/>
      <c r="D275" s="1061"/>
      <c r="E275" s="1061"/>
      <c r="F275" s="1061"/>
    </row>
    <row r="276" spans="1:6" ht="14.25">
      <c r="A276" s="822"/>
      <c r="B276" s="822"/>
      <c r="D276" s="1061"/>
      <c r="E276" s="1061"/>
      <c r="F276" s="1061"/>
    </row>
    <row r="277" spans="1:6" ht="14.25">
      <c r="A277" s="822"/>
      <c r="B277" s="822"/>
      <c r="D277" s="1061"/>
      <c r="E277" s="1061"/>
      <c r="F277" s="1061"/>
    </row>
    <row r="278" spans="1:6" ht="14.25">
      <c r="A278" s="822"/>
      <c r="B278" s="822"/>
      <c r="D278" s="1061"/>
      <c r="E278" s="1061"/>
      <c r="F278" s="1061"/>
    </row>
    <row r="279" spans="1:6" ht="14.25">
      <c r="A279" s="822"/>
      <c r="B279" s="822"/>
      <c r="D279" s="1061"/>
      <c r="E279" s="1061"/>
      <c r="F279" s="1061"/>
    </row>
    <row r="280" spans="1:6" ht="14.25">
      <c r="A280" s="822"/>
      <c r="B280" s="822"/>
      <c r="D280" s="1061"/>
      <c r="E280" s="1061"/>
      <c r="F280" s="1061"/>
    </row>
    <row r="281" spans="1:6" ht="14.25">
      <c r="A281" s="822"/>
      <c r="B281" s="822"/>
      <c r="D281" s="1061"/>
      <c r="E281" s="1061"/>
      <c r="F281" s="1061"/>
    </row>
    <row r="282" spans="1:6" ht="14.25">
      <c r="A282" s="822"/>
      <c r="B282" s="822"/>
      <c r="D282" s="1061"/>
      <c r="E282" s="1061"/>
      <c r="F282" s="1061"/>
    </row>
    <row r="283" spans="1:6" ht="14.25">
      <c r="A283" s="822"/>
      <c r="B283" s="822"/>
      <c r="D283" s="1061"/>
      <c r="E283" s="1061"/>
      <c r="F283" s="1061"/>
    </row>
    <row r="284" spans="1:6" ht="14.25">
      <c r="A284" s="822"/>
      <c r="B284" s="822"/>
      <c r="D284" s="1061"/>
      <c r="E284" s="1061"/>
      <c r="F284" s="1061"/>
    </row>
    <row r="285" spans="1:6" ht="14.25">
      <c r="A285" s="822"/>
      <c r="B285" s="822"/>
      <c r="D285" s="1061"/>
      <c r="E285" s="1061"/>
      <c r="F285" s="1061"/>
    </row>
    <row r="286" spans="1:6">
      <c r="D286" s="825"/>
      <c r="E286" s="825"/>
      <c r="F286" s="825"/>
    </row>
    <row r="287" spans="1:6" ht="14.25">
      <c r="A287" s="822"/>
      <c r="B287" s="823" t="s">
        <v>329</v>
      </c>
      <c r="D287" s="1061" t="s">
        <v>1350</v>
      </c>
      <c r="E287" s="1061"/>
      <c r="F287" s="1061"/>
    </row>
    <row r="288" spans="1:6">
      <c r="D288" s="1061"/>
      <c r="E288" s="1061"/>
      <c r="F288" s="1061"/>
    </row>
    <row r="289" spans="1:7">
      <c r="D289" s="1061"/>
      <c r="E289" s="1061"/>
      <c r="F289" s="1061"/>
    </row>
    <row r="290" spans="1:7">
      <c r="D290" s="1061"/>
      <c r="E290" s="1061"/>
      <c r="F290" s="1061"/>
    </row>
    <row r="291" spans="1:7">
      <c r="D291" s="1061"/>
      <c r="E291" s="1061"/>
      <c r="F291" s="1061"/>
    </row>
    <row r="292" spans="1:7">
      <c r="D292" s="1061"/>
      <c r="E292" s="1061"/>
      <c r="F292" s="1061"/>
    </row>
    <row r="293" spans="1:7">
      <c r="D293" s="1061"/>
      <c r="E293" s="1061"/>
      <c r="F293" s="1061"/>
    </row>
    <row r="294" spans="1:7">
      <c r="D294" s="1061"/>
      <c r="E294" s="1061"/>
      <c r="F294" s="1061"/>
    </row>
    <row r="295" spans="1:7">
      <c r="D295" s="1061"/>
      <c r="E295" s="1061"/>
      <c r="F295" s="1061"/>
    </row>
    <row r="296" spans="1:7">
      <c r="D296" s="825"/>
      <c r="E296" s="825"/>
      <c r="F296" s="825"/>
    </row>
    <row r="297" spans="1:7" ht="14.25">
      <c r="A297" s="822"/>
      <c r="B297" s="823" t="s">
        <v>329</v>
      </c>
      <c r="D297" s="1022" t="s">
        <v>1582</v>
      </c>
      <c r="E297" s="1022"/>
      <c r="F297" s="1022"/>
    </row>
    <row r="298" spans="1:7">
      <c r="D298" s="1022"/>
      <c r="E298" s="1022"/>
      <c r="F298" s="1022"/>
      <c r="G298" s="815"/>
    </row>
    <row r="299" spans="1:7">
      <c r="D299" s="1022"/>
      <c r="E299" s="1022"/>
      <c r="F299" s="1022"/>
      <c r="G299" s="815"/>
    </row>
    <row r="300" spans="1:7">
      <c r="D300" s="1022"/>
      <c r="E300" s="1022"/>
      <c r="F300" s="1022"/>
      <c r="G300" s="815"/>
    </row>
    <row r="301" spans="1:7">
      <c r="D301" s="1022"/>
      <c r="E301" s="1022"/>
      <c r="F301" s="1022"/>
      <c r="G301" s="815"/>
    </row>
    <row r="302" spans="1:7">
      <c r="D302" s="1022"/>
      <c r="E302" s="1022"/>
      <c r="F302" s="1022"/>
      <c r="G302" s="815"/>
    </row>
    <row r="303" spans="1:7">
      <c r="D303" s="809"/>
      <c r="E303" s="809"/>
      <c r="F303" s="809"/>
      <c r="G303" s="815"/>
    </row>
    <row r="304" spans="1:7" ht="13.5" thickBot="1">
      <c r="D304" s="1072" t="s">
        <v>1093</v>
      </c>
      <c r="E304" s="1072"/>
      <c r="F304" s="1072"/>
      <c r="G304" s="815"/>
    </row>
    <row r="305" spans="1:7" ht="13.5" thickTop="1">
      <c r="D305" s="1067" t="s">
        <v>1352</v>
      </c>
      <c r="E305" s="1067"/>
      <c r="F305" s="1067"/>
      <c r="G305" s="815"/>
    </row>
    <row r="306" spans="1:7">
      <c r="A306" s="839"/>
      <c r="B306" s="839"/>
      <c r="C306" s="839"/>
      <c r="D306" s="811"/>
      <c r="E306" s="811"/>
      <c r="F306" s="825"/>
      <c r="G306" s="815"/>
    </row>
    <row r="307" spans="1:7" ht="14.25">
      <c r="A307" s="822"/>
      <c r="B307" s="823" t="s">
        <v>329</v>
      </c>
      <c r="C307" s="839"/>
      <c r="D307" s="1034" t="s">
        <v>1353</v>
      </c>
      <c r="E307" s="1034"/>
      <c r="F307" s="1034"/>
      <c r="G307" s="815"/>
    </row>
    <row r="308" spans="1:7">
      <c r="A308" s="839"/>
      <c r="B308" s="839"/>
      <c r="C308" s="839"/>
      <c r="D308" s="811"/>
      <c r="E308" s="811"/>
      <c r="F308" s="825"/>
      <c r="G308" s="815"/>
    </row>
    <row r="309" spans="1:7">
      <c r="A309" s="839"/>
      <c r="B309" s="823" t="s">
        <v>329</v>
      </c>
      <c r="C309" s="839"/>
      <c r="D309" s="1018" t="s">
        <v>1485</v>
      </c>
      <c r="E309" s="1018"/>
      <c r="F309" s="1018"/>
      <c r="G309" s="815"/>
    </row>
    <row r="310" spans="1:7">
      <c r="A310" s="839"/>
      <c r="B310" s="839"/>
      <c r="C310" s="839"/>
      <c r="D310" s="1018"/>
      <c r="E310" s="1018"/>
      <c r="F310" s="1018"/>
      <c r="G310" s="815"/>
    </row>
    <row r="311" spans="1:7">
      <c r="A311" s="839"/>
      <c r="B311" s="839"/>
      <c r="C311" s="839"/>
      <c r="D311" s="1018"/>
      <c r="E311" s="1018"/>
      <c r="F311" s="1018"/>
      <c r="G311" s="815"/>
    </row>
    <row r="312" spans="1:7">
      <c r="A312" s="839"/>
      <c r="B312" s="839"/>
      <c r="C312" s="839"/>
      <c r="D312" s="1018"/>
      <c r="E312" s="1018"/>
      <c r="F312" s="1018"/>
      <c r="G312" s="815"/>
    </row>
    <row r="313" spans="1:7">
      <c r="A313" s="839"/>
      <c r="B313" s="839"/>
      <c r="C313" s="839"/>
      <c r="D313" s="1018"/>
      <c r="E313" s="1018"/>
      <c r="F313" s="1018"/>
      <c r="G313" s="815"/>
    </row>
    <row r="314" spans="1:7">
      <c r="A314" s="839"/>
      <c r="B314" s="839"/>
      <c r="C314" s="839"/>
      <c r="D314" s="1018"/>
      <c r="E314" s="1018"/>
      <c r="F314" s="1018"/>
      <c r="G314" s="815"/>
    </row>
    <row r="315" spans="1:7">
      <c r="A315" s="839"/>
      <c r="B315" s="839"/>
      <c r="C315" s="839"/>
      <c r="D315" s="1018"/>
      <c r="E315" s="1018"/>
      <c r="F315" s="1018"/>
      <c r="G315" s="815"/>
    </row>
    <row r="316" spans="1:7">
      <c r="A316" s="839"/>
      <c r="B316" s="839"/>
      <c r="C316" s="839"/>
      <c r="D316" s="1018"/>
      <c r="E316" s="1018"/>
      <c r="F316" s="1018"/>
      <c r="G316" s="815"/>
    </row>
    <row r="317" spans="1:7">
      <c r="A317" s="839"/>
      <c r="B317" s="839"/>
      <c r="C317" s="839"/>
      <c r="D317" s="1018"/>
      <c r="E317" s="1018"/>
      <c r="F317" s="1018"/>
      <c r="G317" s="815"/>
    </row>
    <row r="318" spans="1:7">
      <c r="A318" s="839"/>
      <c r="B318" s="839"/>
      <c r="C318" s="839"/>
      <c r="D318" s="1018"/>
      <c r="E318" s="1018"/>
      <c r="F318" s="1018"/>
      <c r="G318" s="815"/>
    </row>
    <row r="319" spans="1:7">
      <c r="A319" s="839"/>
      <c r="B319" s="839"/>
      <c r="C319" s="839"/>
      <c r="D319" s="1018"/>
      <c r="E319" s="1018"/>
      <c r="F319" s="1018"/>
      <c r="G319" s="815"/>
    </row>
    <row r="320" spans="1:7">
      <c r="A320" s="839"/>
      <c r="B320" s="839"/>
      <c r="C320" s="839"/>
      <c r="D320" s="1018"/>
      <c r="E320" s="1018"/>
      <c r="F320" s="1018"/>
      <c r="G320" s="815"/>
    </row>
    <row r="321" spans="1:7" ht="12.6" customHeight="1">
      <c r="A321" s="839"/>
      <c r="B321" s="823" t="s">
        <v>329</v>
      </c>
      <c r="C321" s="839"/>
      <c r="D321" s="1068" t="s">
        <v>1486</v>
      </c>
      <c r="E321" s="1068"/>
      <c r="F321" s="1068"/>
      <c r="G321" s="815"/>
    </row>
    <row r="322" spans="1:7">
      <c r="A322" s="839"/>
      <c r="B322" s="839"/>
      <c r="C322" s="839"/>
      <c r="D322" s="1068"/>
      <c r="E322" s="1068"/>
      <c r="F322" s="1068"/>
      <c r="G322" s="815"/>
    </row>
    <row r="323" spans="1:7">
      <c r="A323" s="839"/>
      <c r="B323" s="839"/>
      <c r="C323" s="839"/>
      <c r="D323" s="1068"/>
      <c r="E323" s="1068"/>
      <c r="F323" s="1068"/>
      <c r="G323" s="815"/>
    </row>
    <row r="324" spans="1:7">
      <c r="A324" s="839"/>
      <c r="B324" s="839"/>
      <c r="C324" s="839"/>
      <c r="D324" s="1068"/>
      <c r="E324" s="1068"/>
      <c r="F324" s="1068"/>
      <c r="G324" s="815"/>
    </row>
    <row r="325" spans="1:7">
      <c r="A325" s="839"/>
      <c r="B325" s="839"/>
      <c r="C325" s="839"/>
      <c r="D325" s="815"/>
      <c r="E325" s="811"/>
      <c r="F325" s="825"/>
      <c r="G325" s="815"/>
    </row>
    <row r="326" spans="1:7" ht="14.25">
      <c r="A326" s="822"/>
      <c r="B326" s="823" t="s">
        <v>329</v>
      </c>
      <c r="C326" s="839"/>
      <c r="D326" s="1037" t="s">
        <v>1355</v>
      </c>
      <c r="E326" s="1037"/>
      <c r="F326" s="1037"/>
      <c r="G326" s="815"/>
    </row>
    <row r="327" spans="1:7">
      <c r="A327" s="839"/>
      <c r="B327" s="839"/>
      <c r="C327" s="839"/>
      <c r="D327" s="1037"/>
      <c r="E327" s="1037"/>
      <c r="F327" s="1037"/>
      <c r="G327" s="815"/>
    </row>
    <row r="328" spans="1:7">
      <c r="A328" s="839"/>
      <c r="B328" s="839"/>
      <c r="C328" s="839"/>
      <c r="D328" s="1037"/>
      <c r="E328" s="1037"/>
      <c r="F328" s="1037"/>
      <c r="G328" s="815"/>
    </row>
    <row r="329" spans="1:7">
      <c r="A329" s="839"/>
      <c r="B329" s="839"/>
      <c r="C329" s="839"/>
      <c r="D329" s="1037"/>
      <c r="E329" s="1037"/>
      <c r="F329" s="1037"/>
      <c r="G329" s="815"/>
    </row>
    <row r="330" spans="1:7">
      <c r="A330" s="839"/>
      <c r="B330" s="839"/>
      <c r="C330" s="839"/>
      <c r="D330" s="851"/>
      <c r="E330" s="811"/>
      <c r="F330" s="825"/>
      <c r="G330" s="815"/>
    </row>
    <row r="331" spans="1:7">
      <c r="A331" s="839"/>
      <c r="B331" s="839"/>
      <c r="C331" s="839"/>
      <c r="D331" s="1037" t="s">
        <v>1356</v>
      </c>
      <c r="E331" s="1037"/>
      <c r="F331" s="1037"/>
      <c r="G331" s="815"/>
    </row>
    <row r="332" spans="1:7">
      <c r="A332" s="839"/>
      <c r="B332" s="839"/>
      <c r="C332" s="839"/>
      <c r="D332" s="1037"/>
      <c r="E332" s="1037"/>
      <c r="F332" s="1037"/>
      <c r="G332" s="815"/>
    </row>
    <row r="333" spans="1:7">
      <c r="A333" s="839"/>
      <c r="B333" s="839"/>
      <c r="C333" s="839"/>
      <c r="D333" s="1037"/>
      <c r="E333" s="1037"/>
      <c r="F333" s="1037"/>
      <c r="G333" s="815"/>
    </row>
    <row r="334" spans="1:7">
      <c r="A334" s="839"/>
      <c r="B334" s="839"/>
      <c r="C334" s="839"/>
      <c r="D334" s="1037"/>
      <c r="E334" s="1037"/>
      <c r="F334" s="1037"/>
      <c r="G334" s="815"/>
    </row>
    <row r="335" spans="1:7" ht="18" customHeight="1">
      <c r="A335" s="839"/>
      <c r="B335" s="839"/>
      <c r="C335" s="839"/>
      <c r="D335" s="1037"/>
      <c r="E335" s="1037"/>
      <c r="F335" s="1037"/>
      <c r="G335" s="815"/>
    </row>
    <row r="336" spans="1:7">
      <c r="A336" s="839"/>
      <c r="B336" s="839"/>
      <c r="C336" s="839"/>
      <c r="D336" s="1037"/>
      <c r="E336" s="1037"/>
      <c r="F336" s="1037"/>
      <c r="G336" s="815"/>
    </row>
    <row r="337" spans="1:7">
      <c r="A337" s="839"/>
      <c r="B337" s="839"/>
      <c r="C337" s="839"/>
      <c r="D337" s="1037"/>
      <c r="E337" s="1037"/>
      <c r="F337" s="1037"/>
      <c r="G337" s="815"/>
    </row>
    <row r="338" spans="1:7">
      <c r="A338" s="839"/>
      <c r="B338" s="839"/>
      <c r="C338" s="839"/>
      <c r="D338" s="1037"/>
      <c r="E338" s="1037"/>
      <c r="F338" s="1037"/>
      <c r="G338" s="815"/>
    </row>
    <row r="339" spans="1:7" ht="8.25" customHeight="1">
      <c r="A339" s="839"/>
      <c r="B339" s="839"/>
      <c r="C339" s="839"/>
      <c r="D339" s="1037"/>
      <c r="E339" s="1037"/>
      <c r="F339" s="1037"/>
      <c r="G339" s="815"/>
    </row>
    <row r="340" spans="1:7" ht="13.7" customHeight="1">
      <c r="A340" s="839"/>
      <c r="B340" s="839"/>
      <c r="C340" s="839"/>
      <c r="D340" s="1030" t="s">
        <v>1357</v>
      </c>
      <c r="E340" s="1030"/>
      <c r="F340" s="1030"/>
      <c r="G340" s="815"/>
    </row>
    <row r="341" spans="1:7">
      <c r="A341" s="839"/>
      <c r="B341" s="839"/>
      <c r="C341" s="839"/>
      <c r="D341" s="1030"/>
      <c r="E341" s="1030"/>
      <c r="F341" s="1030"/>
      <c r="G341" s="815"/>
    </row>
    <row r="342" spans="1:7">
      <c r="A342" s="839"/>
      <c r="B342" s="839"/>
      <c r="C342" s="839"/>
      <c r="D342" s="1030"/>
      <c r="E342" s="1030"/>
      <c r="F342" s="1030"/>
      <c r="G342" s="815"/>
    </row>
    <row r="343" spans="1:7">
      <c r="A343" s="839"/>
      <c r="B343" s="839"/>
      <c r="C343" s="839"/>
      <c r="D343" s="1030"/>
      <c r="E343" s="1030"/>
      <c r="F343" s="1030"/>
      <c r="G343" s="815"/>
    </row>
    <row r="344" spans="1:7">
      <c r="A344" s="839"/>
      <c r="B344" s="839"/>
      <c r="C344" s="839"/>
      <c r="D344" s="1030"/>
      <c r="E344" s="1030"/>
      <c r="F344" s="1030"/>
      <c r="G344" s="815"/>
    </row>
    <row r="345" spans="1:7">
      <c r="A345" s="839"/>
      <c r="B345" s="839"/>
      <c r="C345" s="839"/>
      <c r="D345" s="1030"/>
      <c r="E345" s="1030"/>
      <c r="F345" s="1030"/>
      <c r="G345" s="815"/>
    </row>
    <row r="346" spans="1:7">
      <c r="A346" s="839"/>
      <c r="B346" s="839"/>
      <c r="C346" s="839"/>
      <c r="D346" s="1030"/>
      <c r="E346" s="1030"/>
      <c r="F346" s="1030"/>
      <c r="G346" s="815"/>
    </row>
    <row r="347" spans="1:7">
      <c r="A347" s="839"/>
      <c r="B347" s="839"/>
      <c r="C347" s="839"/>
      <c r="D347" s="1030"/>
      <c r="E347" s="1030"/>
      <c r="F347" s="1030"/>
      <c r="G347" s="815"/>
    </row>
    <row r="348" spans="1:7">
      <c r="A348" s="839"/>
      <c r="B348" s="839"/>
      <c r="C348" s="839"/>
      <c r="D348" s="1030"/>
      <c r="E348" s="1030"/>
      <c r="F348" s="1030"/>
      <c r="G348" s="815"/>
    </row>
    <row r="349" spans="1:7">
      <c r="A349" s="839"/>
      <c r="B349" s="839"/>
      <c r="C349" s="839"/>
      <c r="D349" s="1030"/>
      <c r="E349" s="1030"/>
      <c r="F349" s="1030"/>
      <c r="G349" s="815"/>
    </row>
    <row r="350" spans="1:7">
      <c r="A350" s="839"/>
      <c r="B350" s="839"/>
      <c r="C350" s="839"/>
      <c r="D350" s="1030"/>
      <c r="E350" s="1030"/>
      <c r="F350" s="1030"/>
      <c r="G350" s="815"/>
    </row>
    <row r="351" spans="1:7">
      <c r="A351" s="839"/>
      <c r="B351" s="839"/>
      <c r="C351" s="839"/>
      <c r="D351" s="1030"/>
      <c r="E351" s="1030"/>
      <c r="F351" s="1030"/>
      <c r="G351" s="815"/>
    </row>
    <row r="352" spans="1:7">
      <c r="A352" s="839"/>
      <c r="B352" s="839"/>
      <c r="C352" s="852"/>
      <c r="D352" s="1030"/>
      <c r="E352" s="1030"/>
      <c r="F352" s="1030"/>
      <c r="G352" s="815"/>
    </row>
    <row r="353" spans="1:7">
      <c r="A353" s="839"/>
      <c r="B353" s="839"/>
      <c r="C353" s="852"/>
      <c r="D353" s="1030"/>
      <c r="E353" s="1030"/>
      <c r="F353" s="1030"/>
      <c r="G353" s="815"/>
    </row>
    <row r="354" spans="1:7">
      <c r="A354" s="839"/>
      <c r="B354" s="839"/>
      <c r="C354" s="839"/>
      <c r="D354" s="1030"/>
      <c r="E354" s="1030"/>
      <c r="F354" s="1030"/>
      <c r="G354" s="815"/>
    </row>
    <row r="355" spans="1:7">
      <c r="A355" s="839"/>
      <c r="B355" s="839"/>
      <c r="C355" s="852"/>
      <c r="D355" s="1030"/>
      <c r="E355" s="1030"/>
      <c r="F355" s="1030"/>
      <c r="G355" s="815"/>
    </row>
    <row r="356" spans="1:7">
      <c r="A356" s="839"/>
      <c r="B356" s="839"/>
      <c r="C356" s="852"/>
      <c r="D356" s="1030"/>
      <c r="E356" s="1030"/>
      <c r="F356" s="1030"/>
      <c r="G356" s="815"/>
    </row>
    <row r="357" spans="1:7">
      <c r="A357" s="839"/>
      <c r="B357" s="839"/>
      <c r="C357" s="852"/>
      <c r="D357" s="1030"/>
      <c r="E357" s="1030"/>
      <c r="F357" s="1030"/>
      <c r="G357" s="815"/>
    </row>
    <row r="358" spans="1:7">
      <c r="A358" s="839"/>
      <c r="B358" s="839"/>
      <c r="C358" s="839"/>
      <c r="D358" s="851"/>
      <c r="E358" s="811"/>
      <c r="F358" s="825"/>
      <c r="G358" s="815"/>
    </row>
    <row r="359" spans="1:7">
      <c r="A359" s="839"/>
      <c r="B359" s="823" t="s">
        <v>329</v>
      </c>
      <c r="C359" s="839"/>
      <c r="D359" s="1030" t="s">
        <v>1358</v>
      </c>
      <c r="E359" s="1030"/>
      <c r="F359" s="1030"/>
      <c r="G359" s="815"/>
    </row>
    <row r="360" spans="1:7">
      <c r="A360" s="839"/>
      <c r="B360" s="839"/>
      <c r="C360" s="839"/>
      <c r="D360" s="1030"/>
      <c r="E360" s="1030"/>
      <c r="F360" s="1030"/>
      <c r="G360" s="815"/>
    </row>
    <row r="361" spans="1:7">
      <c r="A361" s="839"/>
      <c r="B361" s="839"/>
      <c r="C361" s="839"/>
      <c r="D361" s="946"/>
      <c r="E361" s="946"/>
      <c r="F361" s="946"/>
      <c r="G361" s="815"/>
    </row>
    <row r="362" spans="1:7" ht="14.45" customHeight="1">
      <c r="A362" s="822"/>
      <c r="B362" s="914" t="s">
        <v>329</v>
      </c>
      <c r="D362" s="1030" t="s">
        <v>1605</v>
      </c>
      <c r="E362" s="1030"/>
      <c r="F362" s="1030"/>
    </row>
    <row r="363" spans="1:7" ht="14.45" customHeight="1">
      <c r="A363" s="822"/>
      <c r="D363" s="1030"/>
      <c r="E363" s="1030"/>
      <c r="F363" s="1030"/>
    </row>
    <row r="364" spans="1:7" ht="14.45" customHeight="1">
      <c r="A364" s="822"/>
      <c r="D364" s="1030"/>
      <c r="E364" s="1030"/>
      <c r="F364" s="1030"/>
    </row>
    <row r="365" spans="1:7" ht="14.45" customHeight="1">
      <c r="A365" s="822"/>
      <c r="D365" s="1030"/>
      <c r="E365" s="1030"/>
      <c r="F365" s="1030"/>
    </row>
    <row r="366" spans="1:7" ht="14.45" customHeight="1">
      <c r="A366" s="822"/>
      <c r="D366" s="1030"/>
      <c r="E366" s="1030"/>
      <c r="F366" s="1030"/>
    </row>
    <row r="367" spans="1:7" ht="14.45" customHeight="1">
      <c r="A367" s="822"/>
      <c r="D367" s="913"/>
      <c r="E367" s="913"/>
      <c r="F367" s="913"/>
    </row>
    <row r="368" spans="1:7" ht="13.7" customHeight="1">
      <c r="A368" s="822"/>
      <c r="B368" s="823" t="s">
        <v>329</v>
      </c>
      <c r="C368" s="839"/>
      <c r="D368" s="1018" t="s">
        <v>1512</v>
      </c>
      <c r="E368" s="1018"/>
      <c r="F368" s="1018"/>
      <c r="G368" s="815"/>
    </row>
    <row r="369" spans="1:7" ht="14.25">
      <c r="A369" s="853"/>
      <c r="B369" s="853"/>
      <c r="C369" s="839"/>
      <c r="D369" s="1018"/>
      <c r="E369" s="1018"/>
      <c r="F369" s="1018"/>
      <c r="G369" s="815"/>
    </row>
    <row r="370" spans="1:7" ht="14.25">
      <c r="A370" s="853"/>
      <c r="B370" s="853"/>
      <c r="C370" s="839"/>
      <c r="D370" s="1018"/>
      <c r="E370" s="1018"/>
      <c r="F370" s="1018"/>
      <c r="G370" s="815"/>
    </row>
    <row r="371" spans="1:7" ht="14.25">
      <c r="A371" s="853"/>
      <c r="B371" s="853"/>
      <c r="C371" s="839"/>
      <c r="D371" s="1018"/>
      <c r="E371" s="1018"/>
      <c r="F371" s="1018"/>
      <c r="G371" s="815"/>
    </row>
    <row r="372" spans="1:7" ht="15.75" customHeight="1">
      <c r="A372" s="853"/>
      <c r="B372" s="853"/>
      <c r="C372" s="839"/>
      <c r="D372" s="1058" t="s">
        <v>1583</v>
      </c>
      <c r="E372" s="1018"/>
      <c r="F372" s="1018"/>
      <c r="G372" s="815"/>
    </row>
    <row r="373" spans="1:7">
      <c r="D373" s="825"/>
      <c r="E373" s="825"/>
      <c r="F373" s="825"/>
      <c r="G373" s="815"/>
    </row>
    <row r="374" spans="1:7" ht="14.25">
      <c r="A374" s="822"/>
      <c r="B374" s="823" t="s">
        <v>329</v>
      </c>
      <c r="C374" s="854"/>
      <c r="D374" s="1022" t="s">
        <v>1360</v>
      </c>
      <c r="E374" s="1022"/>
      <c r="F374" s="1022"/>
      <c r="G374" s="815"/>
    </row>
    <row r="375" spans="1:7" ht="14.25">
      <c r="A375" s="822"/>
      <c r="B375" s="822"/>
      <c r="D375" s="1022"/>
      <c r="E375" s="1022"/>
      <c r="F375" s="1022"/>
      <c r="G375" s="815"/>
    </row>
    <row r="376" spans="1:7">
      <c r="D376" s="1022"/>
      <c r="E376" s="1022"/>
      <c r="F376" s="1022"/>
      <c r="G376" s="815"/>
    </row>
    <row r="377" spans="1:7">
      <c r="D377" s="1022"/>
      <c r="E377" s="1022"/>
      <c r="F377" s="1022"/>
      <c r="G377" s="815"/>
    </row>
    <row r="378" spans="1:7">
      <c r="D378" s="1022"/>
      <c r="E378" s="1022"/>
      <c r="F378" s="1022"/>
      <c r="G378" s="815"/>
    </row>
    <row r="379" spans="1:7">
      <c r="D379" s="1022"/>
      <c r="E379" s="1022"/>
      <c r="F379" s="1022"/>
      <c r="G379" s="815"/>
    </row>
    <row r="380" spans="1:7">
      <c r="D380" s="1022"/>
      <c r="E380" s="1022"/>
      <c r="F380" s="1022"/>
      <c r="G380" s="815"/>
    </row>
    <row r="381" spans="1:7">
      <c r="D381" s="1022"/>
      <c r="E381" s="1022"/>
      <c r="F381" s="1022"/>
      <c r="G381" s="815"/>
    </row>
    <row r="382" spans="1:7">
      <c r="D382" s="1022"/>
      <c r="E382" s="1022"/>
      <c r="F382" s="1022"/>
      <c r="G382" s="815"/>
    </row>
    <row r="383" spans="1:7">
      <c r="D383" s="1022"/>
      <c r="E383" s="1022"/>
      <c r="F383" s="1022"/>
      <c r="G383" s="815"/>
    </row>
    <row r="384" spans="1:7">
      <c r="D384" s="1022"/>
      <c r="E384" s="1022"/>
      <c r="F384" s="1022"/>
      <c r="G384" s="815"/>
    </row>
    <row r="385" spans="1:7">
      <c r="D385" s="1022"/>
      <c r="E385" s="1022"/>
      <c r="F385" s="1022"/>
      <c r="G385" s="815"/>
    </row>
    <row r="386" spans="1:7">
      <c r="D386" s="1022"/>
      <c r="E386" s="1022"/>
      <c r="F386" s="1022"/>
      <c r="G386" s="815"/>
    </row>
    <row r="387" spans="1:7">
      <c r="A387" s="815"/>
      <c r="B387" s="815"/>
      <c r="C387" s="815"/>
      <c r="D387" s="1022"/>
      <c r="E387" s="1022"/>
      <c r="F387" s="1022"/>
      <c r="G387" s="815"/>
    </row>
    <row r="388" spans="1:7">
      <c r="A388" s="815"/>
      <c r="B388" s="815"/>
      <c r="C388" s="815"/>
      <c r="D388" s="1022"/>
      <c r="E388" s="1022"/>
      <c r="F388" s="1022"/>
      <c r="G388" s="815"/>
    </row>
    <row r="389" spans="1:7">
      <c r="A389" s="815"/>
      <c r="B389" s="815"/>
      <c r="C389" s="815"/>
      <c r="D389" s="1022"/>
      <c r="E389" s="1022"/>
      <c r="F389" s="1022"/>
      <c r="G389" s="815"/>
    </row>
    <row r="390" spans="1:7">
      <c r="A390" s="815"/>
      <c r="B390" s="815"/>
      <c r="C390" s="815"/>
      <c r="D390" s="1022"/>
      <c r="E390" s="1022"/>
      <c r="F390" s="1022"/>
      <c r="G390" s="815"/>
    </row>
    <row r="391" spans="1:7">
      <c r="A391" s="815"/>
      <c r="B391" s="815"/>
      <c r="C391" s="815"/>
      <c r="D391" s="1022"/>
      <c r="E391" s="1022"/>
      <c r="F391" s="1022"/>
      <c r="G391" s="815"/>
    </row>
    <row r="392" spans="1:7">
      <c r="A392" s="815"/>
      <c r="B392" s="815"/>
      <c r="C392" s="815"/>
      <c r="D392" s="1022"/>
      <c r="E392" s="1022"/>
      <c r="F392" s="1022"/>
      <c r="G392" s="815"/>
    </row>
    <row r="393" spans="1:7">
      <c r="A393" s="815"/>
      <c r="B393" s="815"/>
      <c r="C393" s="815"/>
      <c r="D393" s="1022"/>
      <c r="E393" s="1022"/>
      <c r="F393" s="1022"/>
      <c r="G393" s="815"/>
    </row>
    <row r="394" spans="1:7">
      <c r="A394" s="815"/>
      <c r="B394" s="815"/>
      <c r="C394" s="815"/>
      <c r="D394" s="1022"/>
      <c r="E394" s="1022"/>
      <c r="F394" s="1022"/>
      <c r="G394" s="815"/>
    </row>
    <row r="395" spans="1:7">
      <c r="A395" s="815"/>
      <c r="B395" s="815"/>
      <c r="C395" s="815"/>
      <c r="D395" s="1022"/>
      <c r="E395" s="1022"/>
      <c r="F395" s="1022"/>
      <c r="G395" s="815"/>
    </row>
    <row r="396" spans="1:7">
      <c r="A396" s="815"/>
      <c r="B396" s="815"/>
      <c r="C396" s="815"/>
      <c r="D396" s="1022"/>
      <c r="E396" s="1022"/>
      <c r="F396" s="1022"/>
      <c r="G396" s="815"/>
    </row>
    <row r="397" spans="1:7">
      <c r="A397" s="815"/>
      <c r="B397" s="815"/>
      <c r="C397" s="815"/>
      <c r="D397" s="1022"/>
      <c r="E397" s="1022"/>
      <c r="F397" s="1022"/>
      <c r="G397" s="815"/>
    </row>
    <row r="398" spans="1:7">
      <c r="A398" s="815"/>
      <c r="B398" s="815"/>
      <c r="C398" s="815"/>
      <c r="D398" s="1022"/>
      <c r="E398" s="1022"/>
      <c r="F398" s="1022"/>
      <c r="G398" s="815"/>
    </row>
    <row r="399" spans="1:7">
      <c r="A399" s="815"/>
      <c r="B399" s="815"/>
      <c r="C399" s="815"/>
      <c r="D399" s="1022"/>
      <c r="E399" s="1022"/>
      <c r="F399" s="1022"/>
      <c r="G399" s="815"/>
    </row>
    <row r="400" spans="1:7">
      <c r="A400" s="815"/>
      <c r="B400" s="815"/>
      <c r="C400" s="815"/>
      <c r="D400" s="1022"/>
      <c r="E400" s="1022"/>
      <c r="F400" s="1022"/>
      <c r="G400" s="815"/>
    </row>
    <row r="401" spans="1:7">
      <c r="A401" s="815"/>
      <c r="B401" s="815"/>
      <c r="C401" s="815"/>
      <c r="D401" s="1022"/>
      <c r="E401" s="1022"/>
      <c r="F401" s="1022"/>
      <c r="G401" s="815"/>
    </row>
    <row r="402" spans="1:7">
      <c r="A402" s="815"/>
      <c r="B402" s="815"/>
      <c r="C402" s="815"/>
      <c r="D402" s="1022"/>
      <c r="E402" s="1022"/>
      <c r="F402" s="1022"/>
      <c r="G402" s="815"/>
    </row>
    <row r="403" spans="1:7" s="856" customFormat="1">
      <c r="A403" s="813"/>
      <c r="B403" s="813"/>
      <c r="C403" s="813"/>
      <c r="D403" s="1022"/>
      <c r="E403" s="1022"/>
      <c r="F403" s="1022"/>
      <c r="G403" s="855"/>
    </row>
    <row r="404" spans="1:7" s="856" customFormat="1" ht="40.700000000000003" customHeight="1">
      <c r="A404" s="813"/>
      <c r="B404" s="813"/>
      <c r="C404" s="813"/>
      <c r="D404" s="1022"/>
      <c r="E404" s="1022"/>
      <c r="F404" s="1022"/>
      <c r="G404" s="855"/>
    </row>
    <row r="405" spans="1:7" s="856" customFormat="1">
      <c r="A405" s="813"/>
      <c r="B405" s="813"/>
      <c r="C405" s="813"/>
      <c r="D405" s="825"/>
      <c r="E405" s="825"/>
      <c r="F405" s="825"/>
      <c r="G405" s="855"/>
    </row>
    <row r="406" spans="1:7" ht="14.25">
      <c r="A406" s="822"/>
      <c r="B406" s="823" t="s">
        <v>329</v>
      </c>
      <c r="C406" s="854"/>
      <c r="D406" s="1027" t="s">
        <v>1361</v>
      </c>
      <c r="E406" s="1027"/>
      <c r="F406" s="1027"/>
    </row>
    <row r="407" spans="1:7">
      <c r="D407" s="1031" t="s">
        <v>1509</v>
      </c>
      <c r="E407" s="1031"/>
      <c r="F407" s="1031"/>
    </row>
    <row r="408" spans="1:7">
      <c r="D408" s="1061" t="s">
        <v>1508</v>
      </c>
      <c r="E408" s="1061"/>
      <c r="F408" s="1061"/>
    </row>
    <row r="409" spans="1:7">
      <c r="D409" s="1061"/>
      <c r="E409" s="1061"/>
      <c r="F409" s="1061"/>
    </row>
    <row r="410" spans="1:7">
      <c r="D410" s="1061"/>
      <c r="E410" s="1061"/>
      <c r="F410" s="1061"/>
    </row>
    <row r="411" spans="1:7">
      <c r="D411" s="825"/>
      <c r="E411" s="825"/>
      <c r="F411" s="825"/>
      <c r="G411" s="815"/>
    </row>
    <row r="412" spans="1:7" ht="14.25">
      <c r="A412" s="822"/>
      <c r="B412" s="823" t="s">
        <v>329</v>
      </c>
      <c r="C412" s="854"/>
      <c r="D412" s="1022" t="s">
        <v>1363</v>
      </c>
      <c r="E412" s="1022"/>
      <c r="F412" s="1022"/>
      <c r="G412" s="815"/>
    </row>
    <row r="413" spans="1:7">
      <c r="D413" s="1022"/>
      <c r="E413" s="1022"/>
      <c r="F413" s="1022"/>
      <c r="G413" s="815"/>
    </row>
    <row r="414" spans="1:7">
      <c r="D414" s="1022"/>
      <c r="E414" s="1022"/>
      <c r="F414" s="1022"/>
      <c r="G414" s="815"/>
    </row>
    <row r="415" spans="1:7">
      <c r="D415" s="809"/>
      <c r="E415" s="809"/>
      <c r="F415" s="809"/>
      <c r="G415" s="815"/>
    </row>
    <row r="416" spans="1:7" ht="14.25">
      <c r="B416" s="823" t="s">
        <v>329</v>
      </c>
      <c r="C416" s="822"/>
      <c r="D416" s="1061" t="s">
        <v>1450</v>
      </c>
      <c r="E416" s="1061"/>
      <c r="F416" s="1061"/>
      <c r="G416" s="815"/>
    </row>
    <row r="417" spans="1:7">
      <c r="D417" s="1061"/>
      <c r="E417" s="1061"/>
      <c r="F417" s="1061"/>
      <c r="G417" s="815"/>
    </row>
    <row r="418" spans="1:7">
      <c r="D418" s="825"/>
      <c r="E418" s="825"/>
      <c r="F418" s="825"/>
      <c r="G418" s="815"/>
    </row>
    <row r="419" spans="1:7" ht="14.25">
      <c r="B419" s="823" t="s">
        <v>329</v>
      </c>
      <c r="C419" s="822"/>
      <c r="D419" s="1061" t="s">
        <v>1365</v>
      </c>
      <c r="E419" s="1061"/>
      <c r="F419" s="1061"/>
      <c r="G419" s="815"/>
    </row>
    <row r="420" spans="1:7">
      <c r="D420" s="1061"/>
      <c r="E420" s="1061"/>
      <c r="F420" s="1061"/>
      <c r="G420" s="815"/>
    </row>
    <row r="421" spans="1:7">
      <c r="D421" s="1061"/>
      <c r="E421" s="1061"/>
      <c r="F421" s="1061"/>
      <c r="G421" s="815"/>
    </row>
    <row r="422" spans="1:7">
      <c r="D422" s="1061"/>
      <c r="E422" s="1061"/>
      <c r="F422" s="1061"/>
      <c r="G422" s="815"/>
    </row>
    <row r="423" spans="1:7">
      <c r="B423" s="823" t="s">
        <v>329</v>
      </c>
      <c r="D423" s="1061"/>
      <c r="E423" s="1061"/>
      <c r="F423" s="1061"/>
      <c r="G423" s="815"/>
    </row>
    <row r="424" spans="1:7">
      <c r="A424" s="815"/>
      <c r="B424" s="815"/>
      <c r="C424" s="815"/>
      <c r="D424" s="1061"/>
      <c r="E424" s="1061"/>
      <c r="F424" s="1061"/>
      <c r="G424" s="815"/>
    </row>
    <row r="425" spans="1:7">
      <c r="A425" s="815"/>
      <c r="C425" s="815"/>
      <c r="D425" s="1061"/>
      <c r="E425" s="1061"/>
      <c r="F425" s="1061"/>
      <c r="G425" s="815"/>
    </row>
    <row r="426" spans="1:7">
      <c r="A426" s="815"/>
      <c r="B426" s="823" t="s">
        <v>329</v>
      </c>
      <c r="C426" s="815"/>
      <c r="D426" s="1061"/>
      <c r="E426" s="1061"/>
      <c r="F426" s="1061"/>
      <c r="G426" s="815"/>
    </row>
    <row r="427" spans="1:7">
      <c r="A427" s="815"/>
      <c r="B427" s="815"/>
      <c r="C427" s="815"/>
      <c r="D427" s="1061"/>
      <c r="E427" s="1061"/>
      <c r="F427" s="1061"/>
      <c r="G427" s="815"/>
    </row>
    <row r="428" spans="1:7">
      <c r="A428" s="815"/>
      <c r="C428" s="815"/>
      <c r="D428" s="1061"/>
      <c r="E428" s="1061"/>
      <c r="F428" s="1061"/>
      <c r="G428" s="815"/>
    </row>
    <row r="429" spans="1:7">
      <c r="A429" s="815"/>
      <c r="C429" s="815"/>
      <c r="D429" s="1061"/>
      <c r="E429" s="1061"/>
      <c r="F429" s="1061"/>
      <c r="G429" s="815"/>
    </row>
    <row r="430" spans="1:7">
      <c r="A430" s="815"/>
      <c r="B430" s="823" t="s">
        <v>329</v>
      </c>
      <c r="C430" s="815"/>
      <c r="D430" s="1061"/>
      <c r="E430" s="1061"/>
      <c r="F430" s="1061"/>
      <c r="G430" s="815"/>
    </row>
    <row r="431" spans="1:7">
      <c r="A431" s="815"/>
      <c r="B431" s="815"/>
      <c r="C431" s="815"/>
      <c r="D431" s="1061"/>
      <c r="E431" s="1061"/>
      <c r="F431" s="1061"/>
      <c r="G431" s="815"/>
    </row>
    <row r="432" spans="1:7">
      <c r="A432" s="815"/>
      <c r="B432" s="823" t="s">
        <v>329</v>
      </c>
      <c r="C432" s="815"/>
      <c r="D432" s="1061"/>
      <c r="E432" s="1061"/>
      <c r="F432" s="1061"/>
      <c r="G432" s="815"/>
    </row>
    <row r="433" spans="1:7">
      <c r="A433" s="815"/>
      <c r="B433" s="815"/>
      <c r="C433" s="815"/>
      <c r="D433" s="857"/>
      <c r="E433" s="857"/>
      <c r="F433" s="857"/>
      <c r="G433" s="815"/>
    </row>
    <row r="434" spans="1:7">
      <c r="A434" s="815"/>
      <c r="B434" s="823" t="s">
        <v>329</v>
      </c>
      <c r="C434" s="815"/>
      <c r="D434" s="1061" t="s">
        <v>1366</v>
      </c>
      <c r="E434" s="1061"/>
      <c r="F434" s="1061"/>
      <c r="G434" s="815"/>
    </row>
    <row r="435" spans="1:7">
      <c r="A435" s="815"/>
      <c r="B435" s="815"/>
      <c r="C435" s="815"/>
      <c r="D435" s="1061"/>
      <c r="E435" s="1061"/>
      <c r="F435" s="1061"/>
      <c r="G435" s="815"/>
    </row>
    <row r="436" spans="1:7">
      <c r="A436" s="815"/>
      <c r="B436" s="815"/>
      <c r="C436" s="815"/>
      <c r="D436" s="1061"/>
      <c r="E436" s="1061"/>
      <c r="F436" s="1061"/>
      <c r="G436" s="815"/>
    </row>
    <row r="437" spans="1:7">
      <c r="A437" s="815"/>
      <c r="B437" s="815"/>
      <c r="C437" s="815"/>
      <c r="D437" s="1061"/>
      <c r="E437" s="1061"/>
      <c r="F437" s="1061"/>
      <c r="G437" s="815"/>
    </row>
    <row r="438" spans="1:7">
      <c r="D438" s="1061"/>
      <c r="E438" s="1061"/>
      <c r="F438" s="1061"/>
    </row>
    <row r="439" spans="1:7">
      <c r="D439" s="825"/>
      <c r="E439" s="825"/>
      <c r="F439" s="825"/>
    </row>
    <row r="440" spans="1:7">
      <c r="B440" s="823" t="s">
        <v>329</v>
      </c>
      <c r="D440" s="1060" t="s">
        <v>1367</v>
      </c>
      <c r="E440" s="1060"/>
      <c r="F440" s="1060"/>
    </row>
    <row r="441" spans="1:7">
      <c r="A441" s="825"/>
      <c r="B441" s="825"/>
    </row>
    <row r="442" spans="1:7">
      <c r="A442" s="987" t="s">
        <v>1208</v>
      </c>
      <c r="B442" s="987"/>
      <c r="C442" s="987"/>
      <c r="D442" s="987"/>
      <c r="E442" s="987"/>
      <c r="F442" s="987"/>
      <c r="G442" s="987"/>
    </row>
    <row r="443" spans="1:7">
      <c r="A443" s="825"/>
      <c r="B443" s="825"/>
    </row>
    <row r="444" spans="1:7">
      <c r="D444" s="1038" t="s">
        <v>978</v>
      </c>
      <c r="E444" s="1038"/>
      <c r="F444" s="1038"/>
    </row>
    <row r="445" spans="1:7" s="816" customFormat="1" ht="14.25">
      <c r="A445" s="830"/>
      <c r="B445" s="830"/>
      <c r="C445" s="826"/>
      <c r="D445" s="1039" t="s">
        <v>1368</v>
      </c>
      <c r="E445" s="1039"/>
      <c r="F445" s="1039"/>
      <c r="G445" s="827"/>
    </row>
    <row r="446" spans="1:7" s="816" customFormat="1" ht="14.25">
      <c r="A446" s="830"/>
      <c r="B446" s="830"/>
      <c r="C446" s="826"/>
      <c r="D446" s="812"/>
      <c r="E446" s="696"/>
      <c r="F446" s="696"/>
      <c r="G446" s="827"/>
    </row>
    <row r="447" spans="1:7" s="816" customFormat="1" ht="14.25">
      <c r="A447" s="822"/>
      <c r="B447" s="823" t="s">
        <v>329</v>
      </c>
      <c r="C447" s="826"/>
      <c r="D447" s="1040" t="s">
        <v>1369</v>
      </c>
      <c r="E447" s="1040"/>
      <c r="F447" s="1040"/>
      <c r="G447" s="827"/>
    </row>
    <row r="448" spans="1:7" s="816" customFormat="1" ht="14.25">
      <c r="A448" s="822"/>
      <c r="B448" s="822"/>
      <c r="C448" s="826"/>
      <c r="D448" s="1040"/>
      <c r="E448" s="1040"/>
      <c r="F448" s="1040"/>
      <c r="G448" s="827"/>
    </row>
    <row r="449" spans="1:7" s="816" customFormat="1" ht="14.25">
      <c r="A449" s="822"/>
      <c r="B449" s="822"/>
      <c r="C449" s="826"/>
      <c r="D449" s="810"/>
      <c r="E449" s="696"/>
      <c r="F449" s="696"/>
      <c r="G449" s="827"/>
    </row>
    <row r="450" spans="1:7" ht="12.75" customHeight="1">
      <c r="B450" s="823" t="s">
        <v>329</v>
      </c>
      <c r="D450" s="1010" t="s">
        <v>1584</v>
      </c>
      <c r="E450" s="1010"/>
      <c r="F450" s="1010"/>
    </row>
    <row r="451" spans="1:7" ht="14.25">
      <c r="A451" s="822"/>
      <c r="D451" s="1010"/>
      <c r="E451" s="1010"/>
      <c r="F451" s="1010"/>
    </row>
    <row r="452" spans="1:7" ht="14.25">
      <c r="A452" s="822"/>
      <c r="B452" s="822"/>
      <c r="D452" s="1010"/>
      <c r="E452" s="1010"/>
      <c r="F452" s="1010"/>
    </row>
    <row r="453" spans="1:7" ht="14.25">
      <c r="A453" s="822"/>
      <c r="B453" s="822"/>
      <c r="D453" s="1010"/>
      <c r="E453" s="1010"/>
      <c r="F453" s="1010"/>
    </row>
    <row r="454" spans="1:7" ht="14.25">
      <c r="A454" s="822"/>
      <c r="D454" s="936"/>
      <c r="E454" s="936"/>
      <c r="F454" s="936"/>
      <c r="G454" s="815"/>
    </row>
    <row r="455" spans="1:7" ht="14.25">
      <c r="A455" s="822"/>
      <c r="B455" s="823" t="s">
        <v>329</v>
      </c>
      <c r="D455" s="1027" t="s">
        <v>1372</v>
      </c>
      <c r="E455" s="1027"/>
      <c r="F455" s="1027"/>
      <c r="G455" s="815"/>
    </row>
    <row r="456" spans="1:7" ht="14.25">
      <c r="A456" s="822"/>
      <c r="B456" s="822"/>
      <c r="D456" s="810"/>
      <c r="E456" s="696"/>
      <c r="F456" s="696"/>
      <c r="G456" s="815"/>
    </row>
    <row r="457" spans="1:7" ht="14.25">
      <c r="A457" s="822"/>
      <c r="B457" s="823" t="s">
        <v>329</v>
      </c>
      <c r="D457" s="1022" t="s">
        <v>1373</v>
      </c>
      <c r="E457" s="1022"/>
      <c r="F457" s="1022"/>
      <c r="G457" s="815"/>
    </row>
    <row r="458" spans="1:7" ht="14.25">
      <c r="A458" s="822"/>
      <c r="D458" s="1022"/>
      <c r="E458" s="1022"/>
      <c r="F458" s="1022"/>
      <c r="G458" s="815"/>
    </row>
    <row r="459" spans="1:7">
      <c r="A459" s="841"/>
      <c r="B459" s="841"/>
      <c r="D459" s="757"/>
      <c r="E459" s="696"/>
      <c r="F459" s="696"/>
      <c r="G459" s="815"/>
    </row>
    <row r="460" spans="1:7">
      <c r="A460" s="841"/>
      <c r="B460" s="823" t="s">
        <v>329</v>
      </c>
      <c r="D460" s="1027" t="s">
        <v>1374</v>
      </c>
      <c r="E460" s="1027"/>
      <c r="F460" s="1027"/>
      <c r="G460" s="815"/>
    </row>
    <row r="461" spans="1:7" ht="14.25">
      <c r="A461" s="822"/>
      <c r="B461" s="822"/>
      <c r="D461" s="825"/>
    </row>
    <row r="462" spans="1:7">
      <c r="A462" s="987" t="s">
        <v>1209</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1" t="s">
        <v>1452</v>
      </c>
      <c r="E468" s="1021"/>
      <c r="F468" s="1021"/>
      <c r="G468" s="696"/>
    </row>
    <row r="469" spans="1:7" s="746" customFormat="1">
      <c r="A469" s="820"/>
      <c r="B469" s="820"/>
      <c r="C469" s="824"/>
      <c r="D469" s="1021"/>
      <c r="E469" s="1021"/>
      <c r="F469" s="1021"/>
      <c r="G469" s="696"/>
    </row>
    <row r="470" spans="1:7" s="746" customFormat="1">
      <c r="A470" s="820"/>
      <c r="B470" s="820"/>
      <c r="C470" s="824"/>
      <c r="D470" s="859"/>
      <c r="E470" s="696"/>
      <c r="F470" s="810"/>
      <c r="G470" s="696"/>
    </row>
    <row r="471" spans="1:7" s="746" customFormat="1" ht="14.45" customHeight="1">
      <c r="A471" s="822"/>
      <c r="B471" s="823" t="s">
        <v>329</v>
      </c>
      <c r="C471" s="824"/>
      <c r="D471" s="1021" t="s">
        <v>1629</v>
      </c>
      <c r="E471" s="1021"/>
      <c r="F471" s="1021"/>
      <c r="G471" s="696"/>
    </row>
    <row r="472" spans="1:7" s="746" customFormat="1">
      <c r="A472" s="820"/>
      <c r="B472" s="820"/>
      <c r="C472" s="824"/>
      <c r="D472" s="1021"/>
      <c r="E472" s="1021"/>
      <c r="F472" s="1021"/>
      <c r="G472" s="696"/>
    </row>
    <row r="473" spans="1:7" s="746" customFormat="1">
      <c r="A473" s="820"/>
      <c r="B473" s="820"/>
      <c r="C473" s="824"/>
      <c r="D473" s="1021"/>
      <c r="E473" s="1021"/>
      <c r="F473" s="1021"/>
      <c r="G473" s="696"/>
    </row>
    <row r="474" spans="1:7" s="746" customFormat="1">
      <c r="A474" s="820"/>
      <c r="B474" s="820"/>
      <c r="C474" s="824"/>
      <c r="D474" s="1021"/>
      <c r="E474" s="1021"/>
      <c r="F474" s="1021"/>
      <c r="G474" s="696"/>
    </row>
    <row r="475" spans="1:7" s="746" customFormat="1">
      <c r="A475" s="820"/>
      <c r="B475" s="820"/>
      <c r="C475" s="824"/>
      <c r="D475" s="1021"/>
      <c r="E475" s="1021"/>
      <c r="F475" s="1021"/>
      <c r="G475" s="696"/>
    </row>
    <row r="476" spans="1:7" s="746" customFormat="1">
      <c r="A476" s="820"/>
      <c r="B476" s="820"/>
      <c r="C476" s="824"/>
      <c r="D476" s="757"/>
      <c r="E476" s="696"/>
      <c r="F476" s="810"/>
      <c r="G476" s="696"/>
    </row>
    <row r="477" spans="1:7" s="746" customFormat="1" ht="14.45" customHeight="1">
      <c r="A477" s="822"/>
      <c r="B477" s="823" t="s">
        <v>329</v>
      </c>
      <c r="C477" s="824"/>
      <c r="D477" s="1021" t="s">
        <v>1246</v>
      </c>
      <c r="E477" s="1021"/>
      <c r="F477" s="1021"/>
      <c r="G477" s="696"/>
    </row>
    <row r="478" spans="1:7" s="746" customFormat="1">
      <c r="A478" s="820"/>
      <c r="B478" s="820"/>
      <c r="C478" s="824"/>
      <c r="D478" s="1021"/>
      <c r="E478" s="1021"/>
      <c r="F478" s="1021"/>
      <c r="G478" s="696"/>
    </row>
    <row r="479" spans="1:7" s="746" customFormat="1">
      <c r="A479" s="820"/>
      <c r="B479" s="820"/>
      <c r="C479" s="824"/>
      <c r="D479" s="1021"/>
      <c r="E479" s="1021"/>
      <c r="F479" s="1021"/>
      <c r="G479" s="696"/>
    </row>
    <row r="480" spans="1:7" s="746" customFormat="1">
      <c r="A480" s="820"/>
      <c r="B480" s="820"/>
      <c r="C480" s="824"/>
      <c r="D480" s="1021"/>
      <c r="E480" s="1021"/>
      <c r="F480" s="102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1" t="s">
        <v>1244</v>
      </c>
      <c r="E482" s="1021"/>
      <c r="F482" s="1021"/>
      <c r="G482" s="696"/>
    </row>
    <row r="483" spans="1:7" s="746" customFormat="1">
      <c r="A483" s="820"/>
      <c r="B483" s="820"/>
      <c r="C483" s="824"/>
      <c r="D483" s="1021"/>
      <c r="E483" s="1021"/>
      <c r="F483" s="1021"/>
      <c r="G483" s="696"/>
    </row>
    <row r="484" spans="1:7" s="746" customFormat="1">
      <c r="A484" s="820"/>
      <c r="B484" s="820"/>
      <c r="C484" s="824"/>
      <c r="D484" s="1021"/>
      <c r="E484" s="1021"/>
      <c r="F484" s="1021"/>
      <c r="G484" s="696"/>
    </row>
    <row r="485" spans="1:7" s="746" customFormat="1">
      <c r="A485" s="820"/>
      <c r="B485" s="820"/>
      <c r="C485" s="824"/>
      <c r="D485" s="808"/>
      <c r="E485" s="808"/>
      <c r="F485" s="808"/>
      <c r="G485" s="696"/>
    </row>
    <row r="486" spans="1:7" s="746" customFormat="1" ht="14.45" customHeight="1">
      <c r="A486" s="822"/>
      <c r="B486" s="823" t="s">
        <v>329</v>
      </c>
      <c r="C486" s="824"/>
      <c r="D486" s="1021" t="s">
        <v>1245</v>
      </c>
      <c r="E486" s="1021"/>
      <c r="F486" s="1021"/>
      <c r="G486" s="696"/>
    </row>
    <row r="487" spans="1:7" s="746" customFormat="1">
      <c r="A487" s="820"/>
      <c r="B487" s="820"/>
      <c r="C487" s="824"/>
      <c r="D487" s="1021"/>
      <c r="E487" s="1021"/>
      <c r="F487" s="1021"/>
      <c r="G487" s="696"/>
    </row>
    <row r="488" spans="1:7" s="746" customFormat="1">
      <c r="A488" s="820"/>
      <c r="B488" s="820"/>
      <c r="C488" s="824"/>
      <c r="D488" s="1021"/>
      <c r="E488" s="1021"/>
      <c r="F488" s="1021"/>
      <c r="G488" s="696"/>
    </row>
    <row r="489" spans="1:7" s="746" customFormat="1">
      <c r="A489" s="820"/>
      <c r="B489" s="820"/>
      <c r="C489" s="824"/>
      <c r="D489" s="1021"/>
      <c r="E489" s="1021"/>
      <c r="F489" s="1021"/>
      <c r="G489" s="696"/>
    </row>
    <row r="490" spans="1:7" s="746" customFormat="1">
      <c r="A490" s="820"/>
      <c r="B490" s="820"/>
      <c r="C490" s="824"/>
      <c r="D490" s="1021"/>
      <c r="E490" s="1021"/>
      <c r="F490" s="1021"/>
      <c r="G490" s="696"/>
    </row>
    <row r="491" spans="1:7" s="746" customFormat="1">
      <c r="A491" s="820"/>
      <c r="B491" s="820"/>
      <c r="C491" s="824"/>
      <c r="D491" s="1021"/>
      <c r="E491" s="1021"/>
      <c r="F491" s="1021"/>
      <c r="G491" s="696"/>
    </row>
    <row r="492" spans="1:7" s="746" customFormat="1">
      <c r="A492" s="820"/>
      <c r="B492" s="820"/>
      <c r="C492" s="824"/>
      <c r="D492" s="1021"/>
      <c r="E492" s="1021"/>
      <c r="F492" s="1021"/>
      <c r="G492" s="696"/>
    </row>
    <row r="493" spans="1:7" s="746" customFormat="1">
      <c r="A493" s="860"/>
      <c r="B493" s="860"/>
      <c r="C493" s="861"/>
      <c r="D493" s="1021"/>
      <c r="E493" s="1021"/>
      <c r="F493" s="1021"/>
      <c r="G493" s="696"/>
    </row>
    <row r="494" spans="1:7" s="746" customFormat="1">
      <c r="A494" s="860"/>
      <c r="B494" s="860"/>
      <c r="C494" s="861"/>
      <c r="D494" s="1021"/>
      <c r="E494" s="1021"/>
      <c r="F494" s="1021"/>
      <c r="G494" s="696"/>
    </row>
    <row r="495" spans="1:7" s="746" customFormat="1">
      <c r="A495" s="860"/>
      <c r="B495" s="860"/>
      <c r="C495" s="861"/>
      <c r="D495" s="757"/>
      <c r="E495" s="696"/>
      <c r="F495" s="810"/>
      <c r="G495" s="696"/>
    </row>
    <row r="496" spans="1:7" s="746" customFormat="1" ht="13.7" customHeight="1">
      <c r="A496" s="860"/>
      <c r="B496" s="823" t="s">
        <v>329</v>
      </c>
      <c r="C496" s="861"/>
      <c r="D496" s="1021" t="s">
        <v>1389</v>
      </c>
      <c r="E496" s="1021"/>
      <c r="F496" s="1021"/>
      <c r="G496" s="696"/>
    </row>
    <row r="497" spans="1:7" s="746" customFormat="1">
      <c r="A497" s="860"/>
      <c r="B497" s="860"/>
      <c r="C497" s="861"/>
      <c r="D497" s="1021"/>
      <c r="E497" s="1021"/>
      <c r="F497" s="1021"/>
      <c r="G497" s="696"/>
    </row>
    <row r="498" spans="1:7" s="746" customFormat="1">
      <c r="A498" s="860"/>
      <c r="B498" s="860"/>
      <c r="C498" s="861"/>
      <c r="D498" s="1021"/>
      <c r="E498" s="1021"/>
      <c r="F498" s="1021"/>
      <c r="G498" s="696"/>
    </row>
    <row r="499" spans="1:7" s="746" customFormat="1">
      <c r="A499" s="860"/>
      <c r="B499" s="860"/>
      <c r="C499" s="861"/>
      <c r="D499" s="1021"/>
      <c r="E499" s="1021"/>
      <c r="F499" s="1021"/>
      <c r="G499" s="696"/>
    </row>
    <row r="500" spans="1:7" s="746" customFormat="1">
      <c r="A500" s="820"/>
      <c r="B500" s="820"/>
      <c r="C500" s="824"/>
      <c r="D500" s="1021"/>
      <c r="E500" s="1021"/>
      <c r="F500" s="1021"/>
      <c r="G500" s="696"/>
    </row>
    <row r="501" spans="1:7" s="746" customFormat="1">
      <c r="A501" s="820"/>
      <c r="B501" s="820"/>
      <c r="C501" s="824"/>
      <c r="D501" s="912"/>
      <c r="E501" s="912"/>
      <c r="F501" s="912"/>
      <c r="G501" s="696"/>
    </row>
    <row r="502" spans="1:7" s="746" customFormat="1" ht="13.35" customHeight="1">
      <c r="A502" s="820"/>
      <c r="B502" s="823" t="s">
        <v>329</v>
      </c>
      <c r="C502" s="824"/>
      <c r="D502" s="1057" t="s">
        <v>1273</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1021" t="s">
        <v>1247</v>
      </c>
      <c r="E505" s="1021"/>
      <c r="F505" s="1021"/>
      <c r="G505" s="696"/>
    </row>
    <row r="506" spans="1:7" s="746" customFormat="1">
      <c r="A506" s="813"/>
      <c r="B506" s="813"/>
      <c r="C506" s="829"/>
      <c r="D506" s="1021"/>
      <c r="E506" s="1021"/>
      <c r="F506" s="1021"/>
      <c r="G506" s="696"/>
    </row>
    <row r="507" spans="1:7" s="746" customFormat="1">
      <c r="A507" s="813"/>
      <c r="B507" s="813"/>
      <c r="C507" s="829"/>
      <c r="D507" s="1021"/>
      <c r="E507" s="1021"/>
      <c r="F507" s="1021"/>
      <c r="G507" s="696"/>
    </row>
    <row r="508" spans="1:7" s="746" customFormat="1" ht="12" customHeight="1">
      <c r="A508" s="825"/>
      <c r="B508" s="825"/>
      <c r="C508" s="833"/>
      <c r="D508" s="825"/>
      <c r="E508" s="696"/>
      <c r="F508" s="862"/>
      <c r="G508" s="696"/>
    </row>
    <row r="509" spans="1:7">
      <c r="A509" s="987" t="s">
        <v>1210</v>
      </c>
      <c r="B509" s="987"/>
      <c r="C509" s="987"/>
      <c r="D509" s="987"/>
      <c r="E509" s="987"/>
      <c r="F509" s="987"/>
      <c r="G509" s="987"/>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988" t="s">
        <v>1211</v>
      </c>
      <c r="B513" s="988"/>
      <c r="C513" s="988"/>
      <c r="D513" s="988"/>
      <c r="E513" s="988"/>
      <c r="F513" s="988"/>
      <c r="G513" s="988"/>
    </row>
    <row r="514" spans="1:7">
      <c r="A514" s="825"/>
      <c r="B514" s="825"/>
      <c r="C514" s="854"/>
      <c r="D514" s="825"/>
      <c r="F514" s="825"/>
    </row>
    <row r="515" spans="1:7">
      <c r="C515" s="854"/>
      <c r="D515" s="977" t="s">
        <v>737</v>
      </c>
      <c r="E515" s="977"/>
      <c r="F515" s="977"/>
    </row>
    <row r="516" spans="1:7">
      <c r="C516" s="854"/>
      <c r="D516" s="1027" t="s">
        <v>1268</v>
      </c>
      <c r="E516" s="1027"/>
      <c r="F516" s="1027"/>
    </row>
    <row r="517" spans="1:7">
      <c r="C517" s="854"/>
      <c r="D517" s="810"/>
      <c r="E517" s="810"/>
      <c r="F517" s="810"/>
    </row>
    <row r="518" spans="1:7" ht="13.7" customHeight="1">
      <c r="A518" s="822"/>
      <c r="B518" s="823" t="s">
        <v>329</v>
      </c>
      <c r="C518" s="854"/>
      <c r="D518" s="1027" t="s">
        <v>979</v>
      </c>
      <c r="E518" s="1027"/>
      <c r="F518" s="1027"/>
      <c r="G518" s="815"/>
    </row>
    <row r="519" spans="1:7" ht="13.7" customHeight="1">
      <c r="A519" s="854"/>
      <c r="B519" s="854"/>
      <c r="C519" s="854"/>
      <c r="D519" s="810"/>
      <c r="E519" s="642"/>
      <c r="F519" s="642"/>
      <c r="G519" s="815"/>
    </row>
    <row r="520" spans="1:7" ht="14.25">
      <c r="A520" s="822"/>
      <c r="B520" s="823" t="s">
        <v>329</v>
      </c>
      <c r="C520" s="854"/>
      <c r="D520" s="1022" t="s">
        <v>1269</v>
      </c>
      <c r="E520" s="1022"/>
      <c r="F520" s="1022"/>
      <c r="G520" s="815"/>
    </row>
    <row r="521" spans="1:7">
      <c r="A521" s="854"/>
      <c r="B521" s="854"/>
      <c r="C521" s="854"/>
      <c r="D521" s="1022"/>
      <c r="E521" s="1022"/>
      <c r="F521" s="1022"/>
      <c r="G521" s="815"/>
    </row>
    <row r="522" spans="1:7">
      <c r="A522" s="854"/>
      <c r="B522" s="854"/>
      <c r="C522" s="854"/>
      <c r="D522" s="825"/>
      <c r="E522" s="825"/>
      <c r="F522" s="825"/>
      <c r="G522" s="815"/>
    </row>
    <row r="523" spans="1:7" ht="14.25">
      <c r="A523" s="822"/>
      <c r="B523" s="823" t="s">
        <v>329</v>
      </c>
      <c r="C523" s="854"/>
      <c r="D523" s="1022" t="s">
        <v>1270</v>
      </c>
      <c r="E523" s="1022"/>
      <c r="F523" s="1022"/>
      <c r="G523" s="815"/>
    </row>
    <row r="524" spans="1:7">
      <c r="A524" s="854"/>
      <c r="B524" s="854"/>
      <c r="C524" s="854"/>
      <c r="D524" s="1022"/>
      <c r="E524" s="1022"/>
      <c r="F524" s="1022"/>
      <c r="G524" s="815"/>
    </row>
    <row r="525" spans="1:7">
      <c r="A525" s="854"/>
      <c r="B525" s="854"/>
      <c r="C525" s="854"/>
      <c r="D525" s="825"/>
      <c r="E525" s="825"/>
      <c r="F525" s="825"/>
      <c r="G525" s="815"/>
    </row>
    <row r="526" spans="1:7" ht="14.25">
      <c r="A526" s="822"/>
      <c r="B526" s="823" t="s">
        <v>329</v>
      </c>
      <c r="C526" s="854"/>
      <c r="D526" s="1022" t="s">
        <v>1271</v>
      </c>
      <c r="E526" s="1022"/>
      <c r="F526" s="1022"/>
      <c r="G526" s="815"/>
    </row>
    <row r="527" spans="1:7">
      <c r="A527" s="854"/>
      <c r="B527" s="854"/>
      <c r="C527" s="854"/>
      <c r="D527" s="1022"/>
      <c r="E527" s="1022"/>
      <c r="F527" s="1022"/>
      <c r="G527" s="815"/>
    </row>
    <row r="528" spans="1:7">
      <c r="A528" s="854"/>
      <c r="B528" s="854"/>
      <c r="C528" s="854"/>
      <c r="D528" s="825"/>
      <c r="E528" s="825"/>
      <c r="F528" s="825"/>
      <c r="G528" s="815"/>
    </row>
    <row r="529" spans="1:7" ht="14.25">
      <c r="A529" s="822"/>
      <c r="B529" s="823" t="s">
        <v>329</v>
      </c>
      <c r="C529" s="854"/>
      <c r="D529" s="1022" t="s">
        <v>1272</v>
      </c>
      <c r="E529" s="1022"/>
      <c r="F529" s="1022"/>
      <c r="G529" s="815"/>
    </row>
    <row r="530" spans="1:7">
      <c r="A530" s="854"/>
      <c r="B530" s="854"/>
      <c r="C530" s="854"/>
      <c r="D530" s="1022"/>
      <c r="E530" s="1022"/>
      <c r="F530" s="1022"/>
      <c r="G530" s="815"/>
    </row>
    <row r="531" spans="1:7">
      <c r="A531" s="854"/>
      <c r="B531" s="854"/>
      <c r="C531" s="854"/>
      <c r="D531" s="1022"/>
      <c r="E531" s="1022"/>
      <c r="F531" s="1022"/>
      <c r="G531" s="815"/>
    </row>
    <row r="532" spans="1:7">
      <c r="A532" s="854"/>
      <c r="B532" s="854"/>
      <c r="C532" s="854"/>
      <c r="D532" s="825"/>
      <c r="E532" s="825"/>
      <c r="F532" s="825"/>
    </row>
    <row r="533" spans="1:7" ht="14.25">
      <c r="A533" s="822"/>
      <c r="B533" s="823" t="s">
        <v>329</v>
      </c>
      <c r="C533" s="854"/>
      <c r="D533" s="1057" t="s">
        <v>1390</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22" t="s">
        <v>1274</v>
      </c>
      <c r="E536" s="1022"/>
      <c r="F536" s="1022"/>
    </row>
    <row r="537" spans="1:7">
      <c r="A537" s="854"/>
      <c r="B537" s="854"/>
      <c r="C537" s="854"/>
      <c r="D537" s="1022"/>
      <c r="E537" s="1022"/>
      <c r="F537" s="1022"/>
      <c r="G537" s="844"/>
    </row>
    <row r="538" spans="1:7">
      <c r="A538" s="854"/>
      <c r="B538" s="854"/>
      <c r="C538" s="854"/>
      <c r="D538" s="825"/>
      <c r="E538" s="825"/>
      <c r="F538" s="825"/>
      <c r="G538" s="844"/>
    </row>
    <row r="539" spans="1:7" ht="14.25">
      <c r="A539" s="822"/>
      <c r="B539" s="823" t="s">
        <v>329</v>
      </c>
      <c r="C539" s="854"/>
      <c r="D539" s="1027" t="s">
        <v>1275</v>
      </c>
      <c r="E539" s="1027"/>
      <c r="F539" s="1027"/>
      <c r="G539" s="844"/>
    </row>
    <row r="540" spans="1:7">
      <c r="A540" s="841"/>
      <c r="B540" s="841"/>
      <c r="C540" s="854"/>
      <c r="D540" s="1027" t="s">
        <v>905</v>
      </c>
      <c r="E540" s="1027"/>
      <c r="F540" s="1027"/>
      <c r="G540" s="844"/>
    </row>
    <row r="541" spans="1:7">
      <c r="A541" s="841"/>
      <c r="B541" s="841"/>
      <c r="C541" s="854"/>
      <c r="D541" s="696"/>
      <c r="E541" s="1062" t="s">
        <v>1276</v>
      </c>
      <c r="F541" s="1062"/>
      <c r="G541" s="844"/>
    </row>
    <row r="542" spans="1:7" ht="14.25">
      <c r="A542" s="822"/>
      <c r="B542" s="822"/>
      <c r="C542" s="854"/>
      <c r="E542" s="825"/>
      <c r="F542" s="825"/>
      <c r="G542" s="844"/>
    </row>
    <row r="543" spans="1:7" ht="14.25">
      <c r="A543" s="822"/>
      <c r="B543" s="823" t="s">
        <v>329</v>
      </c>
      <c r="C543" s="854"/>
      <c r="D543" s="1059" t="s">
        <v>1277</v>
      </c>
      <c r="E543" s="1059"/>
      <c r="F543" s="1059"/>
      <c r="G543" s="844"/>
    </row>
    <row r="544" spans="1:7">
      <c r="C544" s="854"/>
      <c r="D544" s="1022" t="s">
        <v>1278</v>
      </c>
      <c r="E544" s="1022"/>
      <c r="F544" s="1022"/>
      <c r="G544" s="844"/>
    </row>
    <row r="545" spans="1:7">
      <c r="A545" s="854"/>
      <c r="B545" s="854"/>
      <c r="C545" s="854"/>
      <c r="D545" s="1022"/>
      <c r="E545" s="1022"/>
      <c r="F545" s="1022"/>
      <c r="G545" s="844"/>
    </row>
    <row r="546" spans="1:7">
      <c r="A546" s="854"/>
      <c r="B546" s="854"/>
      <c r="C546" s="854"/>
      <c r="D546" s="1022"/>
      <c r="E546" s="1022"/>
      <c r="F546" s="1022"/>
      <c r="G546" s="844"/>
    </row>
    <row r="547" spans="1:7">
      <c r="A547" s="854"/>
      <c r="B547" s="854"/>
      <c r="C547" s="854"/>
      <c r="D547" s="825"/>
      <c r="E547" s="825"/>
      <c r="F547" s="825"/>
      <c r="G547" s="844"/>
    </row>
    <row r="548" spans="1:7" ht="14.25">
      <c r="A548" s="822"/>
      <c r="B548" s="823" t="s">
        <v>329</v>
      </c>
      <c r="C548" s="854"/>
      <c r="D548" s="1022" t="s">
        <v>1279</v>
      </c>
      <c r="E548" s="1022"/>
      <c r="F548" s="1022"/>
      <c r="G548" s="844"/>
    </row>
    <row r="549" spans="1:7" ht="14.25">
      <c r="A549" s="822"/>
      <c r="B549" s="822"/>
      <c r="C549" s="854"/>
      <c r="D549" s="1022"/>
      <c r="E549" s="1022"/>
      <c r="F549" s="1022"/>
      <c r="G549" s="844"/>
    </row>
    <row r="550" spans="1:7" ht="14.25">
      <c r="A550" s="822"/>
      <c r="B550" s="822"/>
      <c r="C550" s="854"/>
      <c r="D550" s="1022"/>
      <c r="E550" s="1022"/>
      <c r="F550" s="1022"/>
      <c r="G550" s="844"/>
    </row>
    <row r="551" spans="1:7" ht="14.25">
      <c r="A551" s="822"/>
      <c r="B551" s="822"/>
      <c r="C551" s="854"/>
      <c r="D551" s="1022"/>
      <c r="E551" s="1022"/>
      <c r="F551" s="1022"/>
      <c r="G551" s="844"/>
    </row>
    <row r="552" spans="1:7" ht="14.25">
      <c r="A552" s="822"/>
      <c r="B552" s="822"/>
      <c r="C552" s="854"/>
      <c r="D552" s="825"/>
      <c r="E552" s="825"/>
      <c r="F552" s="825"/>
      <c r="G552" s="844"/>
    </row>
    <row r="553" spans="1:7">
      <c r="A553" s="987" t="s">
        <v>1212</v>
      </c>
      <c r="B553" s="987"/>
      <c r="C553" s="987"/>
      <c r="D553" s="987"/>
      <c r="E553" s="987"/>
      <c r="F553" s="987"/>
      <c r="G553" s="987"/>
    </row>
    <row r="554" spans="1:7">
      <c r="A554" s="854"/>
      <c r="B554" s="854"/>
      <c r="C554" s="854"/>
      <c r="E554" s="825"/>
      <c r="F554" s="825"/>
      <c r="G554" s="844"/>
    </row>
    <row r="555" spans="1:7" ht="12.75" customHeight="1">
      <c r="C555" s="818"/>
      <c r="D555" s="1064" t="s">
        <v>225</v>
      </c>
      <c r="E555" s="1064"/>
      <c r="F555" s="1064"/>
      <c r="G555" s="844"/>
    </row>
    <row r="556" spans="1:7">
      <c r="A556" s="820"/>
      <c r="B556" s="820"/>
      <c r="C556" s="820"/>
      <c r="D556" s="1009" t="s">
        <v>1228</v>
      </c>
      <c r="E556" s="1009"/>
      <c r="F556" s="1009"/>
      <c r="G556" s="844"/>
    </row>
    <row r="557" spans="1:7">
      <c r="A557" s="815"/>
      <c r="B557" s="815"/>
      <c r="C557" s="820"/>
      <c r="D557" s="864"/>
      <c r="G557" s="844"/>
    </row>
    <row r="558" spans="1:7">
      <c r="A558" s="820"/>
      <c r="B558" s="823" t="s">
        <v>329</v>
      </c>
      <c r="D558" s="1009" t="s">
        <v>985</v>
      </c>
      <c r="E558" s="1009"/>
      <c r="F558" s="1009"/>
      <c r="G558" s="844"/>
    </row>
    <row r="559" spans="1:7">
      <c r="A559" s="841"/>
      <c r="B559" s="841"/>
      <c r="D559" s="839"/>
    </row>
    <row r="560" spans="1:7">
      <c r="A560" s="841"/>
      <c r="B560" s="823" t="s">
        <v>329</v>
      </c>
      <c r="D560" s="1010" t="s">
        <v>1229</v>
      </c>
      <c r="E560" s="1010"/>
      <c r="F560" s="1010"/>
    </row>
    <row r="561" spans="1:7">
      <c r="A561" s="841"/>
      <c r="B561" s="841"/>
      <c r="D561" s="1010"/>
      <c r="E561" s="1010"/>
      <c r="F561" s="1010"/>
      <c r="G561" s="815"/>
    </row>
    <row r="562" spans="1:7">
      <c r="A562" s="841"/>
      <c r="B562" s="841"/>
      <c r="D562" s="1010"/>
      <c r="E562" s="1010"/>
      <c r="F562" s="1010"/>
      <c r="G562" s="815"/>
    </row>
    <row r="563" spans="1:7">
      <c r="A563" s="841"/>
      <c r="B563" s="841"/>
      <c r="D563" s="1010"/>
      <c r="E563" s="1010"/>
      <c r="F563" s="1010"/>
      <c r="G563" s="815"/>
    </row>
    <row r="564" spans="1:7">
      <c r="A564" s="841"/>
      <c r="B564" s="823" t="s">
        <v>329</v>
      </c>
      <c r="D564" s="1010" t="s">
        <v>1230</v>
      </c>
      <c r="E564" s="1010"/>
      <c r="F564" s="1010"/>
      <c r="G564" s="815"/>
    </row>
    <row r="565" spans="1:7">
      <c r="A565" s="841"/>
      <c r="B565" s="841"/>
      <c r="D565" s="1010"/>
      <c r="E565" s="1010"/>
      <c r="F565" s="1010"/>
      <c r="G565" s="815"/>
    </row>
    <row r="566" spans="1:7">
      <c r="A566" s="841"/>
      <c r="B566" s="841"/>
      <c r="D566" s="1010"/>
      <c r="E566" s="1010"/>
      <c r="F566" s="1010"/>
      <c r="G566" s="815"/>
    </row>
    <row r="567" spans="1:7">
      <c r="A567" s="841"/>
      <c r="B567" s="841"/>
      <c r="D567" s="1010"/>
      <c r="E567" s="1010"/>
      <c r="F567" s="1010"/>
      <c r="G567" s="815"/>
    </row>
    <row r="568" spans="1:7">
      <c r="A568" s="841"/>
      <c r="B568" s="841"/>
      <c r="D568" s="807"/>
      <c r="E568" s="807"/>
      <c r="F568" s="807"/>
      <c r="G568" s="815"/>
    </row>
    <row r="569" spans="1:7">
      <c r="A569" s="841"/>
      <c r="B569" s="823" t="s">
        <v>329</v>
      </c>
      <c r="D569" s="1010" t="s">
        <v>1231</v>
      </c>
      <c r="E569" s="1010"/>
      <c r="F569" s="1010"/>
      <c r="G569" s="815"/>
    </row>
    <row r="570" spans="1:7">
      <c r="A570" s="841"/>
      <c r="B570" s="841"/>
      <c r="D570" s="1010"/>
      <c r="E570" s="1010"/>
      <c r="F570" s="1010"/>
      <c r="G570" s="815"/>
    </row>
    <row r="571" spans="1:7">
      <c r="A571" s="841"/>
      <c r="B571" s="841"/>
      <c r="D571" s="864"/>
      <c r="G571" s="815"/>
    </row>
    <row r="572" spans="1:7">
      <c r="A572" s="841"/>
      <c r="B572" s="823" t="s">
        <v>329</v>
      </c>
      <c r="D572" s="1009" t="s">
        <v>1232</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980</v>
      </c>
      <c r="E575" s="1009"/>
      <c r="F575" s="1009"/>
      <c r="G575" s="815"/>
    </row>
    <row r="576" spans="1:7" ht="14.25">
      <c r="A576" s="822"/>
      <c r="B576" s="822"/>
      <c r="D576" s="864"/>
      <c r="G576" s="815"/>
    </row>
    <row r="577" spans="1:7">
      <c r="A577" s="987" t="s">
        <v>1213</v>
      </c>
      <c r="B577" s="987"/>
      <c r="C577" s="987"/>
      <c r="D577" s="987"/>
      <c r="E577" s="987"/>
      <c r="F577" s="987"/>
      <c r="G577" s="987"/>
    </row>
    <row r="578" spans="1:7"/>
    <row r="579" spans="1:7">
      <c r="D579" s="977" t="s">
        <v>1313</v>
      </c>
      <c r="E579" s="977"/>
      <c r="F579" s="977"/>
    </row>
    <row r="580" spans="1:7">
      <c r="D580" s="978" t="s">
        <v>1314</v>
      </c>
      <c r="E580" s="978"/>
      <c r="F580" s="978"/>
    </row>
    <row r="581" spans="1:7">
      <c r="D581" s="804"/>
      <c r="E581" s="746"/>
      <c r="F581" s="746"/>
    </row>
    <row r="582" spans="1:7" s="816" customFormat="1" ht="14.25">
      <c r="A582" s="830"/>
      <c r="B582" s="823" t="s">
        <v>329</v>
      </c>
      <c r="C582" s="826"/>
      <c r="D582" s="979" t="s">
        <v>1315</v>
      </c>
      <c r="E582" s="979"/>
      <c r="F582" s="979"/>
      <c r="G582" s="827"/>
    </row>
    <row r="583" spans="1:7">
      <c r="D583" s="979"/>
      <c r="E583" s="979"/>
      <c r="F583" s="979"/>
    </row>
    <row r="584" spans="1:7">
      <c r="D584" s="979"/>
      <c r="E584" s="979"/>
      <c r="F584" s="979"/>
    </row>
    <row r="585" spans="1:7"/>
    <row r="586" spans="1:7">
      <c r="A586" s="987" t="s">
        <v>1214</v>
      </c>
      <c r="B586" s="987"/>
      <c r="C586" s="987"/>
      <c r="D586" s="987"/>
      <c r="E586" s="987"/>
      <c r="F586" s="987"/>
      <c r="G586" s="987"/>
    </row>
    <row r="587" spans="1:7">
      <c r="A587" s="825"/>
      <c r="B587" s="825"/>
      <c r="G587" s="844"/>
    </row>
    <row r="588" spans="1:7">
      <c r="A588" s="865"/>
      <c r="B588" s="865"/>
      <c r="C588" s="818"/>
      <c r="D588" s="980" t="s">
        <v>1316</v>
      </c>
      <c r="E588" s="980"/>
      <c r="F588" s="980"/>
      <c r="G588" s="844"/>
    </row>
    <row r="589" spans="1:7">
      <c r="A589" s="865"/>
      <c r="B589" s="865"/>
      <c r="C589" s="818"/>
      <c r="D589" s="980"/>
      <c r="E589" s="980"/>
      <c r="F589" s="980"/>
      <c r="G589" s="844"/>
    </row>
    <row r="590" spans="1:7">
      <c r="C590" s="820"/>
      <c r="D590" s="978" t="s">
        <v>1317</v>
      </c>
      <c r="E590" s="978"/>
      <c r="F590" s="978"/>
      <c r="G590" s="844"/>
    </row>
    <row r="591" spans="1:7">
      <c r="C591" s="820"/>
      <c r="D591" s="804"/>
      <c r="E591" s="804"/>
      <c r="F591" s="804"/>
      <c r="G591" s="844"/>
    </row>
    <row r="592" spans="1:7">
      <c r="A592" s="841"/>
      <c r="B592" s="823" t="s">
        <v>329</v>
      </c>
      <c r="D592" s="978" t="s">
        <v>467</v>
      </c>
      <c r="E592" s="978"/>
      <c r="F592" s="978"/>
      <c r="G592" s="844"/>
    </row>
    <row r="593" spans="1:7">
      <c r="C593" s="866"/>
      <c r="E593" s="815"/>
      <c r="G593" s="844"/>
    </row>
    <row r="594" spans="1:7">
      <c r="A594" s="841"/>
      <c r="B594" s="823" t="s">
        <v>329</v>
      </c>
      <c r="D594" s="981" t="s">
        <v>1318</v>
      </c>
      <c r="E594" s="981"/>
      <c r="F594" s="981"/>
      <c r="G594" s="844"/>
    </row>
    <row r="595" spans="1:7">
      <c r="D595" s="981"/>
      <c r="E595" s="981"/>
      <c r="F595" s="981"/>
      <c r="G595" s="844"/>
    </row>
    <row r="596" spans="1:7">
      <c r="D596" s="815"/>
      <c r="G596" s="844"/>
    </row>
    <row r="597" spans="1:7">
      <c r="B597" s="823" t="s">
        <v>329</v>
      </c>
      <c r="D597" s="981" t="s">
        <v>1319</v>
      </c>
      <c r="E597" s="981"/>
      <c r="F597" s="981"/>
      <c r="G597" s="844"/>
    </row>
    <row r="598" spans="1:7">
      <c r="C598" s="866"/>
      <c r="D598" s="981"/>
      <c r="E598" s="981"/>
      <c r="F598" s="981"/>
      <c r="G598" s="844"/>
    </row>
    <row r="599" spans="1:7">
      <c r="C599" s="866"/>
      <c r="G599" s="844"/>
    </row>
    <row r="600" spans="1:7">
      <c r="B600" s="823" t="s">
        <v>329</v>
      </c>
      <c r="C600" s="866"/>
      <c r="D600" s="981" t="s">
        <v>1320</v>
      </c>
      <c r="E600" s="981"/>
      <c r="F600" s="981"/>
      <c r="G600" s="844"/>
    </row>
    <row r="601" spans="1:7">
      <c r="C601" s="866"/>
      <c r="D601" s="981"/>
      <c r="E601" s="981"/>
      <c r="F601" s="981"/>
      <c r="G601" s="844"/>
    </row>
    <row r="602" spans="1:7">
      <c r="C602" s="866"/>
      <c r="G602" s="844"/>
    </row>
    <row r="603" spans="1:7">
      <c r="A603" s="987" t="s">
        <v>1215</v>
      </c>
      <c r="B603" s="987"/>
      <c r="C603" s="987"/>
      <c r="D603" s="987"/>
      <c r="E603" s="987"/>
      <c r="F603" s="987"/>
      <c r="G603" s="987"/>
    </row>
    <row r="604" spans="1:7">
      <c r="A604" s="867"/>
      <c r="B604" s="867"/>
      <c r="C604" s="867"/>
      <c r="G604" s="844"/>
    </row>
    <row r="605" spans="1:7">
      <c r="C605" s="841"/>
      <c r="D605" s="977" t="s">
        <v>1321</v>
      </c>
      <c r="E605" s="977"/>
      <c r="F605" s="977"/>
      <c r="G605" s="844"/>
    </row>
    <row r="606" spans="1:7">
      <c r="A606" s="841"/>
      <c r="B606" s="841"/>
      <c r="C606" s="843"/>
      <c r="D606" s="819"/>
      <c r="G606" s="844"/>
    </row>
    <row r="607" spans="1:7" ht="14.25">
      <c r="A607" s="822"/>
      <c r="B607" s="823" t="s">
        <v>329</v>
      </c>
      <c r="C607" s="843"/>
      <c r="D607" s="1022" t="s">
        <v>1567</v>
      </c>
      <c r="E607" s="1022"/>
      <c r="F607" s="1022"/>
      <c r="G607" s="844"/>
    </row>
    <row r="608" spans="1:7">
      <c r="C608" s="843"/>
      <c r="D608" s="1022"/>
      <c r="E608" s="1022"/>
      <c r="F608" s="1022"/>
      <c r="G608" s="844"/>
    </row>
    <row r="609" spans="1:7">
      <c r="C609" s="843"/>
      <c r="D609" s="1022"/>
      <c r="E609" s="1022"/>
      <c r="F609" s="1022"/>
      <c r="G609" s="844"/>
    </row>
    <row r="610" spans="1:7">
      <c r="C610" s="843"/>
      <c r="D610" s="1022"/>
      <c r="E610" s="1022"/>
      <c r="F610" s="1022"/>
      <c r="G610" s="844"/>
    </row>
    <row r="611" spans="1:7">
      <c r="C611" s="843"/>
      <c r="D611" s="1022"/>
      <c r="E611" s="1022"/>
      <c r="F611" s="1022"/>
      <c r="G611" s="844"/>
    </row>
    <row r="612" spans="1:7">
      <c r="C612" s="843"/>
      <c r="D612" s="1022"/>
      <c r="E612" s="1022"/>
      <c r="F612" s="1022"/>
      <c r="G612" s="844"/>
    </row>
    <row r="613" spans="1:7">
      <c r="C613" s="843"/>
      <c r="D613" s="809"/>
      <c r="E613" s="809"/>
      <c r="F613" s="809"/>
      <c r="G613" s="844"/>
    </row>
    <row r="614" spans="1:7" ht="14.25">
      <c r="A614" s="822"/>
      <c r="B614" s="823" t="s">
        <v>329</v>
      </c>
      <c r="C614" s="843"/>
      <c r="D614" s="1022" t="s">
        <v>1323</v>
      </c>
      <c r="E614" s="1022"/>
      <c r="F614" s="1022"/>
      <c r="G614" s="844"/>
    </row>
    <row r="615" spans="1:7">
      <c r="A615" s="854"/>
      <c r="B615" s="854"/>
      <c r="C615" s="854"/>
      <c r="D615" s="1022"/>
      <c r="E615" s="1022"/>
      <c r="F615" s="1022"/>
      <c r="G615" s="844"/>
    </row>
    <row r="616" spans="1:7">
      <c r="A616" s="854"/>
      <c r="B616" s="854"/>
      <c r="C616" s="854"/>
      <c r="D616" s="810"/>
      <c r="E616" s="868"/>
      <c r="F616" s="868"/>
      <c r="G616" s="844"/>
    </row>
    <row r="617" spans="1:7" ht="14.25">
      <c r="A617" s="822"/>
      <c r="B617" s="823" t="s">
        <v>329</v>
      </c>
      <c r="C617" s="854"/>
      <c r="D617" s="979" t="s">
        <v>1493</v>
      </c>
      <c r="E617" s="979"/>
      <c r="F617" s="979"/>
      <c r="G617" s="844"/>
    </row>
    <row r="618" spans="1:7" ht="14.25">
      <c r="A618" s="822"/>
      <c r="B618" s="822"/>
      <c r="C618" s="854"/>
      <c r="D618" s="979"/>
      <c r="E618" s="979"/>
      <c r="F618" s="979"/>
      <c r="G618" s="844"/>
    </row>
    <row r="619" spans="1:7" ht="14.25">
      <c r="A619" s="822"/>
      <c r="B619" s="822"/>
      <c r="C619" s="854"/>
      <c r="D619" s="979"/>
      <c r="E619" s="979"/>
      <c r="F619" s="979"/>
      <c r="G619" s="844"/>
    </row>
    <row r="620" spans="1:7">
      <c r="A620" s="854"/>
      <c r="B620" s="823" t="s">
        <v>329</v>
      </c>
      <c r="C620" s="854"/>
      <c r="D620" s="1027" t="s">
        <v>1325</v>
      </c>
      <c r="E620" s="1027"/>
      <c r="F620" s="1027"/>
      <c r="G620" s="844"/>
    </row>
    <row r="621" spans="1:7">
      <c r="A621" s="854"/>
      <c r="B621" s="854"/>
      <c r="C621" s="854"/>
      <c r="D621" s="751"/>
      <c r="E621" s="751"/>
      <c r="F621" s="751"/>
      <c r="G621" s="844"/>
    </row>
    <row r="622" spans="1:7">
      <c r="A622" s="987" t="s">
        <v>1216</v>
      </c>
      <c r="B622" s="987"/>
      <c r="C622" s="987"/>
      <c r="D622" s="987"/>
      <c r="E622" s="987"/>
      <c r="F622" s="987"/>
      <c r="G622" s="987"/>
    </row>
    <row r="623" spans="1:7">
      <c r="A623" s="825"/>
      <c r="B623" s="825"/>
      <c r="C623" s="854"/>
      <c r="D623" s="868"/>
      <c r="E623" s="868"/>
      <c r="F623" s="868"/>
      <c r="G623" s="844"/>
    </row>
    <row r="624" spans="1:7">
      <c r="C624" s="867"/>
      <c r="D624" s="1070" t="s">
        <v>1375</v>
      </c>
      <c r="E624" s="1070"/>
      <c r="F624" s="1070"/>
      <c r="G624" s="844"/>
    </row>
    <row r="625" spans="1:7">
      <c r="A625" s="820"/>
      <c r="B625" s="820"/>
      <c r="C625" s="820"/>
      <c r="D625" s="1071" t="s">
        <v>1376</v>
      </c>
      <c r="E625" s="1071"/>
      <c r="F625" s="1071"/>
      <c r="G625" s="844"/>
    </row>
    <row r="626" spans="1:7">
      <c r="A626" s="820"/>
      <c r="B626" s="820"/>
      <c r="C626" s="820"/>
      <c r="D626" s="751"/>
      <c r="E626" s="751"/>
      <c r="F626" s="751"/>
      <c r="G626" s="844"/>
    </row>
    <row r="627" spans="1:7" ht="12.75" customHeight="1">
      <c r="B627" s="823" t="s">
        <v>329</v>
      </c>
      <c r="C627" s="854"/>
      <c r="D627" s="1056" t="s">
        <v>1601</v>
      </c>
      <c r="E627" s="1056"/>
      <c r="F627" s="1056"/>
    </row>
    <row r="628" spans="1:7">
      <c r="D628" s="1056"/>
      <c r="E628" s="1056"/>
      <c r="F628" s="1056"/>
    </row>
    <row r="629" spans="1:7">
      <c r="D629" s="1056"/>
      <c r="E629" s="1056"/>
      <c r="F629" s="1056"/>
    </row>
    <row r="630" spans="1:7">
      <c r="D630" s="1056"/>
      <c r="E630" s="1056"/>
      <c r="F630" s="1056"/>
    </row>
    <row r="631" spans="1:7" ht="14.45" customHeight="1">
      <c r="A631" s="822"/>
      <c r="B631" s="822"/>
      <c r="C631" s="854"/>
      <c r="D631" s="943"/>
      <c r="E631" s="943"/>
      <c r="F631" s="943"/>
      <c r="G631" s="844"/>
    </row>
    <row r="632" spans="1:7" ht="12.75" customHeight="1">
      <c r="A632" s="820"/>
      <c r="B632" s="823" t="s">
        <v>329</v>
      </c>
      <c r="C632" s="854"/>
      <c r="D632" s="1056" t="s">
        <v>1604</v>
      </c>
      <c r="E632" s="1056"/>
      <c r="F632" s="1056"/>
      <c r="G632" s="844"/>
    </row>
    <row r="633" spans="1:7" ht="14.25">
      <c r="A633" s="820"/>
      <c r="B633" s="822"/>
      <c r="C633" s="854"/>
      <c r="D633" s="1056"/>
      <c r="E633" s="1056"/>
      <c r="F633" s="1056"/>
      <c r="G633" s="844"/>
    </row>
    <row r="634" spans="1:7" ht="14.25">
      <c r="A634" s="820"/>
      <c r="B634" s="822"/>
      <c r="C634" s="854"/>
      <c r="D634" s="1056"/>
      <c r="E634" s="1056"/>
      <c r="F634" s="1056"/>
      <c r="G634" s="844"/>
    </row>
    <row r="635" spans="1:7" ht="14.25">
      <c r="A635" s="820"/>
      <c r="B635" s="822"/>
      <c r="C635" s="854"/>
      <c r="D635" s="1056"/>
      <c r="E635" s="1056"/>
      <c r="F635" s="1056"/>
      <c r="G635" s="844"/>
    </row>
    <row r="636" spans="1:7" ht="14.25">
      <c r="A636" s="820"/>
      <c r="B636" s="822"/>
      <c r="C636" s="854"/>
      <c r="D636" s="1056"/>
      <c r="E636" s="1056"/>
      <c r="F636" s="1056"/>
      <c r="G636" s="844"/>
    </row>
    <row r="637" spans="1:7" ht="14.25" customHeight="1">
      <c r="A637" s="820"/>
      <c r="B637" s="822"/>
      <c r="C637" s="854"/>
      <c r="F637" s="944"/>
      <c r="G637" s="844"/>
    </row>
    <row r="638" spans="1:7" ht="12.75" customHeight="1">
      <c r="A638" s="820"/>
      <c r="B638" s="823" t="s">
        <v>329</v>
      </c>
      <c r="C638" s="854"/>
      <c r="D638" s="1056" t="s">
        <v>1602</v>
      </c>
      <c r="E638" s="1056"/>
      <c r="F638" s="1056"/>
      <c r="G638" s="844"/>
    </row>
    <row r="639" spans="1:7" ht="14.25">
      <c r="A639" s="820"/>
      <c r="B639" s="822"/>
      <c r="C639" s="854"/>
      <c r="D639" s="1056"/>
      <c r="E639" s="1056"/>
      <c r="F639" s="1056"/>
      <c r="G639" s="844"/>
    </row>
    <row r="640" spans="1:7" ht="14.25">
      <c r="A640" s="822"/>
      <c r="B640" s="822"/>
      <c r="C640" s="854"/>
      <c r="D640" s="1056"/>
      <c r="E640" s="1056"/>
      <c r="F640" s="1056"/>
      <c r="G640" s="844"/>
    </row>
    <row r="641" spans="1:7" ht="14.25">
      <c r="A641" s="822"/>
      <c r="B641" s="822"/>
      <c r="C641" s="854"/>
      <c r="D641" s="1056"/>
      <c r="E641" s="1056"/>
      <c r="F641" s="1056"/>
      <c r="G641" s="844"/>
    </row>
    <row r="642" spans="1:7" ht="14.25">
      <c r="A642" s="822"/>
      <c r="B642" s="822"/>
      <c r="C642" s="854"/>
      <c r="D642" s="934"/>
      <c r="E642" s="934"/>
      <c r="F642" s="934"/>
      <c r="G642" s="844"/>
    </row>
    <row r="643" spans="1:7" ht="12.75" customHeight="1">
      <c r="A643" s="820"/>
      <c r="B643" s="823" t="s">
        <v>329</v>
      </c>
      <c r="C643" s="854"/>
      <c r="D643" s="1056" t="s">
        <v>1603</v>
      </c>
      <c r="E643" s="1056"/>
      <c r="F643" s="1056"/>
      <c r="G643" s="844"/>
    </row>
    <row r="644" spans="1:7" ht="12.75" customHeight="1">
      <c r="A644" s="820"/>
      <c r="B644" s="822"/>
      <c r="C644" s="854"/>
      <c r="D644" s="1056"/>
      <c r="E644" s="1056"/>
      <c r="F644" s="1056"/>
      <c r="G644" s="844"/>
    </row>
    <row r="645" spans="1:7" ht="12.75" customHeight="1">
      <c r="A645" s="820"/>
      <c r="B645" s="822"/>
      <c r="C645" s="854"/>
      <c r="D645" s="1056"/>
      <c r="E645" s="1056"/>
      <c r="F645" s="1056"/>
      <c r="G645" s="844"/>
    </row>
    <row r="646" spans="1:7" ht="12.75" customHeight="1">
      <c r="A646" s="820"/>
      <c r="B646" s="822"/>
      <c r="C646" s="854"/>
      <c r="D646" s="1056"/>
      <c r="E646" s="1056"/>
      <c r="F646" s="1056"/>
      <c r="G646" s="844"/>
    </row>
    <row r="647" spans="1:7" ht="12.75" customHeight="1">
      <c r="A647" s="820"/>
      <c r="B647" s="822"/>
      <c r="C647" s="854"/>
      <c r="D647" s="1056"/>
      <c r="E647" s="1056"/>
      <c r="F647" s="1056"/>
      <c r="G647" s="844"/>
    </row>
    <row r="648" spans="1:7" ht="12.75" customHeight="1">
      <c r="A648" s="820"/>
      <c r="B648" s="822"/>
      <c r="C648" s="854"/>
      <c r="D648" s="1056"/>
      <c r="E648" s="1056"/>
      <c r="F648" s="1056"/>
      <c r="G648" s="844"/>
    </row>
    <row r="649" spans="1:7" ht="12.75" customHeight="1">
      <c r="A649" s="820"/>
      <c r="B649" s="822"/>
      <c r="C649" s="854"/>
      <c r="D649" s="1056"/>
      <c r="E649" s="1056"/>
      <c r="F649" s="1056"/>
      <c r="G649" s="844"/>
    </row>
    <row r="650" spans="1:7" ht="12.75" customHeight="1">
      <c r="A650" s="820"/>
      <c r="B650" s="822"/>
      <c r="C650" s="854"/>
      <c r="D650" s="1056"/>
      <c r="E650" s="1056"/>
      <c r="F650" s="1056"/>
      <c r="G650" s="844"/>
    </row>
    <row r="651" spans="1:7" ht="12.75" customHeight="1">
      <c r="A651" s="820"/>
      <c r="B651" s="822"/>
      <c r="C651" s="854"/>
      <c r="D651" s="1056"/>
      <c r="E651" s="1056"/>
      <c r="F651" s="1056"/>
      <c r="G651" s="844"/>
    </row>
    <row r="652" spans="1:7" ht="14.25">
      <c r="A652" s="822"/>
      <c r="B652" s="822"/>
      <c r="C652" s="854"/>
      <c r="D652" s="934"/>
      <c r="E652" s="934"/>
      <c r="F652" s="934"/>
      <c r="G652" s="844"/>
    </row>
    <row r="653" spans="1:7" ht="14.25">
      <c r="A653" s="822"/>
      <c r="B653" s="823" t="s">
        <v>329</v>
      </c>
      <c r="C653" s="854"/>
      <c r="D653" s="1074" t="s">
        <v>1227</v>
      </c>
      <c r="E653" s="1074"/>
      <c r="F653" s="1074"/>
      <c r="G653" s="844"/>
    </row>
    <row r="654" spans="1:7" ht="14.25">
      <c r="A654" s="822"/>
      <c r="B654" s="822"/>
      <c r="C654" s="854"/>
      <c r="D654" s="981" t="s">
        <v>1378</v>
      </c>
      <c r="E654" s="981"/>
      <c r="F654" s="981"/>
      <c r="G654" s="844"/>
    </row>
    <row r="655" spans="1:7" ht="14.25">
      <c r="A655" s="822"/>
      <c r="B655" s="822"/>
      <c r="C655" s="854"/>
      <c r="D655" s="981"/>
      <c r="E655" s="981"/>
      <c r="F655" s="981"/>
      <c r="G655" s="844"/>
    </row>
    <row r="656" spans="1:7" ht="14.25">
      <c r="A656" s="822"/>
      <c r="B656" s="822"/>
      <c r="C656" s="854"/>
      <c r="D656" s="981"/>
      <c r="E656" s="981"/>
      <c r="F656" s="981"/>
      <c r="G656" s="844"/>
    </row>
    <row r="657" spans="1:11" ht="14.25">
      <c r="A657" s="822"/>
      <c r="B657" s="822"/>
      <c r="C657" s="854"/>
      <c r="D657" s="981"/>
      <c r="E657" s="981"/>
      <c r="F657" s="981"/>
      <c r="G657" s="844"/>
    </row>
    <row r="658" spans="1:11" ht="14.25">
      <c r="A658" s="822"/>
      <c r="B658" s="822"/>
      <c r="C658" s="854"/>
      <c r="D658" s="981"/>
      <c r="E658" s="981"/>
      <c r="F658" s="981"/>
      <c r="G658" s="844"/>
    </row>
    <row r="659" spans="1:11" ht="14.25">
      <c r="A659" s="822"/>
      <c r="B659" s="822"/>
      <c r="C659" s="854"/>
      <c r="D659" s="1007" t="s">
        <v>1566</v>
      </c>
      <c r="E659" s="1007"/>
      <c r="F659" s="1007"/>
      <c r="G659" s="844"/>
    </row>
    <row r="660" spans="1:11">
      <c r="A660" s="854"/>
      <c r="B660" s="854"/>
      <c r="C660" s="854"/>
      <c r="D660" s="868"/>
      <c r="E660" s="868"/>
      <c r="F660" s="868"/>
      <c r="G660" s="844"/>
    </row>
    <row r="661" spans="1:11">
      <c r="A661" s="987" t="s">
        <v>1217</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977" t="s">
        <v>106</v>
      </c>
      <c r="E663" s="977"/>
      <c r="F663" s="977"/>
      <c r="G663" s="844"/>
      <c r="H663" s="869"/>
      <c r="I663" s="869"/>
      <c r="J663" s="869"/>
      <c r="K663" s="869"/>
    </row>
    <row r="664" spans="1:11">
      <c r="A664" s="867"/>
      <c r="B664" s="867"/>
      <c r="C664" s="867"/>
      <c r="D664" s="977" t="s">
        <v>130</v>
      </c>
      <c r="E664" s="977"/>
      <c r="F664" s="977"/>
      <c r="G664" s="844"/>
      <c r="H664" s="869"/>
      <c r="I664" s="869"/>
      <c r="J664" s="869"/>
      <c r="K664" s="869"/>
    </row>
    <row r="665" spans="1:11">
      <c r="A665" s="820"/>
      <c r="B665" s="820"/>
      <c r="C665" s="820"/>
      <c r="D665" s="1027" t="s">
        <v>1253</v>
      </c>
      <c r="E665" s="1027"/>
      <c r="F665" s="102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7" t="s">
        <v>981</v>
      </c>
      <c r="E667" s="1027"/>
      <c r="F667" s="1027"/>
      <c r="G667" s="844"/>
      <c r="H667" s="869"/>
      <c r="I667" s="869"/>
      <c r="J667" s="869"/>
      <c r="K667" s="869"/>
    </row>
    <row r="668" spans="1:11">
      <c r="A668" s="820"/>
      <c r="B668" s="820"/>
      <c r="C668" s="820"/>
      <c r="D668" s="1027" t="s">
        <v>992</v>
      </c>
      <c r="E668" s="1027"/>
      <c r="F668" s="1027"/>
      <c r="G668" s="844"/>
      <c r="H668" s="869"/>
      <c r="I668" s="869"/>
      <c r="J668" s="869"/>
      <c r="K668" s="869"/>
    </row>
    <row r="669" spans="1:11">
      <c r="A669" s="820"/>
      <c r="B669" s="820"/>
      <c r="C669" s="820"/>
      <c r="D669" s="696"/>
      <c r="E669" s="1089" t="s">
        <v>1254</v>
      </c>
      <c r="F669" s="1089"/>
      <c r="G669" s="844"/>
      <c r="H669" s="869"/>
      <c r="I669" s="869"/>
      <c r="J669" s="869"/>
      <c r="K669" s="869"/>
    </row>
    <row r="670" spans="1:11">
      <c r="A670" s="820"/>
      <c r="B670" s="820"/>
      <c r="C670" s="820"/>
      <c r="D670" s="696"/>
      <c r="E670" s="1089"/>
      <c r="F670" s="108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2" t="s">
        <v>1455</v>
      </c>
      <c r="E672" s="1022"/>
      <c r="F672" s="1022"/>
      <c r="G672" s="844"/>
      <c r="H672" s="869"/>
      <c r="I672" s="869"/>
      <c r="J672" s="869"/>
      <c r="K672" s="869"/>
    </row>
    <row r="673" spans="1:11">
      <c r="A673" s="841"/>
      <c r="B673" s="841"/>
      <c r="C673" s="820"/>
      <c r="D673" s="1022"/>
      <c r="E673" s="1022"/>
      <c r="F673" s="1022"/>
      <c r="G673" s="844"/>
      <c r="H673" s="869"/>
      <c r="I673" s="869"/>
      <c r="J673" s="869"/>
      <c r="K673" s="869"/>
    </row>
    <row r="674" spans="1:11">
      <c r="A674" s="820"/>
      <c r="B674" s="820"/>
      <c r="C674" s="820"/>
      <c r="D674" s="1022"/>
      <c r="E674" s="1022"/>
      <c r="F674" s="1022"/>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7" t="s">
        <v>1022</v>
      </c>
      <c r="E676" s="1027"/>
      <c r="F676" s="1027"/>
      <c r="G676" s="844"/>
      <c r="H676" s="869"/>
      <c r="I676" s="869"/>
      <c r="J676" s="869"/>
      <c r="K676" s="869"/>
    </row>
    <row r="677" spans="1:11" ht="14.25">
      <c r="A677" s="822"/>
      <c r="B677" s="822"/>
      <c r="C677" s="820"/>
      <c r="D677" s="1027" t="s">
        <v>992</v>
      </c>
      <c r="E677" s="1027"/>
      <c r="F677" s="1027"/>
      <c r="G677" s="844"/>
      <c r="H677" s="869"/>
      <c r="I677" s="869"/>
      <c r="J677" s="869"/>
      <c r="K677" s="869"/>
    </row>
    <row r="678" spans="1:11">
      <c r="A678" s="820"/>
      <c r="B678" s="820"/>
      <c r="C678" s="820"/>
      <c r="D678" s="696"/>
      <c r="E678" s="1062" t="s">
        <v>1256</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1266</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1457</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1257</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1264</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1265</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1258</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1259</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2" t="s">
        <v>1260</v>
      </c>
      <c r="E718" s="1022"/>
      <c r="F718" s="1022"/>
      <c r="G718" s="844"/>
      <c r="H718" s="869"/>
      <c r="I718" s="869"/>
      <c r="J718" s="869"/>
      <c r="K718" s="869"/>
    </row>
    <row r="719" spans="1:11">
      <c r="A719" s="820"/>
      <c r="B719" s="820"/>
      <c r="C719" s="820"/>
      <c r="D719" s="1022"/>
      <c r="E719" s="1022"/>
      <c r="F719" s="1022"/>
      <c r="G719" s="844"/>
      <c r="H719" s="869"/>
      <c r="I719" s="869"/>
      <c r="J719" s="869"/>
      <c r="K719" s="869"/>
    </row>
    <row r="720" spans="1:11">
      <c r="A720" s="820"/>
      <c r="B720" s="820"/>
      <c r="C720" s="820"/>
      <c r="D720" s="1022"/>
      <c r="E720" s="1022"/>
      <c r="F720" s="1022"/>
      <c r="G720" s="844"/>
      <c r="H720" s="869"/>
      <c r="I720" s="869"/>
      <c r="J720" s="869"/>
      <c r="K720" s="869"/>
    </row>
    <row r="721" spans="1:11">
      <c r="A721" s="820"/>
      <c r="B721" s="820"/>
      <c r="C721" s="820"/>
      <c r="D721" s="1022"/>
      <c r="E721" s="1022"/>
      <c r="F721" s="1022"/>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1393</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995" t="s">
        <v>1261</v>
      </c>
      <c r="E730" s="995"/>
      <c r="F730" s="995"/>
      <c r="G730" s="844"/>
      <c r="H730" s="869"/>
      <c r="I730" s="869"/>
      <c r="J730" s="869"/>
      <c r="K730" s="869"/>
    </row>
    <row r="731" spans="1:11">
      <c r="A731" s="820"/>
      <c r="B731" s="820"/>
      <c r="C731" s="820"/>
      <c r="D731" s="806"/>
      <c r="G731" s="844"/>
      <c r="H731" s="869"/>
      <c r="I731" s="869"/>
      <c r="J731" s="869"/>
      <c r="K731" s="869"/>
    </row>
    <row r="732" spans="1:11">
      <c r="A732" s="988" t="s">
        <v>1218</v>
      </c>
      <c r="B732" s="988"/>
      <c r="C732" s="988"/>
      <c r="D732" s="988"/>
      <c r="E732" s="988"/>
      <c r="F732" s="988"/>
      <c r="G732" s="988"/>
      <c r="H732" s="869"/>
      <c r="I732" s="869"/>
      <c r="J732" s="869"/>
      <c r="K732" s="869"/>
    </row>
    <row r="733" spans="1:11">
      <c r="A733" s="820"/>
      <c r="B733" s="820"/>
      <c r="C733" s="820"/>
      <c r="D733" s="847"/>
      <c r="G733" s="874"/>
      <c r="H733" s="869"/>
      <c r="I733" s="869"/>
      <c r="J733" s="869"/>
      <c r="K733" s="869"/>
    </row>
    <row r="734" spans="1:11" ht="13.7" customHeight="1">
      <c r="C734" s="820"/>
      <c r="D734" s="1064" t="s">
        <v>1234</v>
      </c>
      <c r="E734" s="1064"/>
      <c r="F734" s="1064"/>
      <c r="G734" s="874"/>
      <c r="H734" s="869"/>
      <c r="I734" s="869"/>
      <c r="J734" s="869"/>
      <c r="K734" s="869"/>
    </row>
    <row r="735" spans="1:11">
      <c r="A735" s="820"/>
      <c r="B735" s="820"/>
      <c r="C735" s="820"/>
      <c r="D735" s="1001" t="s">
        <v>1235</v>
      </c>
      <c r="E735" s="1001"/>
      <c r="F735" s="100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2" t="s">
        <v>1236</v>
      </c>
      <c r="E737" s="1022"/>
      <c r="F737" s="1022"/>
      <c r="G737" s="874"/>
      <c r="H737" s="872"/>
      <c r="I737" s="872"/>
      <c r="J737" s="872"/>
      <c r="K737" s="872"/>
    </row>
    <row r="738" spans="1:11" s="816" customFormat="1" ht="10.5" customHeight="1">
      <c r="A738" s="813"/>
      <c r="B738" s="813"/>
      <c r="C738" s="813"/>
      <c r="D738" s="1022"/>
      <c r="E738" s="1022"/>
      <c r="F738" s="1022"/>
      <c r="G738" s="874"/>
      <c r="H738" s="872"/>
      <c r="I738" s="872"/>
      <c r="J738" s="872"/>
      <c r="K738" s="872"/>
    </row>
    <row r="739" spans="1:11" s="816" customFormat="1">
      <c r="A739" s="813"/>
      <c r="B739" s="813"/>
      <c r="C739" s="813"/>
      <c r="D739" s="1022"/>
      <c r="E739" s="1022"/>
      <c r="F739" s="1022"/>
      <c r="G739" s="874"/>
      <c r="H739" s="872"/>
      <c r="I739" s="872"/>
      <c r="J739" s="872"/>
      <c r="K739" s="872"/>
    </row>
    <row r="740" spans="1:11">
      <c r="D740" s="1022"/>
      <c r="E740" s="1022"/>
      <c r="F740" s="1022"/>
      <c r="G740" s="874"/>
      <c r="H740" s="869"/>
      <c r="I740" s="869"/>
      <c r="J740" s="869"/>
      <c r="K740" s="869"/>
    </row>
    <row r="741" spans="1:11">
      <c r="A741" s="826"/>
      <c r="B741" s="826"/>
      <c r="C741" s="826"/>
      <c r="D741" s="1022"/>
      <c r="E741" s="1022"/>
      <c r="F741" s="1022"/>
      <c r="G741" s="875"/>
      <c r="H741" s="869"/>
      <c r="I741" s="869"/>
      <c r="J741" s="869"/>
      <c r="K741" s="869"/>
    </row>
    <row r="742" spans="1:11" ht="15.6" customHeight="1">
      <c r="A742" s="826"/>
      <c r="B742" s="826"/>
      <c r="C742" s="826"/>
      <c r="D742" s="1022"/>
      <c r="E742" s="1022"/>
      <c r="F742" s="1022"/>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9" t="s">
        <v>1513</v>
      </c>
      <c r="E744" s="979"/>
      <c r="F744" s="979"/>
      <c r="G744" s="879"/>
    </row>
    <row r="745" spans="1:11" s="880" customFormat="1">
      <c r="A745" s="878"/>
      <c r="B745" s="878"/>
      <c r="C745" s="878"/>
      <c r="D745" s="979"/>
      <c r="E745" s="979"/>
      <c r="F745" s="979"/>
      <c r="G745" s="879"/>
    </row>
    <row r="746" spans="1:11" s="880" customFormat="1">
      <c r="A746" s="878"/>
      <c r="B746" s="878"/>
      <c r="C746" s="878"/>
      <c r="D746" s="979"/>
      <c r="E746" s="979"/>
      <c r="F746" s="979"/>
      <c r="G746" s="879"/>
    </row>
    <row r="747" spans="1:11" s="880" customFormat="1">
      <c r="A747" s="878"/>
      <c r="B747" s="878"/>
      <c r="C747" s="878"/>
      <c r="D747" s="979"/>
      <c r="E747" s="979"/>
      <c r="F747" s="979"/>
      <c r="G747" s="879"/>
    </row>
    <row r="748" spans="1:11" s="880" customFormat="1">
      <c r="A748" s="878"/>
      <c r="B748" s="878"/>
      <c r="C748" s="878"/>
      <c r="D748" s="864"/>
      <c r="E748" s="879"/>
      <c r="F748" s="879"/>
      <c r="G748" s="879"/>
    </row>
    <row r="749" spans="1:11" s="880" customFormat="1" ht="14.25">
      <c r="A749" s="822"/>
      <c r="B749" s="823" t="s">
        <v>329</v>
      </c>
      <c r="C749" s="878"/>
      <c r="D749" s="1069" t="s">
        <v>1514</v>
      </c>
      <c r="E749" s="1069"/>
      <c r="F749" s="1069"/>
      <c r="G749" s="879"/>
    </row>
    <row r="750" spans="1:11" s="880" customFormat="1">
      <c r="A750" s="878"/>
      <c r="B750" s="878"/>
      <c r="C750" s="878"/>
      <c r="D750" s="1069"/>
      <c r="E750" s="1069"/>
      <c r="F750" s="1069"/>
      <c r="G750" s="879"/>
    </row>
    <row r="751" spans="1:11" s="880" customFormat="1">
      <c r="A751" s="878"/>
      <c r="B751" s="878"/>
      <c r="C751" s="878"/>
      <c r="D751" s="1069"/>
      <c r="E751" s="1069"/>
      <c r="F751" s="1069"/>
      <c r="G751" s="879"/>
    </row>
    <row r="752" spans="1:11">
      <c r="A752" s="826"/>
      <c r="B752" s="826"/>
      <c r="C752" s="826"/>
      <c r="D752" s="864"/>
      <c r="E752" s="876"/>
      <c r="F752" s="876"/>
      <c r="G752" s="875"/>
      <c r="H752" s="869"/>
      <c r="I752" s="869"/>
      <c r="J752" s="869"/>
      <c r="K752" s="869"/>
    </row>
    <row r="753" spans="1:11" ht="14.25">
      <c r="A753" s="822"/>
      <c r="B753" s="823" t="s">
        <v>329</v>
      </c>
      <c r="C753" s="826"/>
      <c r="D753" s="979" t="s">
        <v>1451</v>
      </c>
      <c r="E753" s="979"/>
      <c r="F753" s="979"/>
      <c r="G753" s="875"/>
      <c r="H753" s="869"/>
      <c r="I753" s="869"/>
      <c r="J753" s="869"/>
      <c r="K753" s="869"/>
    </row>
    <row r="754" spans="1:11">
      <c r="A754" s="826"/>
      <c r="B754" s="826"/>
      <c r="C754" s="826"/>
      <c r="D754" s="979"/>
      <c r="E754" s="979"/>
      <c r="F754" s="97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9" t="s">
        <v>1475</v>
      </c>
      <c r="E756" s="979"/>
      <c r="F756" s="979"/>
      <c r="G756" s="875"/>
      <c r="H756" s="869"/>
      <c r="I756" s="869"/>
      <c r="J756" s="869"/>
      <c r="K756" s="869"/>
    </row>
    <row r="757" spans="1:11">
      <c r="A757" s="826"/>
      <c r="B757" s="826"/>
      <c r="C757" s="826"/>
      <c r="D757" s="979"/>
      <c r="E757" s="979"/>
      <c r="F757" s="979"/>
      <c r="G757" s="875"/>
      <c r="H757" s="869"/>
      <c r="I757" s="869"/>
      <c r="J757" s="869"/>
      <c r="K757" s="869"/>
    </row>
    <row r="758" spans="1:11">
      <c r="A758" s="826"/>
      <c r="B758" s="826"/>
      <c r="C758" s="826"/>
      <c r="D758" s="979"/>
      <c r="E758" s="979"/>
      <c r="F758" s="979"/>
      <c r="G758" s="875"/>
      <c r="H758" s="869"/>
      <c r="I758" s="869"/>
      <c r="J758" s="869"/>
      <c r="K758" s="869"/>
    </row>
    <row r="759" spans="1:11">
      <c r="A759" s="826"/>
      <c r="B759" s="826"/>
      <c r="C759" s="826"/>
      <c r="D759" s="805"/>
      <c r="E759" s="805"/>
      <c r="F759" s="805"/>
      <c r="G759" s="875"/>
      <c r="H759" s="869"/>
      <c r="I759" s="869"/>
      <c r="J759" s="869"/>
      <c r="K759" s="869"/>
    </row>
    <row r="760" spans="1:11">
      <c r="A760" s="998" t="s">
        <v>1572</v>
      </c>
      <c r="B760" s="998"/>
      <c r="C760" s="998"/>
      <c r="D760" s="998"/>
      <c r="E760" s="998"/>
      <c r="F760" s="998"/>
      <c r="G760" s="998"/>
    </row>
    <row r="761" spans="1:11">
      <c r="A761" s="820"/>
      <c r="B761" s="820"/>
      <c r="C761" s="820"/>
      <c r="D761" s="881"/>
      <c r="F761" s="868"/>
      <c r="G761" s="874"/>
    </row>
    <row r="762" spans="1:11">
      <c r="A762" s="826"/>
      <c r="B762" s="826"/>
      <c r="C762" s="831"/>
      <c r="D762" s="999" t="s">
        <v>1580</v>
      </c>
      <c r="E762" s="999"/>
      <c r="F762" s="999"/>
      <c r="G762" s="874"/>
    </row>
    <row r="763" spans="1:11">
      <c r="A763" s="882"/>
      <c r="B763" s="882"/>
      <c r="C763" s="883"/>
      <c r="D763" s="1000" t="s">
        <v>1568</v>
      </c>
      <c r="E763" s="1000"/>
      <c r="F763" s="1000"/>
      <c r="G763" s="874"/>
    </row>
    <row r="764" spans="1:11">
      <c r="A764" s="882"/>
      <c r="B764" s="882"/>
      <c r="C764" s="883"/>
      <c r="D764" s="920"/>
      <c r="E764" s="920"/>
      <c r="F764" s="920"/>
      <c r="G764" s="874"/>
    </row>
    <row r="765" spans="1:11">
      <c r="A765" s="826"/>
      <c r="C765" s="831"/>
      <c r="D765" s="999" t="s">
        <v>1565</v>
      </c>
      <c r="E765" s="999"/>
      <c r="F765" s="999"/>
      <c r="G765" s="874"/>
    </row>
    <row r="766" spans="1:11" ht="14.25">
      <c r="A766" s="822"/>
      <c r="B766" s="823" t="s">
        <v>329</v>
      </c>
      <c r="C766" s="831"/>
      <c r="D766" s="1001" t="s">
        <v>1103</v>
      </c>
      <c r="E766" s="1001"/>
      <c r="F766" s="1001"/>
      <c r="G766" s="874"/>
    </row>
    <row r="767" spans="1:11" ht="14.25">
      <c r="A767" s="822"/>
      <c r="B767" s="815"/>
      <c r="C767" s="831"/>
      <c r="D767" s="921"/>
      <c r="E767" s="1002" t="s">
        <v>1226</v>
      </c>
      <c r="F767" s="100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9" t="s">
        <v>1581</v>
      </c>
      <c r="E770" s="999"/>
      <c r="F770" s="999"/>
      <c r="G770" s="874"/>
    </row>
    <row r="771" spans="1:7" ht="14.25">
      <c r="A771" s="822"/>
      <c r="B771" s="823" t="s">
        <v>329</v>
      </c>
      <c r="C771" s="831"/>
      <c r="D771" s="1088" t="s">
        <v>1577</v>
      </c>
      <c r="E771" s="1088"/>
      <c r="F771" s="1088"/>
      <c r="G771" s="815"/>
    </row>
    <row r="772" spans="1:7" ht="14.25">
      <c r="A772" s="822"/>
      <c r="B772" s="815"/>
      <c r="C772" s="831"/>
      <c r="D772" s="1088" t="s">
        <v>1578</v>
      </c>
      <c r="E772" s="1088"/>
      <c r="F772" s="1088"/>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485</v>
      </c>
      <c r="B780" s="987"/>
      <c r="C780" s="987"/>
      <c r="D780" s="987"/>
      <c r="E780" s="987"/>
      <c r="F780" s="987"/>
      <c r="G780" s="987"/>
    </row>
    <row r="781" spans="1:7">
      <c r="A781" s="818"/>
      <c r="B781" s="818"/>
      <c r="C781" s="854"/>
      <c r="D781" s="874"/>
      <c r="E781" s="874"/>
      <c r="F781" s="874"/>
      <c r="G781" s="874"/>
    </row>
    <row r="782" spans="1:7">
      <c r="A782" s="825"/>
      <c r="B782" s="1063" t="s">
        <v>1102</v>
      </c>
      <c r="C782" s="1063"/>
      <c r="D782" s="1063"/>
      <c r="E782" s="1063"/>
      <c r="F782" s="1063"/>
      <c r="G782" s="874"/>
    </row>
    <row r="783" spans="1:7">
      <c r="A783" s="841"/>
      <c r="B783" s="841"/>
      <c r="G783" s="874"/>
    </row>
    <row r="784" spans="1:7">
      <c r="A784" s="987" t="s">
        <v>486</v>
      </c>
      <c r="B784" s="987"/>
      <c r="C784" s="987"/>
      <c r="D784" s="987"/>
      <c r="E784" s="987"/>
      <c r="F784" s="987"/>
      <c r="G784" s="987"/>
    </row>
    <row r="785" spans="1:7">
      <c r="A785" s="818"/>
      <c r="B785" s="818"/>
      <c r="C785" s="818"/>
      <c r="D785" s="847"/>
      <c r="G785" s="874"/>
    </row>
    <row r="786" spans="1:7">
      <c r="A786" s="825"/>
      <c r="B786" s="1060" t="s">
        <v>484</v>
      </c>
      <c r="C786" s="1060"/>
      <c r="D786" s="1060"/>
      <c r="E786" s="1060"/>
      <c r="F786" s="1060"/>
      <c r="G786" s="874"/>
    </row>
    <row r="787" spans="1:7" ht="14.25">
      <c r="A787" s="822"/>
      <c r="B787" s="822"/>
      <c r="D787" s="825"/>
      <c r="E787" s="825"/>
      <c r="F787" s="874"/>
      <c r="G787" s="874"/>
    </row>
    <row r="788" spans="1:7">
      <c r="A788" s="987" t="s">
        <v>487</v>
      </c>
      <c r="B788" s="987"/>
      <c r="C788" s="987"/>
      <c r="D788" s="987"/>
      <c r="E788" s="987"/>
      <c r="F788" s="987"/>
      <c r="G788" s="987"/>
    </row>
    <row r="789" spans="1:7">
      <c r="C789" s="820"/>
      <c r="D789" s="848"/>
      <c r="E789" s="825"/>
      <c r="F789" s="874"/>
      <c r="G789" s="874"/>
    </row>
    <row r="790" spans="1:7">
      <c r="A790" s="825"/>
      <c r="B790" s="1060" t="s">
        <v>484</v>
      </c>
      <c r="C790" s="1060"/>
      <c r="D790" s="1060"/>
      <c r="E790" s="1060"/>
      <c r="F790" s="1060"/>
      <c r="G790" s="874"/>
    </row>
    <row r="791" spans="1:7">
      <c r="A791" s="825"/>
      <c r="B791" s="825"/>
      <c r="C791" s="854"/>
      <c r="D791" s="874"/>
      <c r="E791" s="874"/>
      <c r="F791" s="874"/>
      <c r="G791" s="874"/>
    </row>
    <row r="792" spans="1:7">
      <c r="A792" s="987" t="s">
        <v>488</v>
      </c>
      <c r="B792" s="987"/>
      <c r="C792" s="987"/>
      <c r="D792" s="987"/>
      <c r="E792" s="987"/>
      <c r="F792" s="987"/>
      <c r="G792" s="987"/>
    </row>
    <row r="793" spans="1:7">
      <c r="A793" s="825"/>
      <c r="B793" s="825"/>
    </row>
    <row r="794" spans="1:7">
      <c r="A794" s="825"/>
      <c r="B794" s="1060" t="s">
        <v>484</v>
      </c>
      <c r="C794" s="1060"/>
      <c r="D794" s="1060"/>
      <c r="E794" s="1060"/>
      <c r="F794" s="1060"/>
    </row>
    <row r="795" spans="1:7">
      <c r="A795" s="854"/>
      <c r="B795" s="854"/>
      <c r="C795" s="854"/>
      <c r="D795" s="817"/>
      <c r="F795" s="874"/>
    </row>
    <row r="796" spans="1:7">
      <c r="A796" s="987" t="s">
        <v>489</v>
      </c>
      <c r="B796" s="987"/>
      <c r="C796" s="987"/>
      <c r="D796" s="987"/>
      <c r="E796" s="987"/>
      <c r="F796" s="987"/>
      <c r="G796" s="987"/>
    </row>
    <row r="797" spans="1:7">
      <c r="A797" s="825"/>
      <c r="B797" s="825"/>
    </row>
    <row r="798" spans="1:7">
      <c r="A798" s="825"/>
      <c r="B798" s="1060" t="s">
        <v>484</v>
      </c>
      <c r="C798" s="1060"/>
      <c r="D798" s="1060"/>
      <c r="E798" s="1060"/>
      <c r="F798" s="1060"/>
    </row>
    <row r="799" spans="1:7">
      <c r="A799" s="854"/>
      <c r="B799" s="854"/>
      <c r="C799" s="854"/>
      <c r="D799" s="817"/>
      <c r="F799" s="874"/>
    </row>
    <row r="800" spans="1:7">
      <c r="A800" s="987" t="s">
        <v>490</v>
      </c>
      <c r="B800" s="987"/>
      <c r="C800" s="987"/>
      <c r="D800" s="987"/>
      <c r="E800" s="987"/>
      <c r="F800" s="987"/>
      <c r="G800" s="987"/>
    </row>
    <row r="801" spans="1:7">
      <c r="A801" s="825"/>
      <c r="B801" s="825"/>
    </row>
    <row r="802" spans="1:7">
      <c r="A802" s="825"/>
      <c r="B802" s="1060" t="s">
        <v>484</v>
      </c>
      <c r="C802" s="1060"/>
      <c r="D802" s="1060"/>
      <c r="E802" s="1060"/>
      <c r="F802" s="1060"/>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60" t="s">
        <v>484</v>
      </c>
      <c r="C806" s="1060"/>
      <c r="D806" s="1060"/>
      <c r="E806" s="1060"/>
      <c r="F806" s="1060"/>
    </row>
    <row r="807" spans="1:7">
      <c r="A807" s="825"/>
      <c r="B807" s="825"/>
      <c r="D807" s="817"/>
    </row>
    <row r="808" spans="1:7">
      <c r="A808" s="987" t="s">
        <v>968</v>
      </c>
      <c r="B808" s="987"/>
      <c r="C808" s="987"/>
      <c r="D808" s="987"/>
      <c r="E808" s="987"/>
      <c r="F808" s="987"/>
      <c r="G808" s="987"/>
    </row>
    <row r="809" spans="1:7">
      <c r="A809" s="825"/>
      <c r="B809" s="825"/>
    </row>
    <row r="810" spans="1:7">
      <c r="A810" s="825"/>
      <c r="B810" s="1060" t="s">
        <v>484</v>
      </c>
      <c r="C810" s="1060"/>
      <c r="D810" s="1060"/>
      <c r="E810" s="1060"/>
      <c r="F810" s="106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7"/>
      <c r="H1747" s="977"/>
      <c r="I1747" s="97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900" zoomScale="110" zoomScaleNormal="110" zoomScaleSheetLayoutView="100" workbookViewId="0">
      <selection activeCell="I911" sqref="I911:T91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1" t="s">
        <v>107</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row>
    <row r="9" spans="1:38" ht="15" customHeight="1">
      <c r="A9" s="1339" t="s">
        <v>1570</v>
      </c>
      <c r="B9" s="1339"/>
      <c r="C9" s="1339"/>
      <c r="D9" s="1339"/>
      <c r="E9" s="1339"/>
      <c r="F9" s="1339"/>
      <c r="G9" s="1339"/>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c r="AG9" s="1339"/>
      <c r="AH9" s="1339"/>
      <c r="AI9" s="1339"/>
      <c r="AJ9" s="1339"/>
      <c r="AK9" s="1339"/>
      <c r="AL9" s="1339"/>
    </row>
    <row r="10" spans="1:38" ht="15" customHeight="1">
      <c r="A10" s="1590" t="s">
        <v>1571</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row>
    <row r="11" spans="1:38" ht="15" customHeight="1">
      <c r="A11" s="1590" t="s">
        <v>1569</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row>
    <row r="12" spans="1:38" ht="12.75">
      <c r="A12" s="1317" t="s">
        <v>1644</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3" t="s">
        <v>1428</v>
      </c>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row>
    <row r="14" spans="1:38" ht="12.75" customHeight="1"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c r="AL14" s="97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4" t="s">
        <v>1645</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326" t="s">
        <v>1646</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42" t="s">
        <v>966</v>
      </c>
      <c r="B20" s="1342"/>
      <c r="C20" s="1342"/>
      <c r="D20" s="1342"/>
      <c r="E20" s="1342"/>
      <c r="F20" s="1342"/>
      <c r="G20" s="1342"/>
      <c r="H20" s="1342"/>
      <c r="I20" s="1342"/>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row>
    <row r="21" spans="1:39" ht="12.75" customHeight="1">
      <c r="A21" s="1325" t="s">
        <v>1154</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1244398</v>
      </c>
      <c r="N26" s="1322"/>
      <c r="O26" s="1322"/>
      <c r="P26" s="1322"/>
      <c r="Q26" s="132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0">
        <f>'Basis &amp; Credits'!AB77</f>
        <v>4992958</v>
      </c>
      <c r="N27" s="1390"/>
      <c r="O27" s="1390"/>
      <c r="P27" s="1390"/>
      <c r="Q27" s="1390"/>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21" t="s">
        <v>723</v>
      </c>
      <c r="P33" s="1121"/>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9"/>
      <c r="H122" s="1319"/>
      <c r="I122" s="247" t="s">
        <v>195</v>
      </c>
      <c r="L122" s="1319"/>
      <c r="M122" s="1319"/>
      <c r="N122" s="131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8"/>
      <c r="G150" s="1328"/>
      <c r="H150" s="1328"/>
      <c r="I150" s="1328"/>
      <c r="J150" s="1328"/>
      <c r="K150" s="1328"/>
      <c r="L150" s="1328"/>
      <c r="M150" s="1328"/>
      <c r="N150" s="1328"/>
      <c r="O150" s="1328"/>
      <c r="P150" s="1328"/>
      <c r="Q150" s="1328"/>
      <c r="R150" s="1328"/>
      <c r="S150" s="1328"/>
      <c r="T150" s="132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6" t="s">
        <v>970</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476</v>
      </c>
      <c r="F154" s="32"/>
      <c r="G154" s="32"/>
      <c r="H154" s="32"/>
      <c r="I154" s="32"/>
      <c r="J154" s="32"/>
      <c r="K154" s="32"/>
      <c r="L154" s="32"/>
      <c r="M154" s="32"/>
      <c r="N154" s="32"/>
      <c r="O154" s="1181" t="s">
        <v>1647</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478</v>
      </c>
      <c r="F155" s="13"/>
      <c r="G155" s="13"/>
      <c r="H155" s="13"/>
      <c r="I155" s="13"/>
      <c r="J155" s="13"/>
      <c r="K155" s="13"/>
      <c r="L155" s="13"/>
      <c r="M155" s="13"/>
      <c r="N155" s="13"/>
      <c r="O155" s="1335" t="s">
        <v>477</v>
      </c>
      <c r="P155" s="1335"/>
      <c r="Q155" s="1335"/>
      <c r="R155" s="1335"/>
      <c r="S155" s="1335"/>
      <c r="T155" s="1335"/>
      <c r="U155" s="1335"/>
      <c r="V155" s="1335"/>
      <c r="W155" s="1335"/>
      <c r="X155" s="1335"/>
      <c r="Y155" s="1335"/>
      <c r="Z155" s="1335"/>
      <c r="AA155" s="1335"/>
      <c r="AB155" s="1335"/>
      <c r="AC155" s="1335"/>
      <c r="AD155" s="1335"/>
      <c r="AE155" s="1335"/>
      <c r="AF155" s="1335"/>
      <c r="AG155" s="1335"/>
      <c r="AH155" s="1335"/>
      <c r="AM155" s="25"/>
    </row>
    <row r="156" spans="1:59" ht="12.75">
      <c r="D156" s="32" t="s">
        <v>335</v>
      </c>
      <c r="F156" s="32"/>
      <c r="G156" s="32"/>
      <c r="H156" s="32"/>
      <c r="I156" s="32"/>
      <c r="J156" s="32"/>
      <c r="K156" s="32"/>
      <c r="L156" s="32"/>
      <c r="M156" s="32"/>
      <c r="N156" s="32"/>
      <c r="O156" s="1091" t="s">
        <v>1648</v>
      </c>
      <c r="P156" s="1091"/>
      <c r="Q156" s="1091"/>
      <c r="R156" s="1091"/>
      <c r="S156" s="1091"/>
      <c r="T156" s="1091"/>
      <c r="U156" s="1091"/>
      <c r="V156" s="1091"/>
      <c r="W156" s="1091"/>
      <c r="X156" s="1091"/>
      <c r="Y156" s="1091"/>
      <c r="Z156" s="1091"/>
      <c r="AA156" s="1091"/>
      <c r="AB156" s="1091"/>
      <c r="AC156" s="1091"/>
      <c r="AD156" s="1091"/>
      <c r="AE156" s="1091"/>
      <c r="AF156" s="1091"/>
      <c r="AG156" s="1091"/>
      <c r="AH156" s="1091"/>
      <c r="BG156" s="12" t="s">
        <v>329</v>
      </c>
    </row>
    <row r="157" spans="1:59" ht="12.75">
      <c r="D157" s="32" t="s">
        <v>336</v>
      </c>
      <c r="F157" s="32"/>
      <c r="G157" s="32"/>
      <c r="H157" s="32"/>
      <c r="I157" s="32"/>
      <c r="J157" s="32"/>
      <c r="K157" s="32"/>
      <c r="L157" s="32"/>
      <c r="M157" s="32"/>
      <c r="N157" s="32"/>
      <c r="O157" s="1326" t="s">
        <v>541</v>
      </c>
      <c r="P157" s="1152"/>
      <c r="Q157" s="1152"/>
      <c r="R157" s="1152"/>
      <c r="S157" s="1152"/>
      <c r="T157" s="1152"/>
      <c r="U157" s="1152"/>
      <c r="V157" s="1152"/>
      <c r="W157" s="1152"/>
      <c r="X157" s="115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9">
        <v>90017</v>
      </c>
      <c r="P158" s="1549"/>
      <c r="Q158" s="1549"/>
      <c r="R158" s="154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7" t="s">
        <v>1649</v>
      </c>
      <c r="P159" s="1337"/>
      <c r="Q159" s="1337"/>
      <c r="R159" s="1337"/>
      <c r="S159" s="1337"/>
      <c r="T159" s="1337"/>
      <c r="V159" s="149" t="s">
        <v>287</v>
      </c>
      <c r="W159" s="1550"/>
      <c r="X159" s="155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7"/>
      <c r="P160" s="1337"/>
      <c r="Q160" s="1337"/>
      <c r="R160" s="1337"/>
      <c r="S160" s="1337"/>
      <c r="T160" s="133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1" t="s">
        <v>1650</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6" t="s">
        <v>1510</v>
      </c>
      <c r="E164" s="1346"/>
      <c r="F164" s="1346"/>
      <c r="G164" s="1346"/>
      <c r="H164" s="1346"/>
      <c r="I164" s="1346"/>
      <c r="J164" s="1346"/>
      <c r="K164" s="1346"/>
      <c r="L164" s="1346"/>
      <c r="M164" s="1346"/>
      <c r="N164" s="1346"/>
      <c r="O164" s="1346"/>
      <c r="P164" s="1346"/>
      <c r="Q164" s="1346"/>
      <c r="R164" s="1346"/>
      <c r="S164" s="1346"/>
      <c r="T164" s="1346"/>
      <c r="U164" s="1346"/>
      <c r="V164" s="1346"/>
      <c r="W164" s="1346"/>
      <c r="X164" s="1346"/>
      <c r="Y164" s="1346"/>
      <c r="Z164" s="1346"/>
      <c r="AA164" s="1346"/>
      <c r="AB164" s="1346"/>
      <c r="AC164" s="1346"/>
      <c r="AD164" s="1346"/>
      <c r="AE164" s="1346"/>
      <c r="AF164" s="1346"/>
      <c r="AG164" s="1346"/>
      <c r="AH164" s="134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4" t="s">
        <v>586</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727</v>
      </c>
      <c r="BG169" s="12" t="s">
        <v>535</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5" t="s">
        <v>403</v>
      </c>
      <c r="K173" s="1345"/>
      <c r="L173" s="1345"/>
      <c r="M173" s="1345"/>
      <c r="N173" s="1345"/>
      <c r="O173" s="1345"/>
      <c r="P173" s="1345"/>
      <c r="Q173" s="1345"/>
      <c r="R173" s="1345"/>
      <c r="S173" s="1345"/>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1" t="s">
        <v>1651</v>
      </c>
      <c r="K174" s="1091"/>
      <c r="L174" s="1091"/>
      <c r="M174" s="1091"/>
      <c r="N174" s="1091"/>
      <c r="O174" s="1091"/>
      <c r="P174" s="1091"/>
      <c r="Q174" s="1091"/>
      <c r="R174" s="1091"/>
      <c r="S174" s="1091"/>
      <c r="T174" s="1091"/>
      <c r="U174" s="1091"/>
      <c r="V174" s="1091"/>
      <c r="W174" s="1091"/>
      <c r="X174" s="1091"/>
      <c r="Y174" s="1091"/>
      <c r="Z174" s="109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1" t="s">
        <v>723</v>
      </c>
      <c r="V175" s="112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3"/>
      <c r="V176" s="1343"/>
      <c r="W176" s="4" t="s">
        <v>328</v>
      </c>
      <c r="X176" s="1334"/>
      <c r="Y176" s="133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1" t="s">
        <v>723</v>
      </c>
      <c r="S177" s="112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8"/>
      <c r="AG178" s="1598"/>
      <c r="AH178" s="4" t="s">
        <v>328</v>
      </c>
      <c r="AI178" s="1552"/>
      <c r="AJ178" s="1552"/>
      <c r="AK178" s="155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1" t="s">
        <v>723</v>
      </c>
      <c r="Y180" s="1121"/>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0" t="str">
        <f>H18</f>
        <v>Palm Vista Apartments</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630</v>
      </c>
      <c r="E187" s="25"/>
      <c r="F187" s="25"/>
      <c r="G187" s="25"/>
      <c r="H187" s="25"/>
      <c r="I187" s="1090" t="s">
        <v>1652</v>
      </c>
      <c r="J187" s="1090"/>
      <c r="K187" s="1090"/>
      <c r="L187" s="1090"/>
      <c r="M187" s="1090"/>
      <c r="N187" s="1090"/>
      <c r="O187" s="1090"/>
      <c r="P187" s="1090"/>
      <c r="Q187" s="1090"/>
      <c r="R187" s="1090"/>
      <c r="S187" s="1090"/>
      <c r="T187" s="1090"/>
      <c r="U187" s="1090"/>
      <c r="V187" s="1090"/>
      <c r="W187" s="1090"/>
      <c r="X187" s="1090"/>
      <c r="Y187" s="1090"/>
      <c r="Z187" s="1090"/>
      <c r="AA187" s="1090"/>
      <c r="AB187" s="1090"/>
      <c r="AC187" s="1090"/>
      <c r="AD187" s="1090"/>
      <c r="AE187" s="109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1193</v>
      </c>
      <c r="BA190" s="36" t="s">
        <v>686</v>
      </c>
      <c r="BG190" s="12" t="s">
        <v>73</v>
      </c>
    </row>
    <row r="191" spans="1:59" ht="12.75">
      <c r="A191" s="25"/>
      <c r="C191" s="45"/>
      <c r="D191" s="25" t="s">
        <v>631</v>
      </c>
      <c r="E191" s="25"/>
      <c r="I191" s="1091" t="s">
        <v>541</v>
      </c>
      <c r="J191" s="1091"/>
      <c r="K191" s="1091"/>
      <c r="L191" s="1091"/>
      <c r="M191" s="1091"/>
      <c r="N191" s="1091"/>
      <c r="O191" s="1091"/>
      <c r="P191" s="1091"/>
      <c r="Q191" s="25" t="s">
        <v>633</v>
      </c>
      <c r="T191" s="1091" t="s">
        <v>541</v>
      </c>
      <c r="U191" s="1091"/>
      <c r="V191" s="1091"/>
      <c r="W191" s="1091"/>
      <c r="X191" s="1091"/>
      <c r="Y191" s="1091"/>
      <c r="Z191" s="1091"/>
      <c r="AA191" s="1091"/>
      <c r="AB191" s="1091"/>
      <c r="AC191" s="1091"/>
      <c r="AD191" s="1091"/>
      <c r="AE191" s="1091"/>
      <c r="AH191" s="25"/>
      <c r="AJ191" s="3"/>
      <c r="AK191" s="3"/>
      <c r="AL191" s="3"/>
      <c r="AP191" s="12" t="s">
        <v>1194</v>
      </c>
      <c r="BA191" s="36" t="s">
        <v>743</v>
      </c>
      <c r="BG191" s="12" t="s">
        <v>789</v>
      </c>
    </row>
    <row r="192" spans="1:59" ht="12.75">
      <c r="A192" s="25"/>
      <c r="C192" s="46"/>
      <c r="D192" s="25" t="s">
        <v>634</v>
      </c>
      <c r="E192" s="25"/>
      <c r="F192" s="25"/>
      <c r="G192" s="25"/>
      <c r="I192" s="1090">
        <v>91306</v>
      </c>
      <c r="J192" s="1090"/>
      <c r="K192" s="1090"/>
      <c r="L192" s="1090"/>
      <c r="M192" s="1090"/>
      <c r="N192" s="1090"/>
      <c r="O192" s="25" t="s">
        <v>636</v>
      </c>
      <c r="P192" s="25"/>
      <c r="Q192" s="25"/>
      <c r="R192" s="25"/>
      <c r="S192" s="25"/>
      <c r="T192" s="1344">
        <v>1348</v>
      </c>
      <c r="U192" s="1344"/>
      <c r="V192" s="1344"/>
      <c r="W192" s="1344"/>
      <c r="X192" s="1344"/>
      <c r="Y192" s="1344"/>
      <c r="Z192" s="1344"/>
      <c r="AA192" s="1344"/>
      <c r="AB192" s="1344"/>
      <c r="AC192" s="1344"/>
      <c r="AD192" s="1344"/>
      <c r="AE192" s="1344"/>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2" t="s">
        <v>1653</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1" t="s">
        <v>723</v>
      </c>
      <c r="U195" s="1121"/>
      <c r="W195" s="25" t="s">
        <v>739</v>
      </c>
      <c r="X195" s="25"/>
      <c r="Y195" s="25"/>
      <c r="Z195" s="25"/>
      <c r="AA195" s="25"/>
      <c r="AB195" s="25"/>
      <c r="AC195" s="25"/>
      <c r="AD195" s="25"/>
      <c r="AE195" s="25"/>
      <c r="AF195" s="25"/>
      <c r="AG195" s="25"/>
      <c r="AH195" s="1121">
        <v>30</v>
      </c>
      <c r="AI195" s="112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4" t="s">
        <v>723</v>
      </c>
      <c r="U196" s="1124"/>
      <c r="W196" s="25" t="s">
        <v>740</v>
      </c>
      <c r="X196" s="25"/>
      <c r="Y196" s="25"/>
      <c r="Z196" s="25"/>
      <c r="AA196" s="25"/>
      <c r="AB196" s="25"/>
      <c r="AC196" s="25"/>
      <c r="AD196" s="25"/>
      <c r="AE196" s="25"/>
      <c r="AF196" s="25"/>
      <c r="AG196" s="25"/>
      <c r="AH196" s="1121">
        <v>45</v>
      </c>
      <c r="AI196" s="112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4" t="s">
        <v>723</v>
      </c>
      <c r="U197" s="1124"/>
      <c r="V197" s="12"/>
      <c r="W197" s="25" t="s">
        <v>741</v>
      </c>
      <c r="X197" s="25"/>
      <c r="Y197" s="25"/>
      <c r="Z197" s="25"/>
      <c r="AA197" s="25"/>
      <c r="AB197" s="25"/>
      <c r="AC197" s="25"/>
      <c r="AD197" s="25"/>
      <c r="AE197" s="25"/>
      <c r="AF197" s="25"/>
      <c r="AG197" s="25"/>
      <c r="AH197" s="1121">
        <v>27</v>
      </c>
      <c r="AI197" s="112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4" t="s">
        <v>723</v>
      </c>
      <c r="Z198" s="11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40">
        <f>M26</f>
        <v>1244398</v>
      </c>
      <c r="Q203" s="1341"/>
      <c r="R203" s="1341"/>
      <c r="S203" s="1341"/>
      <c r="T203" s="1341"/>
      <c r="U203" s="134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1" t="s">
        <v>1533</v>
      </c>
      <c r="E204" s="1180"/>
      <c r="F204" s="1180"/>
      <c r="G204" s="1180"/>
      <c r="H204" s="1180"/>
      <c r="I204" s="1180"/>
      <c r="J204" s="1180"/>
      <c r="K204" s="1180"/>
      <c r="L204" s="1180"/>
      <c r="M204" s="1180"/>
      <c r="P204" s="1341">
        <f>M27</f>
        <v>4992958</v>
      </c>
      <c r="Q204" s="1341"/>
      <c r="R204" s="1341"/>
      <c r="S204" s="1341"/>
      <c r="T204" s="1341"/>
      <c r="U204" s="1341"/>
      <c r="V204" s="47"/>
      <c r="W204" s="25" t="s">
        <v>1534</v>
      </c>
      <c r="X204" s="25"/>
      <c r="Y204" s="25"/>
      <c r="Z204" s="25"/>
      <c r="AA204" s="25"/>
      <c r="AB204" s="25"/>
      <c r="AC204" s="25"/>
      <c r="AD204" s="25"/>
      <c r="AE204" s="25"/>
      <c r="AF204" s="1121" t="s">
        <v>723</v>
      </c>
      <c r="AG204" s="1121"/>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2" t="s">
        <v>1654</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2" t="s">
        <v>1196</v>
      </c>
      <c r="E210" s="1152"/>
      <c r="F210" s="1152"/>
      <c r="G210" s="1152"/>
      <c r="H210" s="1152"/>
      <c r="I210" s="1152"/>
      <c r="J210" s="1152"/>
      <c r="K210" s="1152"/>
      <c r="L210" s="1152"/>
      <c r="M210" s="1152"/>
      <c r="N210" s="12" t="s">
        <v>1518</v>
      </c>
      <c r="O210" s="743"/>
      <c r="P210" s="743"/>
      <c r="Q210" s="743"/>
      <c r="R210" s="743"/>
      <c r="S210" s="743"/>
      <c r="T210" s="743"/>
      <c r="U210" s="743"/>
      <c r="V210" s="743"/>
      <c r="W210" s="743"/>
      <c r="X210" s="743"/>
      <c r="Y210" s="743"/>
      <c r="Z210" s="743"/>
      <c r="AH210" s="1121">
        <v>44</v>
      </c>
      <c r="AI210" s="112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2" t="s">
        <v>970</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4" t="s">
        <v>587</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409</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592</v>
      </c>
      <c r="AJ221" s="112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642</v>
      </c>
      <c r="AJ222" s="112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642</v>
      </c>
      <c r="AJ223" s="1121"/>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642</v>
      </c>
      <c r="AJ224" s="1121"/>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6" t="str">
        <f>H16</f>
        <v>Palm Vista, LP</v>
      </c>
      <c r="N227" s="1336"/>
      <c r="O227" s="1336"/>
      <c r="P227" s="1336"/>
      <c r="Q227" s="1336"/>
      <c r="R227" s="1336"/>
      <c r="S227" s="1336"/>
      <c r="T227" s="1336"/>
      <c r="U227" s="1336"/>
      <c r="V227" s="1336"/>
      <c r="W227" s="1336"/>
      <c r="X227" s="1336"/>
      <c r="Y227" s="1336"/>
      <c r="Z227" s="1336"/>
      <c r="AA227" s="1336"/>
      <c r="AB227" s="1336"/>
      <c r="AC227" s="1336"/>
      <c r="AD227" s="1336"/>
      <c r="AE227" s="1336"/>
      <c r="AF227" s="1336"/>
      <c r="AG227" s="1336"/>
      <c r="AH227" s="1336"/>
      <c r="AI227" s="1336"/>
      <c r="AJ227" s="1336"/>
      <c r="AK227" s="1336"/>
      <c r="AO227" s="344" t="s">
        <v>585</v>
      </c>
      <c r="AT227" s="406">
        <f>IF(AND(AND($M$244="nonprofit",$M$252="for profit",$M$260="nonprofit")),2,0)</f>
        <v>0</v>
      </c>
    </row>
    <row r="228" spans="1:59" ht="12.75">
      <c r="D228" s="57" t="s">
        <v>92</v>
      </c>
      <c r="E228" s="57"/>
      <c r="F228" s="57"/>
      <c r="G228" s="57"/>
      <c r="H228" s="57"/>
      <c r="I228" s="57"/>
      <c r="J228" s="57"/>
      <c r="K228" s="7"/>
      <c r="M228" s="1326" t="s">
        <v>1655</v>
      </c>
      <c r="N228" s="1152"/>
      <c r="O228" s="1152"/>
      <c r="P228" s="1152"/>
      <c r="Q228" s="1152"/>
      <c r="R228" s="1152"/>
      <c r="S228" s="1152"/>
      <c r="T228" s="1152"/>
      <c r="U228" s="1152"/>
      <c r="V228" s="1152"/>
      <c r="W228" s="1152"/>
      <c r="X228" s="1152"/>
      <c r="Y228" s="1152"/>
      <c r="Z228" s="1152"/>
      <c r="AA228" s="1152"/>
      <c r="AB228" s="1152"/>
      <c r="AC228" s="1152"/>
      <c r="AD228" s="1152"/>
      <c r="AE228" s="1152"/>
      <c r="AM228" s="7"/>
      <c r="AO228" s="344" t="s">
        <v>585</v>
      </c>
      <c r="AT228" s="405">
        <f>IF(AND(AND($M$244="for profit",$M$252="nonprofit",$M$260="nonprofit")),2,0)</f>
        <v>0</v>
      </c>
      <c r="BB228" s="61"/>
    </row>
    <row r="229" spans="1:59" ht="12.75">
      <c r="D229" s="57" t="s">
        <v>631</v>
      </c>
      <c r="E229" s="57"/>
      <c r="M229" s="1326" t="s">
        <v>541</v>
      </c>
      <c r="N229" s="1152"/>
      <c r="O229" s="1152"/>
      <c r="P229" s="1152"/>
      <c r="Q229" s="1152"/>
      <c r="R229" s="1152"/>
      <c r="S229" s="1152"/>
      <c r="T229" s="1152"/>
      <c r="V229" s="59" t="s">
        <v>93</v>
      </c>
      <c r="W229" s="1181" t="s">
        <v>1656</v>
      </c>
      <c r="X229" s="1157"/>
      <c r="Y229" s="57" t="s">
        <v>634</v>
      </c>
      <c r="AC229" s="1152">
        <v>90029</v>
      </c>
      <c r="AD229" s="1152"/>
      <c r="AE229" s="1152"/>
      <c r="AO229" s="402"/>
      <c r="AT229" s="403"/>
    </row>
    <row r="230" spans="1:59" ht="12.75">
      <c r="D230" s="60" t="s">
        <v>94</v>
      </c>
      <c r="E230" s="7"/>
      <c r="F230" s="7"/>
      <c r="G230" s="7"/>
      <c r="H230" s="7"/>
      <c r="I230" s="7"/>
      <c r="J230" s="7"/>
      <c r="K230" s="29"/>
      <c r="M230" s="1326" t="s">
        <v>1657</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584</v>
      </c>
      <c r="AT230" s="406">
        <f>IF(AND(AND($M$244="nonprofit",$M$252="nonprofit",$M$260="(select one)")),1,0)</f>
        <v>0</v>
      </c>
    </row>
    <row r="231" spans="1:59" ht="12.75">
      <c r="D231" s="60" t="s">
        <v>95</v>
      </c>
      <c r="E231" s="7"/>
      <c r="F231" s="7"/>
      <c r="M231" s="1260" t="s">
        <v>1658</v>
      </c>
      <c r="N231" s="1127"/>
      <c r="O231" s="1127"/>
      <c r="P231" s="1127"/>
      <c r="Q231" s="1127"/>
      <c r="R231" s="1127"/>
      <c r="S231" s="7" t="s">
        <v>220</v>
      </c>
      <c r="T231" s="7"/>
      <c r="U231" s="1157"/>
      <c r="V231" s="1157"/>
      <c r="W231" s="1157"/>
      <c r="X231" s="7" t="s">
        <v>96</v>
      </c>
      <c r="Z231" s="1127"/>
      <c r="AA231" s="1127"/>
      <c r="AB231" s="1127"/>
      <c r="AC231" s="1127"/>
      <c r="AD231" s="1127"/>
      <c r="AE231" s="1127"/>
      <c r="AO231" s="400" t="s">
        <v>584</v>
      </c>
      <c r="AT231" s="406">
        <f>IF(AND(AND($M$244="nonprofit",$M$252="nonprofit",$M$260="nonprofit")),1,0)</f>
        <v>0</v>
      </c>
    </row>
    <row r="232" spans="1:59" ht="12.75">
      <c r="D232" s="60" t="s">
        <v>97</v>
      </c>
      <c r="E232" s="7"/>
      <c r="F232" s="7"/>
      <c r="M232" s="1321" t="s">
        <v>1659</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0" t="s">
        <v>575</v>
      </c>
      <c r="N233" s="1090"/>
      <c r="O233" s="1090"/>
      <c r="P233" s="1090"/>
      <c r="Q233" s="1090"/>
      <c r="R233" s="1090"/>
      <c r="S233" s="1090"/>
      <c r="T233" s="1090"/>
      <c r="U233" s="404" t="s">
        <v>1005</v>
      </c>
      <c r="V233" s="335"/>
      <c r="W233" s="335"/>
      <c r="X233" s="335"/>
      <c r="Y233" s="335"/>
      <c r="Z233" s="335"/>
      <c r="AA233" s="1330"/>
      <c r="AB233" s="1330"/>
      <c r="AC233" s="1330"/>
      <c r="AD233" s="1330"/>
      <c r="AE233" s="1330"/>
      <c r="AF233" s="1330"/>
      <c r="AG233" s="1330"/>
      <c r="AH233" s="1330"/>
      <c r="AI233" s="1330"/>
      <c r="AJ233" s="1330"/>
      <c r="AK233" s="1330"/>
      <c r="AL233" s="58"/>
      <c r="AO233" s="400" t="s">
        <v>972</v>
      </c>
      <c r="AT233" s="406">
        <f>IF(AND(AND($M$244="for profit",$M$252="for profit",$M$260="(select one)")),3,0)</f>
        <v>0</v>
      </c>
    </row>
    <row r="234" spans="1:59" ht="12.75">
      <c r="D234" s="12" t="s">
        <v>578</v>
      </c>
      <c r="M234" s="1091"/>
      <c r="N234" s="1091"/>
      <c r="O234" s="1091"/>
      <c r="P234" s="1091"/>
      <c r="Q234" s="1091"/>
      <c r="R234" s="1091"/>
      <c r="S234" s="1091"/>
      <c r="T234" s="1091"/>
      <c r="U234" s="1091"/>
      <c r="V234" s="1091"/>
      <c r="W234" s="1091"/>
      <c r="X234" s="1091"/>
      <c r="Y234" s="1091"/>
      <c r="Z234" s="1091"/>
      <c r="AA234" s="1091"/>
      <c r="AB234" s="1091"/>
      <c r="AC234" s="1091"/>
      <c r="AD234" s="1091"/>
      <c r="AE234" s="109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4" t="s">
        <v>1660</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1661</v>
      </c>
      <c r="AG238" s="1323"/>
      <c r="AH238" s="1323"/>
      <c r="AI238" s="1323"/>
      <c r="AJ238" s="1323"/>
      <c r="AK238" s="1323"/>
      <c r="AT238" s="12">
        <v>1</v>
      </c>
      <c r="AU238" s="12" t="s">
        <v>581</v>
      </c>
      <c r="AZ238" s="25"/>
      <c r="BA238" s="3"/>
      <c r="BB238" s="3"/>
    </row>
    <row r="239" spans="1:59" ht="12.75">
      <c r="A239" s="29"/>
      <c r="B239" s="7"/>
      <c r="C239" s="7"/>
      <c r="D239" s="57" t="s">
        <v>92</v>
      </c>
      <c r="E239" s="57"/>
      <c r="F239" s="57"/>
      <c r="G239" s="57"/>
      <c r="H239" s="57"/>
      <c r="I239" s="57"/>
      <c r="J239" s="57"/>
      <c r="K239" s="57"/>
      <c r="L239" s="7"/>
      <c r="M239" s="1326" t="s">
        <v>1655</v>
      </c>
      <c r="N239" s="1152"/>
      <c r="O239" s="1152"/>
      <c r="P239" s="1152"/>
      <c r="Q239" s="1152"/>
      <c r="R239" s="1152"/>
      <c r="S239" s="1152"/>
      <c r="T239" s="1152"/>
      <c r="U239" s="1152"/>
      <c r="V239" s="1152"/>
      <c r="W239" s="1152"/>
      <c r="X239" s="1152"/>
      <c r="Y239" s="1152"/>
      <c r="Z239" s="1152"/>
      <c r="AA239" s="1152"/>
      <c r="AB239" s="1152"/>
      <c r="AC239" s="1152"/>
      <c r="AD239" s="1152"/>
      <c r="AE239" s="1152"/>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26" t="s">
        <v>541</v>
      </c>
      <c r="N240" s="1152"/>
      <c r="O240" s="1152"/>
      <c r="P240" s="1152"/>
      <c r="Q240" s="1152"/>
      <c r="R240" s="1152"/>
      <c r="S240" s="1152"/>
      <c r="T240" s="1152"/>
      <c r="V240" s="59" t="s">
        <v>93</v>
      </c>
      <c r="W240" s="1181" t="s">
        <v>1662</v>
      </c>
      <c r="X240" s="1157"/>
      <c r="Y240" s="57" t="s">
        <v>634</v>
      </c>
      <c r="AC240" s="1152">
        <v>90029</v>
      </c>
      <c r="AD240" s="1152"/>
      <c r="AE240" s="1152"/>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26" t="s">
        <v>1657</v>
      </c>
      <c r="N241" s="1152"/>
      <c r="O241" s="1152"/>
      <c r="P241" s="1152"/>
      <c r="Q241" s="1152"/>
      <c r="R241" s="1152"/>
      <c r="S241" s="1152"/>
      <c r="T241" s="1152"/>
      <c r="U241" s="1152"/>
      <c r="V241" s="1152"/>
      <c r="W241" s="1152"/>
      <c r="X241" s="1152"/>
      <c r="Y241" s="1152"/>
      <c r="Z241" s="1152"/>
      <c r="AA241" s="1152"/>
      <c r="AB241" s="1152"/>
      <c r="AC241" s="1152"/>
      <c r="AD241" s="1152"/>
      <c r="AE241" s="1152"/>
      <c r="AH241" s="1131">
        <v>5.0000000000000001E-3</v>
      </c>
      <c r="AI241" s="1131"/>
      <c r="AJ241" s="1131"/>
      <c r="AK241" s="1131"/>
      <c r="AL241" s="7"/>
      <c r="AN241" s="7" t="s">
        <v>296</v>
      </c>
      <c r="BA241" s="61"/>
    </row>
    <row r="242" spans="1:53" ht="12.75">
      <c r="A242" s="29"/>
      <c r="B242" s="7"/>
      <c r="C242" s="7"/>
      <c r="D242" s="60" t="s">
        <v>95</v>
      </c>
      <c r="E242" s="7"/>
      <c r="F242" s="7"/>
      <c r="M242" s="1260" t="s">
        <v>1658</v>
      </c>
      <c r="N242" s="1127"/>
      <c r="O242" s="1127"/>
      <c r="P242" s="1127"/>
      <c r="Q242" s="1127"/>
      <c r="R242" s="1127"/>
      <c r="S242" s="7" t="s">
        <v>220</v>
      </c>
      <c r="T242" s="7"/>
      <c r="U242" s="1157"/>
      <c r="V242" s="1157"/>
      <c r="W242" s="1157"/>
      <c r="X242" s="7" t="s">
        <v>96</v>
      </c>
      <c r="Z242" s="1127"/>
      <c r="AA242" s="1127"/>
      <c r="AB242" s="1127"/>
      <c r="AC242" s="1127"/>
      <c r="AD242" s="1127"/>
      <c r="AE242" s="1127"/>
      <c r="AN242" s="7" t="s">
        <v>186</v>
      </c>
      <c r="BA242" s="61"/>
    </row>
    <row r="243" spans="1:53" ht="12.75">
      <c r="A243" s="29"/>
      <c r="B243" s="7"/>
      <c r="C243" s="7"/>
      <c r="D243" s="60" t="s">
        <v>97</v>
      </c>
      <c r="E243" s="7"/>
      <c r="F243" s="7"/>
      <c r="M243" s="1321" t="s">
        <v>1659</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582</v>
      </c>
      <c r="E244" s="7"/>
      <c r="F244" s="7"/>
      <c r="G244" s="7"/>
      <c r="H244" s="7"/>
      <c r="I244" s="7"/>
      <c r="J244" s="7"/>
      <c r="K244" s="7"/>
      <c r="L244" s="7"/>
      <c r="M244" s="1090" t="s">
        <v>581</v>
      </c>
      <c r="N244" s="1090"/>
      <c r="O244" s="1090"/>
      <c r="P244" s="1090"/>
      <c r="Q244" s="1090"/>
      <c r="R244" s="1090"/>
      <c r="S244" s="1090"/>
      <c r="T244" s="1090"/>
      <c r="U244" s="404" t="s">
        <v>1005</v>
      </c>
      <c r="V244" s="335"/>
      <c r="W244" s="335"/>
      <c r="X244" s="335"/>
      <c r="Y244" s="335"/>
      <c r="Z244" s="335"/>
      <c r="AA244" s="1330"/>
      <c r="AB244" s="1330"/>
      <c r="AC244" s="1330"/>
      <c r="AD244" s="1330"/>
      <c r="AE244" s="1330"/>
      <c r="AF244" s="1330"/>
      <c r="AG244" s="1330"/>
      <c r="AH244" s="1330"/>
      <c r="AI244" s="1330"/>
      <c r="AJ244" s="1330"/>
      <c r="AK244" s="133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4" t="s">
        <v>1663</v>
      </c>
      <c r="N246" s="1323"/>
      <c r="O246" s="1323"/>
      <c r="P246" s="1323"/>
      <c r="Q246" s="1323"/>
      <c r="R246" s="1323"/>
      <c r="S246" s="1323"/>
      <c r="T246" s="1323"/>
      <c r="U246" s="1323"/>
      <c r="V246" s="1323"/>
      <c r="W246" s="1323"/>
      <c r="X246" s="1323"/>
      <c r="Y246" s="1323"/>
      <c r="Z246" s="1323"/>
      <c r="AA246" s="1323"/>
      <c r="AB246" s="1323"/>
      <c r="AC246" s="1323"/>
      <c r="AD246" s="1323"/>
      <c r="AE246" s="1323"/>
      <c r="AF246" s="1323" t="s">
        <v>1664</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326" t="s">
        <v>1665</v>
      </c>
      <c r="N247" s="1152"/>
      <c r="O247" s="1152"/>
      <c r="P247" s="1152"/>
      <c r="Q247" s="1152"/>
      <c r="R247" s="1152"/>
      <c r="S247" s="1152"/>
      <c r="T247" s="1152"/>
      <c r="U247" s="1152"/>
      <c r="V247" s="1152"/>
      <c r="W247" s="1152"/>
      <c r="X247" s="1152"/>
      <c r="Y247" s="1152"/>
      <c r="Z247" s="1152"/>
      <c r="AA247" s="1152"/>
      <c r="AB247" s="1152"/>
      <c r="AC247" s="1152"/>
      <c r="AD247" s="1152"/>
      <c r="AE247" s="1152"/>
      <c r="AF247" s="58" t="s">
        <v>1419</v>
      </c>
      <c r="AG247" s="743"/>
      <c r="AH247" s="743"/>
      <c r="AI247" s="743"/>
      <c r="AJ247" s="743"/>
      <c r="AK247" s="743"/>
      <c r="AL247" s="7"/>
      <c r="BA247" s="61"/>
    </row>
    <row r="248" spans="1:53" ht="12.75">
      <c r="A248" s="29"/>
      <c r="B248" s="7"/>
      <c r="C248" s="7"/>
      <c r="D248" s="57" t="s">
        <v>631</v>
      </c>
      <c r="E248" s="57"/>
      <c r="M248" s="1326" t="s">
        <v>1666</v>
      </c>
      <c r="N248" s="1152"/>
      <c r="O248" s="1152"/>
      <c r="P248" s="1152"/>
      <c r="Q248" s="1152"/>
      <c r="R248" s="1152"/>
      <c r="S248" s="1152"/>
      <c r="T248" s="1152"/>
      <c r="V248" s="59" t="s">
        <v>93</v>
      </c>
      <c r="W248" s="1181" t="s">
        <v>1662</v>
      </c>
      <c r="X248" s="1157"/>
      <c r="Y248" s="57" t="s">
        <v>634</v>
      </c>
      <c r="AC248" s="1152">
        <v>90277</v>
      </c>
      <c r="AD248" s="1152"/>
      <c r="AE248" s="1152"/>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26" t="s">
        <v>1667</v>
      </c>
      <c r="N249" s="1152"/>
      <c r="O249" s="1152"/>
      <c r="P249" s="1152"/>
      <c r="Q249" s="1152"/>
      <c r="R249" s="1152"/>
      <c r="S249" s="1152"/>
      <c r="T249" s="1152"/>
      <c r="U249" s="1152"/>
      <c r="V249" s="1152"/>
      <c r="W249" s="1152"/>
      <c r="X249" s="1152"/>
      <c r="Y249" s="1152"/>
      <c r="Z249" s="1152"/>
      <c r="AA249" s="1152"/>
      <c r="AB249" s="1152"/>
      <c r="AC249" s="1152"/>
      <c r="AD249" s="1152"/>
      <c r="AE249" s="1152"/>
      <c r="AF249" s="743"/>
      <c r="AG249" s="743"/>
      <c r="AH249" s="1131">
        <v>5.0000000000000001E-3</v>
      </c>
      <c r="AI249" s="1131"/>
      <c r="AJ249" s="1131"/>
      <c r="AK249" s="1131"/>
      <c r="AL249" s="7"/>
      <c r="BA249" s="61"/>
    </row>
    <row r="250" spans="1:53" ht="12.75">
      <c r="A250" s="29"/>
      <c r="B250" s="7"/>
      <c r="C250" s="7"/>
      <c r="D250" s="60" t="s">
        <v>95</v>
      </c>
      <c r="E250" s="7"/>
      <c r="F250" s="7"/>
      <c r="M250" s="1260" t="s">
        <v>1668</v>
      </c>
      <c r="N250" s="1127"/>
      <c r="O250" s="1127"/>
      <c r="P250" s="1127"/>
      <c r="Q250" s="1127"/>
      <c r="R250" s="1127"/>
      <c r="S250" s="7" t="s">
        <v>220</v>
      </c>
      <c r="T250" s="7"/>
      <c r="U250" s="1157"/>
      <c r="V250" s="1157"/>
      <c r="W250" s="1157"/>
      <c r="X250" s="7" t="s">
        <v>96</v>
      </c>
      <c r="Z250" s="1127"/>
      <c r="AA250" s="1127"/>
      <c r="AB250" s="1127"/>
      <c r="AC250" s="1127"/>
      <c r="AD250" s="1127"/>
      <c r="AE250" s="1127"/>
      <c r="BA250" s="61"/>
    </row>
    <row r="251" spans="1:53" ht="12.75" customHeight="1">
      <c r="A251" s="29"/>
      <c r="B251" s="7"/>
      <c r="C251" s="7"/>
      <c r="D251" s="60" t="s">
        <v>97</v>
      </c>
      <c r="E251" s="7"/>
      <c r="F251" s="7"/>
      <c r="M251" s="1321" t="s">
        <v>1669</v>
      </c>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0" t="s">
        <v>583</v>
      </c>
      <c r="N252" s="1090"/>
      <c r="O252" s="1090"/>
      <c r="P252" s="1090"/>
      <c r="Q252" s="1090"/>
      <c r="R252" s="1090"/>
      <c r="S252" s="1090"/>
      <c r="T252" s="1090"/>
      <c r="U252" s="404" t="s">
        <v>1005</v>
      </c>
      <c r="V252" s="335"/>
      <c r="W252" s="335"/>
      <c r="X252" s="335"/>
      <c r="Y252" s="335"/>
      <c r="Z252" s="335"/>
      <c r="AA252" s="1330"/>
      <c r="AB252" s="1330"/>
      <c r="AC252" s="1330"/>
      <c r="AD252" s="1330"/>
      <c r="AE252" s="1330"/>
      <c r="AF252" s="1330"/>
      <c r="AG252" s="1330"/>
      <c r="AH252" s="1330"/>
      <c r="AI252" s="1330"/>
      <c r="AJ252" s="1330"/>
      <c r="AK252" s="133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329</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1419</v>
      </c>
      <c r="AG255" s="743"/>
      <c r="AH255" s="743"/>
      <c r="AI255" s="743"/>
      <c r="AJ255" s="743"/>
      <c r="AK255" s="743"/>
      <c r="AL255" s="58"/>
      <c r="BA255" s="61"/>
    </row>
    <row r="256" spans="1:53" ht="12.75">
      <c r="A256" s="23"/>
      <c r="B256" s="7"/>
      <c r="C256" s="7"/>
      <c r="D256" s="57" t="s">
        <v>631</v>
      </c>
      <c r="E256" s="57"/>
      <c r="M256" s="1152"/>
      <c r="N256" s="1152"/>
      <c r="O256" s="1152"/>
      <c r="P256" s="1152"/>
      <c r="Q256" s="1152"/>
      <c r="R256" s="1152"/>
      <c r="S256" s="1152"/>
      <c r="T256" s="1152"/>
      <c r="V256" s="59" t="s">
        <v>93</v>
      </c>
      <c r="W256" s="1157"/>
      <c r="X256" s="1157"/>
      <c r="Y256" s="57" t="s">
        <v>634</v>
      </c>
      <c r="AC256" s="1152"/>
      <c r="AD256" s="1152"/>
      <c r="AE256" s="1152"/>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31"/>
      <c r="AI257" s="1131"/>
      <c r="AJ257" s="1131"/>
      <c r="AK257" s="1131"/>
      <c r="AL257" s="58"/>
      <c r="BA257" s="61"/>
    </row>
    <row r="258" spans="1:53" ht="12.75">
      <c r="A258" s="23"/>
      <c r="B258" s="7"/>
      <c r="C258" s="7"/>
      <c r="D258" s="60" t="s">
        <v>95</v>
      </c>
      <c r="E258" s="7"/>
      <c r="F258" s="7"/>
      <c r="M258" s="1127"/>
      <c r="N258" s="1127"/>
      <c r="O258" s="1127"/>
      <c r="P258" s="1127"/>
      <c r="Q258" s="1127"/>
      <c r="R258" s="1127"/>
      <c r="S258" s="7" t="s">
        <v>220</v>
      </c>
      <c r="T258" s="7"/>
      <c r="U258" s="1157"/>
      <c r="V258" s="1157"/>
      <c r="W258" s="1157"/>
      <c r="X258" s="7" t="s">
        <v>96</v>
      </c>
      <c r="Z258" s="1127"/>
      <c r="AA258" s="1127"/>
      <c r="AB258" s="1127"/>
      <c r="AC258" s="1127"/>
      <c r="AD258" s="1127"/>
      <c r="AE258" s="1127"/>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8"/>
      <c r="AB259" s="1338"/>
      <c r="AC259" s="1338"/>
      <c r="AD259" s="1338"/>
      <c r="AE259" s="1338"/>
      <c r="AG259" s="7"/>
      <c r="AH259" s="7"/>
      <c r="AI259" s="7"/>
      <c r="AJ259" s="7"/>
      <c r="AK259" s="7"/>
      <c r="AL259" s="58"/>
      <c r="BA259" s="61"/>
    </row>
    <row r="260" spans="1:53" ht="12.75">
      <c r="A260" s="23"/>
      <c r="B260" s="7"/>
      <c r="C260" s="139"/>
      <c r="D260" s="60" t="s">
        <v>582</v>
      </c>
      <c r="E260" s="7"/>
      <c r="F260" s="7"/>
      <c r="G260" s="7"/>
      <c r="H260" s="7"/>
      <c r="I260" s="7"/>
      <c r="J260" s="7"/>
      <c r="K260" s="7"/>
      <c r="L260" s="7"/>
      <c r="M260" s="1090" t="s">
        <v>329</v>
      </c>
      <c r="N260" s="1090"/>
      <c r="O260" s="1090"/>
      <c r="P260" s="1090"/>
      <c r="Q260" s="1090"/>
      <c r="R260" s="1090"/>
      <c r="S260" s="1090"/>
      <c r="T260" s="1090"/>
      <c r="U260" s="404" t="s">
        <v>1005</v>
      </c>
      <c r="V260" s="335"/>
      <c r="W260" s="335"/>
      <c r="X260" s="335"/>
      <c r="Y260" s="335"/>
      <c r="Z260" s="335"/>
      <c r="AA260" s="1331"/>
      <c r="AB260" s="1331"/>
      <c r="AC260" s="1331"/>
      <c r="AD260" s="1331"/>
      <c r="AE260" s="1331"/>
      <c r="AF260" s="1331"/>
      <c r="AG260" s="1331"/>
      <c r="AH260" s="1331"/>
      <c r="AI260" s="1331"/>
      <c r="AJ260" s="1331"/>
      <c r="AK260" s="133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3" t="str">
        <f>BB239</f>
        <v>Joint Venture</v>
      </c>
      <c r="U262" s="1333"/>
      <c r="V262" s="1333"/>
      <c r="W262" s="1333"/>
      <c r="X262" s="133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2" t="s">
        <v>296</v>
      </c>
      <c r="E265" s="1152"/>
      <c r="F265" s="1152"/>
      <c r="G265" s="1152"/>
      <c r="H265" s="1152"/>
      <c r="J265" s="12" t="s">
        <v>295</v>
      </c>
      <c r="X265" s="1332">
        <v>43690</v>
      </c>
      <c r="Y265" s="1332"/>
      <c r="Z265" s="1332"/>
      <c r="AA265" s="1332"/>
      <c r="AB265" s="1332"/>
      <c r="AC265" s="133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4" t="s">
        <v>1670</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326" t="s">
        <v>1665</v>
      </c>
      <c r="M270" s="1152"/>
      <c r="N270" s="1152"/>
      <c r="O270" s="1152"/>
      <c r="P270" s="1152"/>
      <c r="Q270" s="1152"/>
      <c r="R270" s="1152"/>
      <c r="S270" s="1152"/>
      <c r="T270" s="1152"/>
      <c r="U270" s="1152"/>
      <c r="V270" s="1152"/>
      <c r="W270" s="1152"/>
      <c r="X270" s="1152"/>
      <c r="Y270" s="1152"/>
      <c r="Z270" s="1152"/>
      <c r="AA270" s="1152"/>
      <c r="AB270" s="1152"/>
      <c r="AC270" s="1152"/>
      <c r="AD270" s="1152"/>
      <c r="AK270" s="58"/>
      <c r="AL270" s="58"/>
      <c r="BA270" s="61"/>
    </row>
    <row r="271" spans="1:53" ht="12.75">
      <c r="D271" s="57" t="s">
        <v>631</v>
      </c>
      <c r="E271" s="57"/>
      <c r="L271" s="1326" t="s">
        <v>1666</v>
      </c>
      <c r="M271" s="1152"/>
      <c r="N271" s="1152"/>
      <c r="O271" s="1152"/>
      <c r="P271" s="1152"/>
      <c r="Q271" s="1152"/>
      <c r="R271" s="1152"/>
      <c r="S271" s="1152"/>
      <c r="U271" s="59" t="s">
        <v>93</v>
      </c>
      <c r="V271" s="1181" t="s">
        <v>1662</v>
      </c>
      <c r="W271" s="1157"/>
      <c r="X271" s="57" t="s">
        <v>634</v>
      </c>
      <c r="AB271" s="1152">
        <v>90277</v>
      </c>
      <c r="AC271" s="1152"/>
      <c r="AD271" s="1152"/>
      <c r="AK271" s="58"/>
      <c r="AL271" s="58"/>
      <c r="BA271" s="61"/>
    </row>
    <row r="272" spans="1:53" ht="12.75">
      <c r="D272" s="60" t="s">
        <v>94</v>
      </c>
      <c r="E272" s="7"/>
      <c r="F272" s="7"/>
      <c r="G272" s="7"/>
      <c r="H272" s="7"/>
      <c r="I272" s="7"/>
      <c r="J272" s="7"/>
      <c r="K272" s="29"/>
      <c r="L272" s="1326" t="s">
        <v>1671</v>
      </c>
      <c r="M272" s="1152"/>
      <c r="N272" s="1152"/>
      <c r="O272" s="1152"/>
      <c r="P272" s="1152"/>
      <c r="Q272" s="1152"/>
      <c r="R272" s="1152"/>
      <c r="S272" s="1152"/>
      <c r="T272" s="1152"/>
      <c r="U272" s="1152"/>
      <c r="V272" s="1152"/>
      <c r="W272" s="1152"/>
      <c r="X272" s="1152"/>
      <c r="Y272" s="1152"/>
      <c r="Z272" s="1152"/>
      <c r="AA272" s="1152"/>
      <c r="AB272" s="1152"/>
      <c r="AC272" s="1152"/>
      <c r="AD272" s="1152"/>
      <c r="AI272" s="7"/>
      <c r="AJ272" s="7"/>
      <c r="AK272" s="58"/>
      <c r="AL272" s="58"/>
      <c r="BA272" s="61"/>
    </row>
    <row r="273" spans="1:53" ht="12.75">
      <c r="D273" s="60" t="s">
        <v>95</v>
      </c>
      <c r="E273" s="7"/>
      <c r="F273" s="7"/>
      <c r="L273" s="1260" t="s">
        <v>1668</v>
      </c>
      <c r="M273" s="1127"/>
      <c r="N273" s="1127"/>
      <c r="O273" s="1127"/>
      <c r="P273" s="1127"/>
      <c r="Q273" s="1127"/>
      <c r="R273" s="7" t="s">
        <v>220</v>
      </c>
      <c r="S273" s="7"/>
      <c r="T273" s="1157"/>
      <c r="U273" s="1157"/>
      <c r="V273" s="1157"/>
      <c r="W273" s="7" t="s">
        <v>96</v>
      </c>
      <c r="Y273" s="1127"/>
      <c r="Z273" s="1127"/>
      <c r="AA273" s="1127"/>
      <c r="AB273" s="1127"/>
      <c r="AC273" s="1127"/>
      <c r="AD273" s="1127"/>
      <c r="BA273" s="61"/>
    </row>
    <row r="274" spans="1:53" ht="12.75">
      <c r="D274" s="60" t="s">
        <v>97</v>
      </c>
      <c r="E274" s="7"/>
      <c r="F274" s="7"/>
      <c r="L274" s="1321" t="s">
        <v>1672</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674</v>
      </c>
      <c r="E275" s="58"/>
      <c r="F275" s="58"/>
      <c r="G275" s="58"/>
      <c r="H275" s="58"/>
      <c r="I275" s="58"/>
      <c r="L275" s="1181" t="s">
        <v>1673</v>
      </c>
      <c r="M275" s="1181"/>
      <c r="N275" s="1181"/>
      <c r="O275" s="1181"/>
      <c r="P275" s="1181"/>
      <c r="Q275" s="1181"/>
      <c r="R275" s="1181"/>
      <c r="S275" s="1181"/>
      <c r="T275" s="1181"/>
      <c r="U275" s="1181"/>
      <c r="V275" s="1181"/>
      <c r="W275" s="1181"/>
      <c r="X275" s="1181"/>
      <c r="Y275" s="1181"/>
      <c r="Z275" s="1181"/>
      <c r="AA275" s="1181"/>
      <c r="AB275" s="1181"/>
      <c r="AC275" s="1181"/>
      <c r="AD275" s="1181"/>
      <c r="AK275" s="58"/>
      <c r="AL275" s="58"/>
      <c r="BA275" s="61"/>
    </row>
    <row r="276" spans="1:53" ht="12.75">
      <c r="L276" s="35" t="s">
        <v>675</v>
      </c>
      <c r="BA276" s="61"/>
    </row>
    <row r="277" spans="1:53" ht="12.75">
      <c r="A277" s="1154" t="s">
        <v>588</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1" t="s">
        <v>1670</v>
      </c>
      <c r="I282" s="1091"/>
      <c r="J282" s="1091"/>
      <c r="K282" s="1091"/>
      <c r="L282" s="1091"/>
      <c r="M282" s="1091"/>
      <c r="N282" s="1091"/>
      <c r="O282" s="1091"/>
      <c r="P282" s="1091"/>
      <c r="Q282" s="1091"/>
      <c r="R282" s="1091"/>
      <c r="T282" s="58" t="s">
        <v>616</v>
      </c>
      <c r="V282" s="58"/>
      <c r="W282" s="58"/>
      <c r="X282" s="58"/>
      <c r="Y282" s="58"/>
      <c r="AA282" s="1091" t="s">
        <v>1674</v>
      </c>
      <c r="AB282" s="1091"/>
      <c r="AC282" s="1091"/>
      <c r="AD282" s="1091"/>
      <c r="AE282" s="1091"/>
      <c r="AF282" s="1091"/>
      <c r="AG282" s="1091"/>
      <c r="AH282" s="1091"/>
      <c r="AI282" s="1091"/>
      <c r="AJ282" s="1091"/>
      <c r="AK282" s="1091"/>
      <c r="BA282" s="61"/>
    </row>
    <row r="283" spans="1:53" ht="12.75" customHeight="1">
      <c r="B283" s="58" t="s">
        <v>518</v>
      </c>
      <c r="C283" s="58"/>
      <c r="D283" s="58"/>
      <c r="E283" s="58"/>
      <c r="F283" s="58"/>
      <c r="H283" s="1090" t="s">
        <v>1665</v>
      </c>
      <c r="I283" s="1090"/>
      <c r="J283" s="1090"/>
      <c r="K283" s="1090"/>
      <c r="L283" s="1090"/>
      <c r="M283" s="1090"/>
      <c r="N283" s="1090"/>
      <c r="O283" s="1090"/>
      <c r="P283" s="1090"/>
      <c r="Q283" s="1090"/>
      <c r="R283" s="1090"/>
      <c r="T283" s="58" t="s">
        <v>518</v>
      </c>
      <c r="V283" s="58"/>
      <c r="W283" s="58"/>
      <c r="X283" s="58"/>
      <c r="Y283" s="58"/>
      <c r="AA283" s="1090" t="s">
        <v>1675</v>
      </c>
      <c r="AB283" s="1090"/>
      <c r="AC283" s="1090"/>
      <c r="AD283" s="1090"/>
      <c r="AE283" s="1090"/>
      <c r="AF283" s="1090"/>
      <c r="AG283" s="1090"/>
      <c r="AH283" s="1090"/>
      <c r="AI283" s="1090"/>
      <c r="AJ283" s="1090"/>
      <c r="AK283" s="1090"/>
      <c r="BA283" s="61"/>
    </row>
    <row r="284" spans="1:53" ht="12.75" customHeight="1">
      <c r="B284" s="58" t="s">
        <v>519</v>
      </c>
      <c r="C284" s="58"/>
      <c r="D284" s="58"/>
      <c r="E284" s="58"/>
      <c r="F284" s="58"/>
      <c r="H284" s="1090" t="s">
        <v>1676</v>
      </c>
      <c r="I284" s="1090"/>
      <c r="J284" s="1090"/>
      <c r="K284" s="1090"/>
      <c r="L284" s="1090"/>
      <c r="M284" s="1090"/>
      <c r="N284" s="1090"/>
      <c r="O284" s="1090"/>
      <c r="P284" s="1090"/>
      <c r="Q284" s="1090"/>
      <c r="R284" s="1090"/>
      <c r="T284" s="58" t="s">
        <v>81</v>
      </c>
      <c r="V284" s="58"/>
      <c r="W284" s="58"/>
      <c r="X284" s="58"/>
      <c r="Y284" s="58"/>
      <c r="AA284" s="1090" t="s">
        <v>1677</v>
      </c>
      <c r="AB284" s="1090"/>
      <c r="AC284" s="1090"/>
      <c r="AD284" s="1090"/>
      <c r="AE284" s="1090"/>
      <c r="AF284" s="1090"/>
      <c r="AG284" s="1090"/>
      <c r="AH284" s="1090"/>
      <c r="AI284" s="1090"/>
      <c r="AJ284" s="1090"/>
      <c r="AK284" s="1090"/>
      <c r="BA284" s="61"/>
    </row>
    <row r="285" spans="1:53" ht="12.75" customHeight="1">
      <c r="B285" s="58" t="s">
        <v>94</v>
      </c>
      <c r="C285" s="58"/>
      <c r="D285" s="58"/>
      <c r="E285" s="58"/>
      <c r="F285" s="58"/>
      <c r="H285" s="1090" t="s">
        <v>1671</v>
      </c>
      <c r="I285" s="1090"/>
      <c r="J285" s="1090"/>
      <c r="K285" s="1090"/>
      <c r="L285" s="1090"/>
      <c r="M285" s="1090"/>
      <c r="N285" s="1090"/>
      <c r="O285" s="1090"/>
      <c r="P285" s="1090"/>
      <c r="Q285" s="1090"/>
      <c r="R285" s="1090"/>
      <c r="T285" s="58" t="s">
        <v>94</v>
      </c>
      <c r="V285" s="58"/>
      <c r="W285" s="58"/>
      <c r="X285" s="58"/>
      <c r="Y285" s="58"/>
      <c r="AA285" s="1090" t="s">
        <v>1678</v>
      </c>
      <c r="AB285" s="1090"/>
      <c r="AC285" s="1090"/>
      <c r="AD285" s="1090"/>
      <c r="AE285" s="1090"/>
      <c r="AF285" s="1090"/>
      <c r="AG285" s="1090"/>
      <c r="AH285" s="1090"/>
      <c r="AI285" s="1090"/>
      <c r="AJ285" s="1090"/>
      <c r="AK285" s="1090"/>
      <c r="BA285" s="61"/>
    </row>
    <row r="286" spans="1:53" ht="12.75" customHeight="1">
      <c r="B286" s="58" t="s">
        <v>95</v>
      </c>
      <c r="C286" s="58"/>
      <c r="D286" s="58"/>
      <c r="E286" s="58"/>
      <c r="F286" s="58"/>
      <c r="G286" s="58"/>
      <c r="H286" s="1104" t="s">
        <v>1668</v>
      </c>
      <c r="I286" s="1105"/>
      <c r="J286" s="1105"/>
      <c r="K286" s="1105"/>
      <c r="L286" s="1105"/>
      <c r="M286" s="1105"/>
      <c r="N286" s="7" t="s">
        <v>220</v>
      </c>
      <c r="O286" s="7"/>
      <c r="P286" s="1152"/>
      <c r="Q286" s="1152"/>
      <c r="R286" s="1152"/>
      <c r="S286" s="58"/>
      <c r="T286" s="58" t="s">
        <v>95</v>
      </c>
      <c r="V286" s="58"/>
      <c r="W286" s="58"/>
      <c r="X286" s="58"/>
      <c r="Y286" s="58"/>
      <c r="AA286" s="1104" t="s">
        <v>1679</v>
      </c>
      <c r="AB286" s="1105"/>
      <c r="AC286" s="1105"/>
      <c r="AD286" s="1105"/>
      <c r="AE286" s="1105"/>
      <c r="AF286" s="1105"/>
      <c r="AG286" s="7" t="s">
        <v>220</v>
      </c>
      <c r="AH286" s="7"/>
      <c r="AI286" s="1152"/>
      <c r="AJ286" s="1152"/>
      <c r="AK286" s="1152"/>
      <c r="BA286" s="61"/>
    </row>
    <row r="287" spans="1:53" ht="12.75">
      <c r="B287" s="58" t="s">
        <v>96</v>
      </c>
      <c r="C287" s="58"/>
      <c r="D287" s="58"/>
      <c r="E287" s="58"/>
      <c r="F287" s="58"/>
      <c r="G287" s="58"/>
      <c r="H287" s="1127"/>
      <c r="I287" s="1127"/>
      <c r="J287" s="1127"/>
      <c r="K287" s="1127"/>
      <c r="L287" s="1127"/>
      <c r="M287" s="1127"/>
      <c r="N287" s="60"/>
      <c r="O287" s="60"/>
      <c r="P287" s="62"/>
      <c r="Q287" s="62"/>
      <c r="R287" s="62"/>
      <c r="S287" s="58"/>
      <c r="T287" s="58" t="s">
        <v>96</v>
      </c>
      <c r="V287" s="58"/>
      <c r="W287" s="58"/>
      <c r="X287" s="58"/>
      <c r="Y287" s="58"/>
      <c r="AA287" s="1127"/>
      <c r="AB287" s="1127"/>
      <c r="AC287" s="1127"/>
      <c r="AD287" s="1127"/>
      <c r="AE287" s="1127"/>
      <c r="AF287" s="1127"/>
      <c r="AG287" s="60"/>
      <c r="AH287" s="60"/>
      <c r="AI287" s="62"/>
      <c r="AJ287" s="62"/>
      <c r="AK287" s="62"/>
      <c r="BA287" s="61"/>
    </row>
    <row r="288" spans="1:53" ht="12.75">
      <c r="B288" s="58" t="s">
        <v>82</v>
      </c>
      <c r="C288" s="58"/>
      <c r="D288" s="58"/>
      <c r="E288" s="58"/>
      <c r="F288" s="58"/>
      <c r="G288" s="58"/>
      <c r="H288" s="1090" t="s">
        <v>1672</v>
      </c>
      <c r="I288" s="1090"/>
      <c r="J288" s="1090"/>
      <c r="K288" s="1090"/>
      <c r="L288" s="1090"/>
      <c r="M288" s="1090"/>
      <c r="N288" s="1091"/>
      <c r="O288" s="1091"/>
      <c r="P288" s="1091"/>
      <c r="Q288" s="1091"/>
      <c r="R288" s="1091"/>
      <c r="S288" s="58"/>
      <c r="T288" s="58" t="s">
        <v>82</v>
      </c>
      <c r="V288" s="58"/>
      <c r="W288" s="58"/>
      <c r="X288" s="58"/>
      <c r="Y288" s="58"/>
      <c r="AA288" s="1090" t="s">
        <v>1680</v>
      </c>
      <c r="AB288" s="1090"/>
      <c r="AC288" s="1090"/>
      <c r="AD288" s="1090"/>
      <c r="AE288" s="1090"/>
      <c r="AF288" s="1090"/>
      <c r="AG288" s="1091"/>
      <c r="AH288" s="1091"/>
      <c r="AI288" s="1091"/>
      <c r="AJ288" s="1091"/>
      <c r="AK288" s="109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255" t="s">
        <v>1763</v>
      </c>
      <c r="I290" s="1255"/>
      <c r="J290" s="1255"/>
      <c r="K290" s="1255"/>
      <c r="L290" s="1255"/>
      <c r="M290" s="1255"/>
      <c r="N290" s="1255"/>
      <c r="O290" s="1255"/>
      <c r="P290" s="1255"/>
      <c r="Q290" s="1255"/>
      <c r="R290" s="1255"/>
      <c r="T290" s="58" t="s">
        <v>388</v>
      </c>
      <c r="V290" s="58"/>
      <c r="W290" s="58"/>
      <c r="X290" s="58"/>
      <c r="Y290" s="58"/>
      <c r="AA290" s="1091" t="s">
        <v>1681</v>
      </c>
      <c r="AB290" s="1091"/>
      <c r="AC290" s="1091"/>
      <c r="AD290" s="1091"/>
      <c r="AE290" s="1091"/>
      <c r="AF290" s="1091"/>
      <c r="AG290" s="1091"/>
      <c r="AH290" s="1091"/>
      <c r="AI290" s="1091"/>
      <c r="AJ290" s="1091"/>
      <c r="AK290" s="1091"/>
      <c r="BA290" s="61"/>
    </row>
    <row r="291" spans="2:53" ht="12.75">
      <c r="B291" s="58" t="s">
        <v>518</v>
      </c>
      <c r="C291" s="58"/>
      <c r="D291" s="58"/>
      <c r="E291" s="58"/>
      <c r="F291" s="58"/>
      <c r="H291" s="1090" t="s">
        <v>1764</v>
      </c>
      <c r="I291" s="1090"/>
      <c r="J291" s="1090"/>
      <c r="K291" s="1090"/>
      <c r="L291" s="1090"/>
      <c r="M291" s="1090"/>
      <c r="N291" s="1090"/>
      <c r="O291" s="1090"/>
      <c r="P291" s="1090"/>
      <c r="Q291" s="1090"/>
      <c r="R291" s="1090"/>
      <c r="T291" s="58" t="s">
        <v>518</v>
      </c>
      <c r="V291" s="58"/>
      <c r="W291" s="58"/>
      <c r="X291" s="58"/>
      <c r="Y291" s="58"/>
      <c r="AA291" s="1090" t="s">
        <v>1682</v>
      </c>
      <c r="AB291" s="1090"/>
      <c r="AC291" s="1090"/>
      <c r="AD291" s="1090"/>
      <c r="AE291" s="1090"/>
      <c r="AF291" s="1090"/>
      <c r="AG291" s="1090"/>
      <c r="AH291" s="1090"/>
      <c r="AI291" s="1090"/>
      <c r="AJ291" s="1090"/>
      <c r="AK291" s="1090"/>
      <c r="BA291" s="61"/>
    </row>
    <row r="292" spans="2:53" ht="12.75">
      <c r="B292" s="58" t="s">
        <v>519</v>
      </c>
      <c r="C292" s="58"/>
      <c r="D292" s="58"/>
      <c r="E292" s="58"/>
      <c r="F292" s="58"/>
      <c r="H292" s="1090" t="s">
        <v>1765</v>
      </c>
      <c r="I292" s="1090"/>
      <c r="J292" s="1090"/>
      <c r="K292" s="1090"/>
      <c r="L292" s="1090"/>
      <c r="M292" s="1090"/>
      <c r="N292" s="1090"/>
      <c r="O292" s="1090"/>
      <c r="P292" s="1090"/>
      <c r="Q292" s="1090"/>
      <c r="R292" s="1090"/>
      <c r="T292" s="58" t="s">
        <v>81</v>
      </c>
      <c r="V292" s="58"/>
      <c r="W292" s="58"/>
      <c r="X292" s="58"/>
      <c r="Y292" s="58"/>
      <c r="AA292" s="1090" t="s">
        <v>1683</v>
      </c>
      <c r="AB292" s="1090"/>
      <c r="AC292" s="1090"/>
      <c r="AD292" s="1090"/>
      <c r="AE292" s="1090"/>
      <c r="AF292" s="1090"/>
      <c r="AG292" s="1090"/>
      <c r="AH292" s="1090"/>
      <c r="AI292" s="1090"/>
      <c r="AJ292" s="1090"/>
      <c r="AK292" s="1090"/>
      <c r="BA292" s="61"/>
    </row>
    <row r="293" spans="2:53" ht="12.75" customHeight="1">
      <c r="B293" s="58" t="s">
        <v>94</v>
      </c>
      <c r="C293" s="58"/>
      <c r="D293" s="58"/>
      <c r="E293" s="58"/>
      <c r="F293" s="58"/>
      <c r="H293" s="1090" t="s">
        <v>1766</v>
      </c>
      <c r="I293" s="1090"/>
      <c r="J293" s="1090"/>
      <c r="K293" s="1090"/>
      <c r="L293" s="1090"/>
      <c r="M293" s="1090"/>
      <c r="N293" s="1090"/>
      <c r="O293" s="1090"/>
      <c r="P293" s="1090"/>
      <c r="Q293" s="1090"/>
      <c r="R293" s="1090"/>
      <c r="T293" s="58" t="s">
        <v>94</v>
      </c>
      <c r="V293" s="58"/>
      <c r="W293" s="58"/>
      <c r="X293" s="58"/>
      <c r="Y293" s="58"/>
      <c r="AA293" s="1090" t="s">
        <v>1684</v>
      </c>
      <c r="AB293" s="1090"/>
      <c r="AC293" s="1090"/>
      <c r="AD293" s="1090"/>
      <c r="AE293" s="1090"/>
      <c r="AF293" s="1090"/>
      <c r="AG293" s="1090"/>
      <c r="AH293" s="1090"/>
      <c r="AI293" s="1090"/>
      <c r="AJ293" s="1090"/>
      <c r="AK293" s="1090"/>
      <c r="BA293" s="61"/>
    </row>
    <row r="294" spans="2:53" ht="12.75" customHeight="1">
      <c r="B294" s="58" t="s">
        <v>95</v>
      </c>
      <c r="C294" s="58"/>
      <c r="D294" s="58"/>
      <c r="E294" s="58"/>
      <c r="F294" s="58"/>
      <c r="G294" s="58"/>
      <c r="H294" s="1329" t="s">
        <v>1767</v>
      </c>
      <c r="I294" s="1162"/>
      <c r="J294" s="1162"/>
      <c r="K294" s="1162"/>
      <c r="L294" s="1162"/>
      <c r="M294" s="1162"/>
      <c r="N294" s="7" t="s">
        <v>220</v>
      </c>
      <c r="O294" s="7"/>
      <c r="P294" s="1152"/>
      <c r="Q294" s="1152"/>
      <c r="R294" s="1152"/>
      <c r="S294" s="58"/>
      <c r="T294" s="58" t="s">
        <v>95</v>
      </c>
      <c r="V294" s="58"/>
      <c r="W294" s="58"/>
      <c r="X294" s="58"/>
      <c r="Y294" s="58"/>
      <c r="AA294" s="1104" t="s">
        <v>1685</v>
      </c>
      <c r="AB294" s="1105"/>
      <c r="AC294" s="1105"/>
      <c r="AD294" s="1105"/>
      <c r="AE294" s="1105"/>
      <c r="AF294" s="1105"/>
      <c r="AG294" s="7" t="s">
        <v>220</v>
      </c>
      <c r="AH294" s="7"/>
      <c r="AI294" s="1152"/>
      <c r="AJ294" s="1152"/>
      <c r="AK294" s="1152"/>
      <c r="BA294" s="61"/>
    </row>
    <row r="295" spans="2:53" ht="12.75" customHeight="1">
      <c r="B295" s="58" t="s">
        <v>96</v>
      </c>
      <c r="C295" s="58"/>
      <c r="D295" s="58"/>
      <c r="E295" s="58"/>
      <c r="F295" s="58"/>
      <c r="G295" s="58"/>
      <c r="H295" s="1329"/>
      <c r="I295" s="1162"/>
      <c r="J295" s="1162"/>
      <c r="K295" s="1162"/>
      <c r="L295" s="1162"/>
      <c r="M295" s="1162"/>
      <c r="N295" s="60"/>
      <c r="O295" s="60"/>
      <c r="P295" s="62"/>
      <c r="Q295" s="62"/>
      <c r="R295" s="62"/>
      <c r="S295" s="58"/>
      <c r="T295" s="58" t="s">
        <v>96</v>
      </c>
      <c r="V295" s="58"/>
      <c r="W295" s="58"/>
      <c r="X295" s="58"/>
      <c r="Y295" s="58"/>
      <c r="AA295" s="1127"/>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090" t="s">
        <v>1768</v>
      </c>
      <c r="I296" s="1090"/>
      <c r="J296" s="1090"/>
      <c r="K296" s="1090"/>
      <c r="L296" s="1090"/>
      <c r="M296" s="1090"/>
      <c r="N296" s="1255"/>
      <c r="O296" s="1255"/>
      <c r="P296" s="1255"/>
      <c r="Q296" s="1255"/>
      <c r="R296" s="1255"/>
      <c r="S296" s="58"/>
      <c r="T296" s="58" t="s">
        <v>82</v>
      </c>
      <c r="V296" s="58"/>
      <c r="W296" s="58"/>
      <c r="X296" s="58"/>
      <c r="Y296" s="58"/>
      <c r="AA296" s="1090" t="s">
        <v>1686</v>
      </c>
      <c r="AB296" s="1090"/>
      <c r="AC296" s="1090"/>
      <c r="AD296" s="1090"/>
      <c r="AE296" s="1090"/>
      <c r="AF296" s="1090"/>
      <c r="AG296" s="1091"/>
      <c r="AH296" s="1091"/>
      <c r="AI296" s="1091"/>
      <c r="AJ296" s="1091"/>
      <c r="AK296" s="1091"/>
      <c r="BA296" s="61"/>
    </row>
    <row r="297" spans="2:53" ht="12.75">
      <c r="BA297" s="61"/>
    </row>
    <row r="298" spans="2:53" ht="12.75">
      <c r="B298" s="58" t="s">
        <v>83</v>
      </c>
      <c r="C298" s="58"/>
      <c r="D298" s="58"/>
      <c r="E298" s="58"/>
      <c r="F298" s="58"/>
      <c r="H298" s="1091" t="s">
        <v>1687</v>
      </c>
      <c r="I298" s="1091"/>
      <c r="J298" s="1091"/>
      <c r="K298" s="1091"/>
      <c r="L298" s="1091"/>
      <c r="M298" s="1091"/>
      <c r="N298" s="1091"/>
      <c r="O298" s="1091"/>
      <c r="P298" s="1091"/>
      <c r="Q298" s="1091"/>
      <c r="R298" s="1091"/>
      <c r="T298" s="7" t="s">
        <v>973</v>
      </c>
      <c r="V298" s="58"/>
      <c r="W298" s="58"/>
      <c r="X298" s="58"/>
      <c r="Y298" s="58"/>
      <c r="AA298" s="1091" t="s">
        <v>1803</v>
      </c>
      <c r="AB298" s="1091"/>
      <c r="AC298" s="1091"/>
      <c r="AD298" s="1091"/>
      <c r="AE298" s="1091"/>
      <c r="AF298" s="1091"/>
      <c r="AG298" s="1091"/>
      <c r="AH298" s="1091"/>
      <c r="AI298" s="1091"/>
      <c r="AJ298" s="1091"/>
      <c r="AK298" s="1091"/>
      <c r="BA298" s="61"/>
    </row>
    <row r="299" spans="2:53" ht="12.75">
      <c r="B299" s="58" t="s">
        <v>518</v>
      </c>
      <c r="C299" s="58"/>
      <c r="D299" s="58"/>
      <c r="E299" s="58"/>
      <c r="F299" s="58"/>
      <c r="H299" s="1090" t="s">
        <v>1688</v>
      </c>
      <c r="I299" s="1090"/>
      <c r="J299" s="1090"/>
      <c r="K299" s="1090"/>
      <c r="L299" s="1090"/>
      <c r="M299" s="1090"/>
      <c r="N299" s="1090"/>
      <c r="O299" s="1090"/>
      <c r="P299" s="1090"/>
      <c r="Q299" s="1090"/>
      <c r="R299" s="1090"/>
      <c r="T299" s="58" t="s">
        <v>518</v>
      </c>
      <c r="V299" s="58"/>
      <c r="W299" s="58"/>
      <c r="X299" s="58"/>
      <c r="Y299" s="58"/>
      <c r="AA299" s="1090" t="s">
        <v>1804</v>
      </c>
      <c r="AB299" s="1090"/>
      <c r="AC299" s="1090"/>
      <c r="AD299" s="1090"/>
      <c r="AE299" s="1090"/>
      <c r="AF299" s="1090"/>
      <c r="AG299" s="1090"/>
      <c r="AH299" s="1090"/>
      <c r="AI299" s="1090"/>
      <c r="AJ299" s="1090"/>
      <c r="AK299" s="1090"/>
      <c r="BA299" s="61"/>
    </row>
    <row r="300" spans="2:53" ht="12.75">
      <c r="B300" s="58" t="s">
        <v>519</v>
      </c>
      <c r="C300" s="58"/>
      <c r="D300" s="58"/>
      <c r="E300" s="58"/>
      <c r="F300" s="58"/>
      <c r="H300" s="1090" t="s">
        <v>1689</v>
      </c>
      <c r="I300" s="1090"/>
      <c r="J300" s="1090"/>
      <c r="K300" s="1090"/>
      <c r="L300" s="1090"/>
      <c r="M300" s="1090"/>
      <c r="N300" s="1090"/>
      <c r="O300" s="1090"/>
      <c r="P300" s="1090"/>
      <c r="Q300" s="1090"/>
      <c r="R300" s="1090"/>
      <c r="T300" s="58" t="s">
        <v>81</v>
      </c>
      <c r="V300" s="58"/>
      <c r="W300" s="58"/>
      <c r="X300" s="58"/>
      <c r="Y300" s="58"/>
      <c r="AA300" s="1090" t="s">
        <v>1805</v>
      </c>
      <c r="AB300" s="1090"/>
      <c r="AC300" s="1090"/>
      <c r="AD300" s="1090"/>
      <c r="AE300" s="1090"/>
      <c r="AF300" s="1090"/>
      <c r="AG300" s="1090"/>
      <c r="AH300" s="1090"/>
      <c r="AI300" s="1090"/>
      <c r="AJ300" s="1090"/>
      <c r="AK300" s="1090"/>
      <c r="BA300" s="61"/>
    </row>
    <row r="301" spans="2:53" ht="12.75">
      <c r="B301" s="58" t="s">
        <v>94</v>
      </c>
      <c r="C301" s="58"/>
      <c r="D301" s="58"/>
      <c r="E301" s="58"/>
      <c r="F301" s="58"/>
      <c r="H301" s="1090" t="s">
        <v>1762</v>
      </c>
      <c r="I301" s="1090"/>
      <c r="J301" s="1090"/>
      <c r="K301" s="1090"/>
      <c r="L301" s="1090"/>
      <c r="M301" s="1090"/>
      <c r="N301" s="1090"/>
      <c r="O301" s="1090"/>
      <c r="P301" s="1090"/>
      <c r="Q301" s="1090"/>
      <c r="R301" s="1090"/>
      <c r="T301" s="58" t="s">
        <v>94</v>
      </c>
      <c r="V301" s="58"/>
      <c r="W301" s="58"/>
      <c r="X301" s="58"/>
      <c r="Y301" s="58"/>
      <c r="AA301" s="1090" t="s">
        <v>1806</v>
      </c>
      <c r="AB301" s="1090"/>
      <c r="AC301" s="1090"/>
      <c r="AD301" s="1090"/>
      <c r="AE301" s="1090"/>
      <c r="AF301" s="1090"/>
      <c r="AG301" s="1090"/>
      <c r="AH301" s="1090"/>
      <c r="AI301" s="1090"/>
      <c r="AJ301" s="1090"/>
      <c r="AK301" s="1090"/>
      <c r="BA301" s="61"/>
    </row>
    <row r="302" spans="2:53" ht="12.75">
      <c r="B302" s="58" t="s">
        <v>95</v>
      </c>
      <c r="C302" s="58"/>
      <c r="D302" s="58"/>
      <c r="E302" s="58"/>
      <c r="F302" s="58"/>
      <c r="G302" s="58"/>
      <c r="H302" s="1329" t="s">
        <v>1769</v>
      </c>
      <c r="I302" s="1162"/>
      <c r="J302" s="1162"/>
      <c r="K302" s="1162"/>
      <c r="L302" s="1162"/>
      <c r="M302" s="1162"/>
      <c r="N302" s="7" t="s">
        <v>220</v>
      </c>
      <c r="O302" s="7"/>
      <c r="P302" s="1152"/>
      <c r="Q302" s="1152"/>
      <c r="R302" s="1152"/>
      <c r="S302" s="58"/>
      <c r="T302" s="58" t="s">
        <v>95</v>
      </c>
      <c r="V302" s="58"/>
      <c r="W302" s="58"/>
      <c r="X302" s="58"/>
      <c r="Y302" s="58"/>
      <c r="AA302" s="1259" t="s">
        <v>1807</v>
      </c>
      <c r="AB302" s="1105"/>
      <c r="AC302" s="1105"/>
      <c r="AD302" s="1105"/>
      <c r="AE302" s="1105"/>
      <c r="AF302" s="1105"/>
      <c r="AG302" s="7" t="s">
        <v>220</v>
      </c>
      <c r="AH302" s="7"/>
      <c r="AI302" s="1152"/>
      <c r="AJ302" s="1152"/>
      <c r="AK302" s="1152"/>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106" t="s">
        <v>1770</v>
      </c>
      <c r="I304" s="1090"/>
      <c r="J304" s="1090"/>
      <c r="K304" s="1090"/>
      <c r="L304" s="1090"/>
      <c r="M304" s="1090"/>
      <c r="N304" s="1255"/>
      <c r="O304" s="1255"/>
      <c r="P304" s="1255"/>
      <c r="Q304" s="1255"/>
      <c r="R304" s="1255"/>
      <c r="S304" s="58"/>
      <c r="T304" s="58" t="s">
        <v>82</v>
      </c>
      <c r="V304" s="58"/>
      <c r="W304" s="58"/>
      <c r="X304" s="58"/>
      <c r="Y304" s="58"/>
      <c r="AA304" s="1090" t="s">
        <v>1808</v>
      </c>
      <c r="AB304" s="1090"/>
      <c r="AC304" s="1090"/>
      <c r="AD304" s="1090"/>
      <c r="AE304" s="1090"/>
      <c r="AF304" s="1090"/>
      <c r="AG304" s="1091"/>
      <c r="AH304" s="1091"/>
      <c r="AI304" s="1091"/>
      <c r="AJ304" s="1091"/>
      <c r="AK304" s="109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1" t="s">
        <v>1687</v>
      </c>
      <c r="I306" s="1091"/>
      <c r="J306" s="1091"/>
      <c r="K306" s="1091"/>
      <c r="L306" s="1091"/>
      <c r="M306" s="1091"/>
      <c r="N306" s="1091"/>
      <c r="O306" s="1091"/>
      <c r="P306" s="1091"/>
      <c r="Q306" s="1091"/>
      <c r="R306" s="1091"/>
      <c r="S306" s="58"/>
      <c r="T306" s="58" t="s">
        <v>389</v>
      </c>
      <c r="V306" s="58"/>
      <c r="W306" s="58"/>
      <c r="X306" s="58"/>
      <c r="Y306" s="58"/>
      <c r="AA306" s="1091" t="s">
        <v>1798</v>
      </c>
      <c r="AB306" s="1091"/>
      <c r="AC306" s="1091"/>
      <c r="AD306" s="1091"/>
      <c r="AE306" s="1091"/>
      <c r="AF306" s="1091"/>
      <c r="AG306" s="1091"/>
      <c r="AH306" s="1091"/>
      <c r="AI306" s="1091"/>
      <c r="AJ306" s="1091"/>
      <c r="AK306" s="1091"/>
      <c r="BA306" s="61"/>
    </row>
    <row r="307" spans="1:53" ht="12.75">
      <c r="B307" s="58" t="s">
        <v>518</v>
      </c>
      <c r="C307" s="58"/>
      <c r="D307" s="58"/>
      <c r="E307" s="58"/>
      <c r="F307" s="58"/>
      <c r="H307" s="1090" t="s">
        <v>1688</v>
      </c>
      <c r="I307" s="1090"/>
      <c r="J307" s="1090"/>
      <c r="K307" s="1090"/>
      <c r="L307" s="1090"/>
      <c r="M307" s="1090"/>
      <c r="N307" s="1090"/>
      <c r="O307" s="1090"/>
      <c r="P307" s="1090"/>
      <c r="Q307" s="1090"/>
      <c r="R307" s="1090"/>
      <c r="S307" s="58"/>
      <c r="T307" s="58" t="s">
        <v>518</v>
      </c>
      <c r="V307" s="58"/>
      <c r="W307" s="58"/>
      <c r="X307" s="58"/>
      <c r="Y307" s="58"/>
      <c r="AA307" s="1091" t="s">
        <v>1787</v>
      </c>
      <c r="AB307" s="1091"/>
      <c r="AC307" s="1091"/>
      <c r="AD307" s="1091"/>
      <c r="AE307" s="1091"/>
      <c r="AF307" s="1091"/>
      <c r="AG307" s="1091"/>
      <c r="AH307" s="1091"/>
      <c r="AI307" s="1091"/>
      <c r="AJ307" s="1091"/>
      <c r="AK307" s="1091"/>
      <c r="BA307" s="61"/>
    </row>
    <row r="308" spans="1:53" ht="12.75">
      <c r="B308" s="58" t="s">
        <v>519</v>
      </c>
      <c r="C308" s="58"/>
      <c r="D308" s="58"/>
      <c r="E308" s="58"/>
      <c r="F308" s="58"/>
      <c r="H308" s="1090" t="s">
        <v>1689</v>
      </c>
      <c r="I308" s="1090"/>
      <c r="J308" s="1090"/>
      <c r="K308" s="1090"/>
      <c r="L308" s="1090"/>
      <c r="M308" s="1090"/>
      <c r="N308" s="1090"/>
      <c r="O308" s="1090"/>
      <c r="P308" s="1090"/>
      <c r="Q308" s="1090"/>
      <c r="R308" s="1090"/>
      <c r="S308" s="58"/>
      <c r="T308" s="58" t="s">
        <v>81</v>
      </c>
      <c r="V308" s="58"/>
      <c r="W308" s="58"/>
      <c r="X308" s="58"/>
      <c r="Y308" s="58"/>
      <c r="AA308" s="1090" t="s">
        <v>1788</v>
      </c>
      <c r="AB308" s="1090"/>
      <c r="AC308" s="1090"/>
      <c r="AD308" s="1090"/>
      <c r="AE308" s="1090"/>
      <c r="AF308" s="1090"/>
      <c r="AG308" s="1090"/>
      <c r="AH308" s="1090"/>
      <c r="AI308" s="1090"/>
      <c r="AJ308" s="1090"/>
      <c r="AK308" s="1090"/>
      <c r="BA308" s="61"/>
    </row>
    <row r="309" spans="1:53" ht="12.75">
      <c r="B309" s="58" t="s">
        <v>94</v>
      </c>
      <c r="C309" s="58"/>
      <c r="D309" s="58"/>
      <c r="E309" s="58"/>
      <c r="F309" s="58"/>
      <c r="H309" s="1090" t="s">
        <v>1762</v>
      </c>
      <c r="I309" s="1090"/>
      <c r="J309" s="1090"/>
      <c r="K309" s="1090"/>
      <c r="L309" s="1090"/>
      <c r="M309" s="1090"/>
      <c r="N309" s="1090"/>
      <c r="O309" s="1090"/>
      <c r="P309" s="1090"/>
      <c r="Q309" s="1090"/>
      <c r="R309" s="1090"/>
      <c r="S309" s="58"/>
      <c r="T309" s="58" t="s">
        <v>94</v>
      </c>
      <c r="V309" s="58"/>
      <c r="W309" s="58"/>
      <c r="X309" s="58"/>
      <c r="Y309" s="58"/>
      <c r="AA309" s="1090" t="s">
        <v>1799</v>
      </c>
      <c r="AB309" s="1090"/>
      <c r="AC309" s="1090"/>
      <c r="AD309" s="1090"/>
      <c r="AE309" s="1090"/>
      <c r="AF309" s="1090"/>
      <c r="AG309" s="1090"/>
      <c r="AH309" s="1090"/>
      <c r="AI309" s="1090"/>
      <c r="AJ309" s="1090"/>
      <c r="AK309" s="1090"/>
      <c r="BA309" s="61"/>
    </row>
    <row r="310" spans="1:53" ht="12.75">
      <c r="B310" s="58" t="s">
        <v>95</v>
      </c>
      <c r="C310" s="58"/>
      <c r="D310" s="58"/>
      <c r="E310" s="58"/>
      <c r="F310" s="58"/>
      <c r="G310" s="58"/>
      <c r="H310" s="1329" t="s">
        <v>1769</v>
      </c>
      <c r="I310" s="1162"/>
      <c r="J310" s="1162"/>
      <c r="K310" s="1162"/>
      <c r="L310" s="1162"/>
      <c r="M310" s="1162"/>
      <c r="N310" s="7" t="s">
        <v>220</v>
      </c>
      <c r="O310" s="7"/>
      <c r="P310" s="1152"/>
      <c r="Q310" s="1152"/>
      <c r="R310" s="1152"/>
      <c r="S310" s="58"/>
      <c r="T310" s="58" t="s">
        <v>95</v>
      </c>
      <c r="V310" s="58"/>
      <c r="W310" s="58"/>
      <c r="X310" s="58"/>
      <c r="Y310" s="58"/>
      <c r="AA310" s="1260" t="s">
        <v>1800</v>
      </c>
      <c r="AB310" s="1127"/>
      <c r="AC310" s="1127"/>
      <c r="AD310" s="1127"/>
      <c r="AE310" s="1127"/>
      <c r="AF310" s="1127"/>
      <c r="AG310" s="7" t="s">
        <v>220</v>
      </c>
      <c r="AH310" s="7"/>
      <c r="AI310" s="1152"/>
      <c r="AJ310" s="1152"/>
      <c r="AK310" s="1152"/>
      <c r="BA310" s="61"/>
    </row>
    <row r="311" spans="1:53" ht="12.75">
      <c r="B311" s="58" t="s">
        <v>96</v>
      </c>
      <c r="C311" s="58"/>
      <c r="D311" s="58"/>
      <c r="E311" s="58"/>
      <c r="F311" s="58"/>
      <c r="G311" s="58"/>
      <c r="H311" s="1127"/>
      <c r="I311" s="1127"/>
      <c r="J311" s="1127"/>
      <c r="K311" s="1127"/>
      <c r="L311" s="1127"/>
      <c r="M311" s="1127"/>
      <c r="N311" s="60"/>
      <c r="O311" s="60"/>
      <c r="P311" s="62"/>
      <c r="Q311" s="62"/>
      <c r="R311" s="62"/>
      <c r="S311" s="58"/>
      <c r="T311" s="58" t="s">
        <v>96</v>
      </c>
      <c r="V311" s="58"/>
      <c r="W311" s="58"/>
      <c r="X311" s="58"/>
      <c r="Y311" s="58"/>
      <c r="AA311" s="1127"/>
      <c r="AB311" s="1127"/>
      <c r="AC311" s="1127"/>
      <c r="AD311" s="1127"/>
      <c r="AE311" s="1127"/>
      <c r="AF311" s="1127"/>
      <c r="AG311" s="60"/>
      <c r="AH311" s="60"/>
      <c r="AI311" s="62"/>
      <c r="AJ311" s="62"/>
      <c r="AK311" s="62"/>
      <c r="BA311" s="61"/>
    </row>
    <row r="312" spans="1:53" ht="12.75">
      <c r="B312" s="58" t="s">
        <v>82</v>
      </c>
      <c r="C312" s="58"/>
      <c r="D312" s="58"/>
      <c r="E312" s="58"/>
      <c r="F312" s="58"/>
      <c r="G312" s="58"/>
      <c r="H312" s="1106" t="s">
        <v>1770</v>
      </c>
      <c r="I312" s="1090"/>
      <c r="J312" s="1090"/>
      <c r="K312" s="1090"/>
      <c r="L312" s="1090"/>
      <c r="M312" s="1090"/>
      <c r="N312" s="1255"/>
      <c r="O312" s="1255"/>
      <c r="P312" s="1255"/>
      <c r="Q312" s="1255"/>
      <c r="R312" s="1255"/>
      <c r="S312" s="58"/>
      <c r="T312" s="58" t="s">
        <v>82</v>
      </c>
      <c r="V312" s="58"/>
      <c r="W312" s="58"/>
      <c r="X312" s="58"/>
      <c r="Y312" s="58"/>
      <c r="AA312" s="1090" t="s">
        <v>1802</v>
      </c>
      <c r="AB312" s="1090"/>
      <c r="AC312" s="1090"/>
      <c r="AD312" s="1090"/>
      <c r="AE312" s="1090"/>
      <c r="AF312" s="1090"/>
      <c r="AG312" s="1091"/>
      <c r="AH312" s="1091"/>
      <c r="AI312" s="1091"/>
      <c r="AJ312" s="1091"/>
      <c r="AK312" s="1091"/>
      <c r="BA312" s="61"/>
    </row>
    <row r="313" spans="1:53" ht="12.75">
      <c r="BA313" s="61"/>
    </row>
    <row r="314" spans="1:53" ht="12.75">
      <c r="B314" s="7" t="s">
        <v>1007</v>
      </c>
      <c r="C314" s="58"/>
      <c r="D314" s="58"/>
      <c r="E314" s="58"/>
      <c r="F314" s="58"/>
      <c r="H314" s="1091" t="s">
        <v>1690</v>
      </c>
      <c r="I314" s="1091"/>
      <c r="J314" s="1091"/>
      <c r="K314" s="1091"/>
      <c r="L314" s="1091"/>
      <c r="M314" s="1091"/>
      <c r="N314" s="1091"/>
      <c r="O314" s="1091"/>
      <c r="P314" s="1091"/>
      <c r="Q314" s="1091"/>
      <c r="R314" s="1091"/>
      <c r="T314" s="58" t="s">
        <v>390</v>
      </c>
      <c r="V314" s="58"/>
      <c r="W314" s="58"/>
      <c r="X314" s="58"/>
      <c r="Y314" s="58"/>
      <c r="AA314" s="1091" t="s">
        <v>1696</v>
      </c>
      <c r="AB314" s="1091"/>
      <c r="AC314" s="1091"/>
      <c r="AD314" s="1091"/>
      <c r="AE314" s="1091"/>
      <c r="AF314" s="1091"/>
      <c r="AG314" s="1091"/>
      <c r="AH314" s="1091"/>
      <c r="AI314" s="1091"/>
      <c r="AJ314" s="1091"/>
      <c r="AK314" s="1091"/>
      <c r="BA314" s="61"/>
    </row>
    <row r="315" spans="1:53" ht="12.75" customHeight="1">
      <c r="B315" s="58" t="s">
        <v>518</v>
      </c>
      <c r="C315" s="58"/>
      <c r="D315" s="58"/>
      <c r="E315" s="58"/>
      <c r="F315" s="58"/>
      <c r="H315" s="1090" t="s">
        <v>1691</v>
      </c>
      <c r="I315" s="1090"/>
      <c r="J315" s="1090"/>
      <c r="K315" s="1090"/>
      <c r="L315" s="1090"/>
      <c r="M315" s="1090"/>
      <c r="N315" s="1090"/>
      <c r="O315" s="1090"/>
      <c r="P315" s="1090"/>
      <c r="Q315" s="1090"/>
      <c r="R315" s="1090"/>
      <c r="T315" s="58" t="s">
        <v>518</v>
      </c>
      <c r="V315" s="58"/>
      <c r="W315" s="58"/>
      <c r="X315" s="58"/>
      <c r="Y315" s="58"/>
      <c r="AA315" s="1090" t="s">
        <v>1697</v>
      </c>
      <c r="AB315" s="1090"/>
      <c r="AC315" s="1090"/>
      <c r="AD315" s="1090"/>
      <c r="AE315" s="1090"/>
      <c r="AF315" s="1090"/>
      <c r="AG315" s="1090"/>
      <c r="AH315" s="1090"/>
      <c r="AI315" s="1090"/>
      <c r="AJ315" s="1090"/>
      <c r="AK315" s="1090"/>
      <c r="BA315" s="61"/>
    </row>
    <row r="316" spans="1:53" ht="12.75">
      <c r="B316" s="58" t="s">
        <v>519</v>
      </c>
      <c r="C316" s="58"/>
      <c r="D316" s="58"/>
      <c r="E316" s="58"/>
      <c r="F316" s="58"/>
      <c r="H316" s="1090" t="s">
        <v>1692</v>
      </c>
      <c r="I316" s="1090"/>
      <c r="J316" s="1090"/>
      <c r="K316" s="1090"/>
      <c r="L316" s="1090"/>
      <c r="M316" s="1090"/>
      <c r="N316" s="1090"/>
      <c r="O316" s="1090"/>
      <c r="P316" s="1090"/>
      <c r="Q316" s="1090"/>
      <c r="R316" s="1090"/>
      <c r="T316" s="58" t="s">
        <v>81</v>
      </c>
      <c r="V316" s="58"/>
      <c r="W316" s="58"/>
      <c r="X316" s="58"/>
      <c r="Y316" s="58"/>
      <c r="AA316" s="1090" t="s">
        <v>1698</v>
      </c>
      <c r="AB316" s="1090"/>
      <c r="AC316" s="1090"/>
      <c r="AD316" s="1090"/>
      <c r="AE316" s="1090"/>
      <c r="AF316" s="1090"/>
      <c r="AG316" s="1090"/>
      <c r="AH316" s="1090"/>
      <c r="AI316" s="1090"/>
      <c r="AJ316" s="1090"/>
      <c r="AK316" s="1090"/>
      <c r="BA316" s="61"/>
    </row>
    <row r="317" spans="1:53" ht="12.75" customHeight="1">
      <c r="A317" s="39"/>
      <c r="B317" s="58" t="s">
        <v>94</v>
      </c>
      <c r="C317" s="58"/>
      <c r="D317" s="58"/>
      <c r="E317" s="58"/>
      <c r="F317" s="58"/>
      <c r="H317" s="1090" t="s">
        <v>1693</v>
      </c>
      <c r="I317" s="1090"/>
      <c r="J317" s="1090"/>
      <c r="K317" s="1090"/>
      <c r="L317" s="1090"/>
      <c r="M317" s="1090"/>
      <c r="N317" s="1090"/>
      <c r="O317" s="1090"/>
      <c r="P317" s="1090"/>
      <c r="Q317" s="1090"/>
      <c r="R317" s="1090"/>
      <c r="T317" s="58" t="s">
        <v>94</v>
      </c>
      <c r="V317" s="58"/>
      <c r="W317" s="58"/>
      <c r="X317" s="58"/>
      <c r="Y317" s="58"/>
      <c r="AA317" s="1090" t="s">
        <v>1699</v>
      </c>
      <c r="AB317" s="1090"/>
      <c r="AC317" s="1090"/>
      <c r="AD317" s="1090"/>
      <c r="AE317" s="1090"/>
      <c r="AF317" s="1090"/>
      <c r="AG317" s="1090"/>
      <c r="AH317" s="1090"/>
      <c r="AI317" s="1090"/>
      <c r="AJ317" s="1090"/>
      <c r="AK317" s="1090"/>
      <c r="AL317" s="39"/>
    </row>
    <row r="318" spans="1:53" ht="12.75">
      <c r="A318" s="39"/>
      <c r="B318" s="58" t="s">
        <v>95</v>
      </c>
      <c r="C318" s="58"/>
      <c r="D318" s="58"/>
      <c r="E318" s="58"/>
      <c r="F318" s="58"/>
      <c r="G318" s="58"/>
      <c r="H318" s="1104" t="s">
        <v>1694</v>
      </c>
      <c r="I318" s="1105"/>
      <c r="J318" s="1105"/>
      <c r="K318" s="1105"/>
      <c r="L318" s="1105"/>
      <c r="M318" s="1105"/>
      <c r="N318" s="7" t="s">
        <v>220</v>
      </c>
      <c r="O318" s="7"/>
      <c r="P318" s="1152"/>
      <c r="Q318" s="1152"/>
      <c r="R318" s="1152"/>
      <c r="S318" s="58"/>
      <c r="T318" s="58" t="s">
        <v>95</v>
      </c>
      <c r="V318" s="58"/>
      <c r="W318" s="58"/>
      <c r="X318" s="58"/>
      <c r="Y318" s="58"/>
      <c r="AA318" s="1104" t="s">
        <v>1700</v>
      </c>
      <c r="AB318" s="1105"/>
      <c r="AC318" s="1105"/>
      <c r="AD318" s="1105"/>
      <c r="AE318" s="1105"/>
      <c r="AF318" s="1105"/>
      <c r="AG318" s="7" t="s">
        <v>220</v>
      </c>
      <c r="AH318" s="7"/>
      <c r="AI318" s="1152"/>
      <c r="AJ318" s="1152"/>
      <c r="AK318" s="1152"/>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127"/>
      <c r="AB319" s="1127"/>
      <c r="AC319" s="1127"/>
      <c r="AD319" s="1127"/>
      <c r="AE319" s="1127"/>
      <c r="AF319" s="1127"/>
      <c r="AG319" s="60"/>
      <c r="AH319" s="60"/>
      <c r="AI319" s="62"/>
      <c r="AJ319" s="62"/>
      <c r="AK319" s="62"/>
      <c r="AL319" s="39"/>
    </row>
    <row r="320" spans="1:53" ht="12.75">
      <c r="A320" s="39"/>
      <c r="B320" s="58" t="s">
        <v>82</v>
      </c>
      <c r="C320" s="58"/>
      <c r="D320" s="58"/>
      <c r="E320" s="58"/>
      <c r="F320" s="58"/>
      <c r="G320" s="58"/>
      <c r="H320" s="1090" t="s">
        <v>1695</v>
      </c>
      <c r="I320" s="1090"/>
      <c r="J320" s="1090"/>
      <c r="K320" s="1090"/>
      <c r="L320" s="1090"/>
      <c r="M320" s="1090"/>
      <c r="N320" s="1091"/>
      <c r="O320" s="1091"/>
      <c r="P320" s="1091"/>
      <c r="Q320" s="1091"/>
      <c r="R320" s="1091"/>
      <c r="S320" s="58"/>
      <c r="T320" s="58" t="s">
        <v>82</v>
      </c>
      <c r="V320" s="58"/>
      <c r="W320" s="58"/>
      <c r="X320" s="58"/>
      <c r="Y320" s="58"/>
      <c r="AA320" s="1090" t="s">
        <v>1701</v>
      </c>
      <c r="AB320" s="1090"/>
      <c r="AC320" s="1090"/>
      <c r="AD320" s="1090"/>
      <c r="AE320" s="1090"/>
      <c r="AF320" s="1090"/>
      <c r="AG320" s="1091"/>
      <c r="AH320" s="1091"/>
      <c r="AI320" s="1091"/>
      <c r="AJ320" s="1091"/>
      <c r="AK320" s="109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1" t="s">
        <v>1779</v>
      </c>
      <c r="I322" s="1091"/>
      <c r="J322" s="1091"/>
      <c r="K322" s="1091"/>
      <c r="L322" s="1091"/>
      <c r="M322" s="1091"/>
      <c r="N322" s="1091"/>
      <c r="O322" s="1091"/>
      <c r="P322" s="1091"/>
      <c r="Q322" s="1091"/>
      <c r="R322" s="1091"/>
      <c r="T322" s="58" t="s">
        <v>392</v>
      </c>
      <c r="V322" s="58"/>
      <c r="W322" s="58"/>
      <c r="X322" s="58"/>
      <c r="Y322" s="58"/>
      <c r="AA322" s="1091" t="s">
        <v>1778</v>
      </c>
      <c r="AB322" s="1091"/>
      <c r="AC322" s="1091"/>
      <c r="AD322" s="1091"/>
      <c r="AE322" s="1091"/>
      <c r="AF322" s="1091"/>
      <c r="AG322" s="1091"/>
      <c r="AH322" s="1091"/>
      <c r="AI322" s="1091"/>
      <c r="AJ322" s="1091"/>
      <c r="AK322" s="1091"/>
      <c r="AL322" s="39"/>
    </row>
    <row r="323" spans="1:53" ht="12.75">
      <c r="A323" s="39"/>
      <c r="B323" s="58" t="s">
        <v>518</v>
      </c>
      <c r="C323" s="58"/>
      <c r="D323" s="58"/>
      <c r="E323" s="58"/>
      <c r="F323" s="58"/>
      <c r="H323" s="1090" t="s">
        <v>1783</v>
      </c>
      <c r="I323" s="1090"/>
      <c r="J323" s="1090"/>
      <c r="K323" s="1090"/>
      <c r="L323" s="1090"/>
      <c r="M323" s="1090"/>
      <c r="N323" s="1090"/>
      <c r="O323" s="1090"/>
      <c r="P323" s="1090"/>
      <c r="Q323" s="1090"/>
      <c r="R323" s="1090"/>
      <c r="T323" s="58" t="s">
        <v>518</v>
      </c>
      <c r="V323" s="58"/>
      <c r="W323" s="58"/>
      <c r="X323" s="58"/>
      <c r="Y323" s="58"/>
      <c r="AA323" s="1090"/>
      <c r="AB323" s="1090"/>
      <c r="AC323" s="1090"/>
      <c r="AD323" s="1090"/>
      <c r="AE323" s="1090"/>
      <c r="AF323" s="1090"/>
      <c r="AG323" s="1090"/>
      <c r="AH323" s="1090"/>
      <c r="AI323" s="1090"/>
      <c r="AJ323" s="1090"/>
      <c r="AK323" s="1090"/>
      <c r="AL323" s="39"/>
    </row>
    <row r="324" spans="1:53" ht="12.75" customHeight="1">
      <c r="A324" s="39"/>
      <c r="B324" s="58" t="s">
        <v>519</v>
      </c>
      <c r="C324" s="58"/>
      <c r="D324" s="58"/>
      <c r="E324" s="58"/>
      <c r="F324" s="58"/>
      <c r="H324" s="1090" t="s">
        <v>1784</v>
      </c>
      <c r="I324" s="1090"/>
      <c r="J324" s="1090"/>
      <c r="K324" s="1090"/>
      <c r="L324" s="1090"/>
      <c r="M324" s="1090"/>
      <c r="N324" s="1090"/>
      <c r="O324" s="1090"/>
      <c r="P324" s="1090"/>
      <c r="Q324" s="1090"/>
      <c r="R324" s="1090"/>
      <c r="T324" s="58" t="s">
        <v>81</v>
      </c>
      <c r="V324" s="58"/>
      <c r="W324" s="58"/>
      <c r="X324" s="58"/>
      <c r="Y324" s="58"/>
      <c r="AA324" s="1090"/>
      <c r="AB324" s="1090"/>
      <c r="AC324" s="1090"/>
      <c r="AD324" s="1090"/>
      <c r="AE324" s="1090"/>
      <c r="AF324" s="1090"/>
      <c r="AG324" s="1090"/>
      <c r="AH324" s="1090"/>
      <c r="AI324" s="1090"/>
      <c r="AJ324" s="1090"/>
      <c r="AK324" s="1090"/>
      <c r="AL324" s="39"/>
    </row>
    <row r="325" spans="1:53" ht="12.75">
      <c r="A325" s="39"/>
      <c r="B325" s="58" t="s">
        <v>94</v>
      </c>
      <c r="C325" s="58"/>
      <c r="D325" s="58"/>
      <c r="E325" s="58"/>
      <c r="F325" s="58"/>
      <c r="H325" s="1090" t="s">
        <v>1780</v>
      </c>
      <c r="I325" s="1090"/>
      <c r="J325" s="1090"/>
      <c r="K325" s="1090"/>
      <c r="L325" s="1090"/>
      <c r="M325" s="1090"/>
      <c r="N325" s="1090"/>
      <c r="O325" s="1090"/>
      <c r="P325" s="1090"/>
      <c r="Q325" s="1090"/>
      <c r="R325" s="1090"/>
      <c r="T325" s="58" t="s">
        <v>94</v>
      </c>
      <c r="V325" s="58"/>
      <c r="W325" s="58"/>
      <c r="X325" s="58"/>
      <c r="Y325" s="58"/>
      <c r="AA325" s="1090"/>
      <c r="AB325" s="1090"/>
      <c r="AC325" s="1090"/>
      <c r="AD325" s="1090"/>
      <c r="AE325" s="1090"/>
      <c r="AF325" s="1090"/>
      <c r="AG325" s="1090"/>
      <c r="AH325" s="1090"/>
      <c r="AI325" s="1090"/>
      <c r="AJ325" s="1090"/>
      <c r="AK325" s="1090"/>
      <c r="AL325" s="39"/>
    </row>
    <row r="326" spans="1:53" ht="12.75">
      <c r="A326" s="39"/>
      <c r="B326" s="58" t="s">
        <v>95</v>
      </c>
      <c r="C326" s="58"/>
      <c r="D326" s="58"/>
      <c r="E326" s="58"/>
      <c r="F326" s="58"/>
      <c r="G326" s="58"/>
      <c r="H326" s="1104" t="s">
        <v>1781</v>
      </c>
      <c r="I326" s="1105"/>
      <c r="J326" s="1105"/>
      <c r="K326" s="1105"/>
      <c r="L326" s="1105"/>
      <c r="M326" s="1105"/>
      <c r="N326" s="7" t="s">
        <v>220</v>
      </c>
      <c r="O326" s="7"/>
      <c r="P326" s="1152"/>
      <c r="Q326" s="1152"/>
      <c r="R326" s="1152"/>
      <c r="S326" s="58"/>
      <c r="T326" s="58" t="s">
        <v>95</v>
      </c>
      <c r="V326" s="58"/>
      <c r="W326" s="58"/>
      <c r="X326" s="58"/>
      <c r="Y326" s="58"/>
      <c r="AA326" s="1105"/>
      <c r="AB326" s="1105"/>
      <c r="AC326" s="1105"/>
      <c r="AD326" s="1105"/>
      <c r="AE326" s="1105"/>
      <c r="AF326" s="1105"/>
      <c r="AG326" s="7" t="s">
        <v>220</v>
      </c>
      <c r="AH326" s="7"/>
      <c r="AI326" s="1152"/>
      <c r="AJ326" s="1152"/>
      <c r="AK326" s="1152"/>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0" t="s">
        <v>1782</v>
      </c>
      <c r="I328" s="1090"/>
      <c r="J328" s="1090"/>
      <c r="K328" s="1090"/>
      <c r="L328" s="1090"/>
      <c r="M328" s="1090"/>
      <c r="N328" s="1091"/>
      <c r="O328" s="1091"/>
      <c r="P328" s="1091"/>
      <c r="Q328" s="1091"/>
      <c r="R328" s="1091"/>
      <c r="S328" s="58"/>
      <c r="T328" s="58" t="s">
        <v>82</v>
      </c>
      <c r="V328" s="58"/>
      <c r="W328" s="58"/>
      <c r="X328" s="58"/>
      <c r="Y328" s="58"/>
      <c r="AA328" s="1090"/>
      <c r="AB328" s="1090"/>
      <c r="AC328" s="1090"/>
      <c r="AD328" s="1090"/>
      <c r="AE328" s="1090"/>
      <c r="AF328" s="1090"/>
      <c r="AG328" s="1091"/>
      <c r="AH328" s="1091"/>
      <c r="AI328" s="1091"/>
      <c r="AJ328" s="1091"/>
      <c r="AK328" s="109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1" t="s">
        <v>970</v>
      </c>
      <c r="I330" s="1091"/>
      <c r="J330" s="1091"/>
      <c r="K330" s="1091"/>
      <c r="L330" s="1091"/>
      <c r="M330" s="1091"/>
      <c r="N330" s="1091"/>
      <c r="O330" s="1091"/>
      <c r="P330" s="1091"/>
      <c r="Q330" s="1091"/>
      <c r="R330" s="1091"/>
      <c r="T330" s="422" t="s">
        <v>982</v>
      </c>
      <c r="V330" s="58"/>
      <c r="W330" s="58"/>
      <c r="X330" s="58"/>
      <c r="Y330" s="58"/>
      <c r="AA330" s="1256" t="s">
        <v>1771</v>
      </c>
      <c r="AB330" s="1255"/>
      <c r="AC330" s="1255"/>
      <c r="AD330" s="1255"/>
      <c r="AE330" s="1255"/>
      <c r="AF330" s="1255"/>
      <c r="AG330" s="1255"/>
      <c r="AH330" s="1255"/>
      <c r="AI330" s="1255"/>
      <c r="AJ330" s="1255"/>
      <c r="AK330" s="1255"/>
      <c r="AL330" s="39"/>
    </row>
    <row r="331" spans="1:53" ht="12.75" customHeight="1">
      <c r="B331" s="58" t="s">
        <v>518</v>
      </c>
      <c r="C331" s="248"/>
      <c r="D331" s="248"/>
      <c r="E331" s="248"/>
      <c r="F331" s="248"/>
      <c r="G331" s="3"/>
      <c r="H331" s="1090" t="s">
        <v>1702</v>
      </c>
      <c r="I331" s="1090"/>
      <c r="J331" s="1090"/>
      <c r="K331" s="1090"/>
      <c r="L331" s="1090"/>
      <c r="M331" s="1090"/>
      <c r="N331" s="1090"/>
      <c r="O331" s="1090"/>
      <c r="P331" s="1090"/>
      <c r="Q331" s="1090"/>
      <c r="R331" s="1090"/>
      <c r="T331" s="58" t="s">
        <v>518</v>
      </c>
      <c r="V331" s="58"/>
      <c r="W331" s="58"/>
      <c r="X331" s="58"/>
      <c r="Y331" s="58"/>
      <c r="AA331" s="1106" t="s">
        <v>1772</v>
      </c>
      <c r="AB331" s="1090"/>
      <c r="AC331" s="1090"/>
      <c r="AD331" s="1090"/>
      <c r="AE331" s="1090"/>
      <c r="AF331" s="1090"/>
      <c r="AG331" s="1090"/>
      <c r="AH331" s="1090"/>
      <c r="AI331" s="1090"/>
      <c r="AJ331" s="1090"/>
      <c r="AK331" s="1090"/>
      <c r="AL331" s="39"/>
    </row>
    <row r="332" spans="1:53" ht="12.75" customHeight="1">
      <c r="B332" s="58" t="s">
        <v>81</v>
      </c>
      <c r="C332" s="248"/>
      <c r="D332" s="248"/>
      <c r="E332" s="248"/>
      <c r="F332" s="248"/>
      <c r="G332" s="3"/>
      <c r="H332" s="1090" t="s">
        <v>1703</v>
      </c>
      <c r="I332" s="1090"/>
      <c r="J332" s="1090"/>
      <c r="K332" s="1090"/>
      <c r="L332" s="1090"/>
      <c r="M332" s="1090"/>
      <c r="N332" s="1090"/>
      <c r="O332" s="1090"/>
      <c r="P332" s="1090"/>
      <c r="Q332" s="1090"/>
      <c r="R332" s="1090"/>
      <c r="T332" s="58" t="s">
        <v>81</v>
      </c>
      <c r="V332" s="58"/>
      <c r="W332" s="58"/>
      <c r="X332" s="58"/>
      <c r="Y332" s="58"/>
      <c r="AA332" s="1106" t="s">
        <v>1773</v>
      </c>
      <c r="AB332" s="1090"/>
      <c r="AC332" s="1090"/>
      <c r="AD332" s="1090"/>
      <c r="AE332" s="1090"/>
      <c r="AF332" s="1090"/>
      <c r="AG332" s="1090"/>
      <c r="AH332" s="1090"/>
      <c r="AI332" s="1090"/>
      <c r="AJ332" s="1090"/>
      <c r="AK332" s="1090"/>
      <c r="AL332" s="39"/>
    </row>
    <row r="333" spans="1:53" ht="12.75">
      <c r="A333" s="39"/>
      <c r="B333" s="58" t="s">
        <v>94</v>
      </c>
      <c r="C333" s="248"/>
      <c r="D333" s="248"/>
      <c r="E333" s="248"/>
      <c r="F333" s="248"/>
      <c r="G333" s="248"/>
      <c r="H333" s="1090" t="s">
        <v>1704</v>
      </c>
      <c r="I333" s="1090"/>
      <c r="J333" s="1090"/>
      <c r="K333" s="1090"/>
      <c r="L333" s="1090"/>
      <c r="M333" s="1090"/>
      <c r="N333" s="1090"/>
      <c r="O333" s="1090"/>
      <c r="P333" s="1090"/>
      <c r="Q333" s="1090"/>
      <c r="R333" s="1090"/>
      <c r="T333" s="58" t="s">
        <v>94</v>
      </c>
      <c r="V333" s="58"/>
      <c r="W333" s="58"/>
      <c r="X333" s="58"/>
      <c r="Y333" s="58"/>
      <c r="AA333" s="1120" t="s">
        <v>1774</v>
      </c>
      <c r="AB333" s="1090"/>
      <c r="AC333" s="1090"/>
      <c r="AD333" s="1090"/>
      <c r="AE333" s="1090"/>
      <c r="AF333" s="1090"/>
      <c r="AG333" s="1090"/>
      <c r="AH333" s="1090"/>
      <c r="AI333" s="1090"/>
      <c r="AJ333" s="1090"/>
      <c r="AK333" s="1090"/>
      <c r="AL333" s="39"/>
    </row>
    <row r="334" spans="1:53" ht="12.75">
      <c r="A334" s="39"/>
      <c r="B334" s="58" t="s">
        <v>95</v>
      </c>
      <c r="C334" s="248"/>
      <c r="D334" s="248"/>
      <c r="E334" s="248"/>
      <c r="F334" s="248"/>
      <c r="G334" s="248"/>
      <c r="H334" s="1104" t="s">
        <v>1705</v>
      </c>
      <c r="I334" s="1105"/>
      <c r="J334" s="1105"/>
      <c r="K334" s="1105"/>
      <c r="L334" s="1105"/>
      <c r="M334" s="1105"/>
      <c r="N334" s="7" t="s">
        <v>220</v>
      </c>
      <c r="O334" s="7"/>
      <c r="P334" s="1152"/>
      <c r="Q334" s="1152"/>
      <c r="R334" s="1152"/>
      <c r="S334" s="58"/>
      <c r="T334" s="58" t="s">
        <v>95</v>
      </c>
      <c r="V334" s="58"/>
      <c r="W334" s="58"/>
      <c r="X334" s="58"/>
      <c r="Y334" s="58"/>
      <c r="AA334" s="1329" t="s">
        <v>1775</v>
      </c>
      <c r="AB334" s="1162"/>
      <c r="AC334" s="1162"/>
      <c r="AD334" s="1162"/>
      <c r="AE334" s="1162"/>
      <c r="AF334" s="1162"/>
      <c r="AG334" s="7" t="s">
        <v>220</v>
      </c>
      <c r="AH334" s="7"/>
      <c r="AI334" s="1152"/>
      <c r="AJ334" s="1152"/>
      <c r="AK334" s="1152"/>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62" t="s">
        <v>1776</v>
      </c>
      <c r="AB335" s="1162"/>
      <c r="AC335" s="1162"/>
      <c r="AD335" s="1162"/>
      <c r="AE335" s="1162"/>
      <c r="AF335" s="1162"/>
      <c r="AG335" s="60"/>
      <c r="AH335" s="60"/>
      <c r="AI335" s="62"/>
      <c r="AJ335" s="62"/>
      <c r="AK335" s="62"/>
      <c r="AL335" s="39"/>
    </row>
    <row r="336" spans="1:53" ht="12.75">
      <c r="A336" s="39"/>
      <c r="B336" s="58" t="s">
        <v>82</v>
      </c>
      <c r="C336" s="245"/>
      <c r="D336" s="245"/>
      <c r="E336" s="245"/>
      <c r="F336" s="245"/>
      <c r="G336" s="245"/>
      <c r="H336" s="1090" t="s">
        <v>1706</v>
      </c>
      <c r="I336" s="1090"/>
      <c r="J336" s="1090"/>
      <c r="K336" s="1090"/>
      <c r="L336" s="1090"/>
      <c r="M336" s="1090"/>
      <c r="N336" s="1091"/>
      <c r="O336" s="1091"/>
      <c r="P336" s="1091"/>
      <c r="Q336" s="1091"/>
      <c r="R336" s="1091"/>
      <c r="S336" s="58"/>
      <c r="T336" s="58" t="s">
        <v>82</v>
      </c>
      <c r="V336" s="58"/>
      <c r="W336" s="58"/>
      <c r="X336" s="58"/>
      <c r="Y336" s="58"/>
      <c r="AA336" s="1106" t="s">
        <v>1777</v>
      </c>
      <c r="AB336" s="1090"/>
      <c r="AC336" s="1090"/>
      <c r="AD336" s="1090"/>
      <c r="AE336" s="1090"/>
      <c r="AF336" s="1090"/>
      <c r="AG336" s="1255"/>
      <c r="AH336" s="1255"/>
      <c r="AI336" s="1255"/>
      <c r="AJ336" s="1255"/>
      <c r="AK336" s="125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1" t="s">
        <v>1778</v>
      </c>
      <c r="Q338" s="1091"/>
      <c r="R338" s="1091"/>
      <c r="S338" s="1091"/>
      <c r="T338" s="1091"/>
      <c r="U338" s="1091"/>
      <c r="V338" s="1091"/>
      <c r="W338" s="1091"/>
      <c r="X338" s="1091"/>
      <c r="Y338" s="1091"/>
      <c r="Z338" s="1091"/>
      <c r="AA338" s="1091"/>
      <c r="AB338" s="1091"/>
      <c r="AC338" s="1091"/>
      <c r="AD338" s="1091"/>
      <c r="AE338" s="1091"/>
      <c r="AF338" s="88"/>
      <c r="AG338" s="88"/>
      <c r="AH338" s="88"/>
      <c r="AI338" s="88"/>
      <c r="AJ338" s="88"/>
      <c r="AK338" s="88"/>
      <c r="AL338" s="39"/>
      <c r="BA338" s="12" t="s">
        <v>592</v>
      </c>
    </row>
    <row r="339" spans="1:53" ht="12.75">
      <c r="A339" s="3"/>
      <c r="B339" s="60"/>
      <c r="C339" s="60"/>
      <c r="D339" s="60"/>
      <c r="E339" s="60"/>
      <c r="F339" s="60"/>
      <c r="G339" s="3"/>
      <c r="H339" s="88"/>
      <c r="I339" s="7" t="s">
        <v>518</v>
      </c>
      <c r="P339" s="1090"/>
      <c r="Q339" s="1090"/>
      <c r="R339" s="1090"/>
      <c r="S339" s="1090"/>
      <c r="T339" s="1090"/>
      <c r="U339" s="1090"/>
      <c r="V339" s="1090"/>
      <c r="W339" s="1090"/>
      <c r="X339" s="1090"/>
      <c r="Y339" s="1090"/>
      <c r="Z339" s="1090"/>
      <c r="AA339" s="1090"/>
      <c r="AB339" s="1090"/>
      <c r="AC339" s="1090"/>
      <c r="AD339" s="1090"/>
      <c r="AE339" s="1090"/>
      <c r="AF339" s="88"/>
      <c r="AG339" s="88"/>
      <c r="AH339" s="88"/>
      <c r="AI339" s="88"/>
      <c r="AJ339" s="88"/>
      <c r="AK339" s="88"/>
      <c r="AL339" s="39"/>
    </row>
    <row r="340" spans="1:53" ht="12.75">
      <c r="A340" s="3"/>
      <c r="B340" s="60"/>
      <c r="C340" s="60"/>
      <c r="D340" s="60"/>
      <c r="E340" s="60"/>
      <c r="F340" s="60"/>
      <c r="G340" s="3"/>
      <c r="H340" s="88"/>
      <c r="I340" s="7" t="s">
        <v>81</v>
      </c>
      <c r="P340" s="1090"/>
      <c r="Q340" s="1090"/>
      <c r="R340" s="1090"/>
      <c r="S340" s="1090"/>
      <c r="T340" s="1090"/>
      <c r="U340" s="1090"/>
      <c r="V340" s="1090"/>
      <c r="W340" s="1090"/>
      <c r="X340" s="1090"/>
      <c r="Y340" s="1090"/>
      <c r="Z340" s="1090"/>
      <c r="AA340" s="1090"/>
      <c r="AB340" s="1090"/>
      <c r="AC340" s="1090"/>
      <c r="AD340" s="1090"/>
      <c r="AE340" s="1090"/>
      <c r="AF340" s="88"/>
      <c r="AG340" s="88"/>
      <c r="AH340" s="88"/>
      <c r="AI340" s="88"/>
      <c r="AJ340" s="88"/>
      <c r="AK340" s="88"/>
      <c r="AL340" s="39"/>
    </row>
    <row r="341" spans="1:53" ht="12.75" customHeight="1">
      <c r="A341" s="3"/>
      <c r="B341" s="60"/>
      <c r="C341" s="60"/>
      <c r="D341" s="60"/>
      <c r="E341" s="60"/>
      <c r="F341" s="60"/>
      <c r="G341" s="60"/>
      <c r="H341" s="88"/>
      <c r="I341" s="7" t="s">
        <v>94</v>
      </c>
      <c r="P341" s="1090"/>
      <c r="Q341" s="1090"/>
      <c r="R341" s="1090"/>
      <c r="S341" s="1090"/>
      <c r="T341" s="1090"/>
      <c r="U341" s="1090"/>
      <c r="V341" s="1090"/>
      <c r="W341" s="1090"/>
      <c r="X341" s="1090"/>
      <c r="Y341" s="1090"/>
      <c r="Z341" s="1090"/>
      <c r="AA341" s="1090"/>
      <c r="AB341" s="1090"/>
      <c r="AC341" s="1090"/>
      <c r="AD341" s="1090"/>
      <c r="AE341" s="1090"/>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220</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091"/>
      <c r="Q344" s="1091"/>
      <c r="R344" s="1091"/>
      <c r="S344" s="1091"/>
      <c r="T344" s="1091"/>
      <c r="U344" s="1091"/>
      <c r="V344" s="1091"/>
      <c r="W344" s="1091"/>
      <c r="X344" s="1091"/>
      <c r="Y344" s="1091"/>
      <c r="Z344" s="1091"/>
      <c r="AA344" s="1091"/>
      <c r="AB344" s="1091"/>
      <c r="AC344" s="1091"/>
      <c r="AD344" s="1091"/>
      <c r="AE344" s="109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589</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1" t="s">
        <v>592</v>
      </c>
      <c r="N350" s="1121"/>
      <c r="P350" s="12" t="s">
        <v>599</v>
      </c>
      <c r="AJ350" s="1121" t="s">
        <v>592</v>
      </c>
      <c r="AK350" s="1121"/>
    </row>
    <row r="351" spans="1:53" ht="12.75" customHeight="1">
      <c r="D351" s="7" t="s">
        <v>956</v>
      </c>
      <c r="R351" s="12" t="s">
        <v>600</v>
      </c>
      <c r="AJ351" s="1121" t="s">
        <v>592</v>
      </c>
      <c r="AK351" s="1121"/>
    </row>
    <row r="352" spans="1:53" ht="12.75" customHeight="1">
      <c r="D352" s="12" t="s">
        <v>766</v>
      </c>
      <c r="M352" s="1121" t="s">
        <v>642</v>
      </c>
      <c r="N352" s="1121"/>
      <c r="P352" s="7" t="s">
        <v>953</v>
      </c>
      <c r="AJ352" s="1121" t="s">
        <v>642</v>
      </c>
      <c r="AK352" s="1121"/>
    </row>
    <row r="353" spans="1:34" ht="12.75" customHeight="1">
      <c r="D353" s="12" t="s">
        <v>767</v>
      </c>
      <c r="M353" s="1121" t="s">
        <v>642</v>
      </c>
      <c r="N353" s="112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1" t="s">
        <v>642</v>
      </c>
      <c r="O358" s="1121"/>
      <c r="P358" s="69"/>
      <c r="Q358" s="69"/>
      <c r="R358" s="69"/>
      <c r="S358" s="69"/>
      <c r="T358" s="69"/>
      <c r="U358" s="69"/>
      <c r="V358" s="69"/>
      <c r="W358" s="69"/>
      <c r="X358" s="69"/>
      <c r="Y358" s="70"/>
      <c r="Z358" s="70"/>
      <c r="AC358" s="69"/>
      <c r="AD358" s="69"/>
      <c r="AE358" s="69"/>
    </row>
    <row r="359" spans="1:34" ht="12.75" customHeight="1">
      <c r="E359" s="12" t="s">
        <v>395</v>
      </c>
      <c r="Y359" s="1121" t="s">
        <v>642</v>
      </c>
      <c r="Z359" s="1121"/>
    </row>
    <row r="360" spans="1:34" ht="12.75" customHeight="1">
      <c r="D360" s="7" t="s">
        <v>1092</v>
      </c>
      <c r="Q360" s="1091" t="s">
        <v>642</v>
      </c>
      <c r="R360" s="1091"/>
      <c r="S360" s="1091"/>
      <c r="T360" s="1091"/>
      <c r="U360" s="1091"/>
      <c r="V360" s="1091"/>
      <c r="W360" s="1091"/>
      <c r="X360" s="1091"/>
      <c r="Y360" s="1091"/>
      <c r="Z360" s="1091"/>
      <c r="AA360" s="1091"/>
      <c r="AB360" s="1091"/>
      <c r="AC360" s="1091"/>
      <c r="AD360" s="1091"/>
      <c r="AE360" s="1091"/>
      <c r="AF360" s="1091"/>
      <c r="AG360" s="109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1" t="s">
        <v>642</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569" t="s">
        <v>768</v>
      </c>
      <c r="F363" s="1569"/>
      <c r="G363" s="1569"/>
      <c r="H363" s="1569"/>
      <c r="I363" s="1569"/>
      <c r="J363" s="1569"/>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569"/>
    </row>
    <row r="364" spans="1:34" ht="12.75" customHeight="1">
      <c r="E364" s="1569"/>
      <c r="F364" s="1569"/>
      <c r="G364" s="1569"/>
      <c r="H364" s="1569"/>
      <c r="I364" s="1569"/>
      <c r="J364" s="1569"/>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569"/>
    </row>
    <row r="365" spans="1:34" ht="12.75" customHeight="1">
      <c r="E365" s="7" t="s">
        <v>493</v>
      </c>
      <c r="F365" s="7"/>
      <c r="G365" s="7"/>
      <c r="H365" s="7"/>
      <c r="I365" s="7"/>
      <c r="J365" s="7"/>
      <c r="K365" s="7"/>
      <c r="L365" s="7"/>
      <c r="N365" s="1141"/>
      <c r="O365" s="1141"/>
      <c r="P365" s="1141"/>
      <c r="Q365" s="1141"/>
      <c r="R365" s="7"/>
      <c r="U365" s="7" t="s">
        <v>494</v>
      </c>
      <c r="V365" s="7"/>
      <c r="W365" s="7"/>
      <c r="X365" s="7"/>
      <c r="Y365" s="7"/>
      <c r="Z365" s="7"/>
      <c r="AA365" s="7"/>
      <c r="AB365" s="7"/>
      <c r="AC365" s="1141"/>
      <c r="AD365" s="1141"/>
      <c r="AE365" s="1141"/>
      <c r="AF365" s="1141"/>
    </row>
    <row r="366" spans="1:34" ht="12.75" customHeight="1">
      <c r="E366" s="7" t="s">
        <v>495</v>
      </c>
      <c r="F366" s="7"/>
      <c r="G366" s="7"/>
      <c r="H366" s="7"/>
      <c r="I366" s="7"/>
      <c r="J366" s="7"/>
      <c r="K366" s="7"/>
      <c r="L366" s="7"/>
      <c r="N366" s="1141"/>
      <c r="O366" s="1141"/>
      <c r="P366" s="1141"/>
      <c r="Q366" s="1141"/>
      <c r="R366" s="7"/>
      <c r="U366" s="7" t="s">
        <v>0</v>
      </c>
      <c r="V366" s="7"/>
      <c r="W366" s="7"/>
      <c r="X366" s="7"/>
      <c r="Y366" s="7"/>
      <c r="Z366" s="7"/>
      <c r="AA366" s="7"/>
      <c r="AB366" s="7"/>
      <c r="AC366" s="1141"/>
      <c r="AD366" s="1141"/>
      <c r="AE366" s="1141"/>
      <c r="AF366" s="1141"/>
    </row>
    <row r="367" spans="1:34" ht="12.75" customHeight="1">
      <c r="E367" s="7" t="s">
        <v>1</v>
      </c>
      <c r="F367" s="7"/>
      <c r="G367" s="7"/>
      <c r="H367" s="7"/>
      <c r="I367" s="7"/>
      <c r="J367" s="7"/>
      <c r="K367" s="7"/>
      <c r="L367" s="7"/>
      <c r="N367" s="1141"/>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552" t="s">
        <v>642</v>
      </c>
      <c r="AH374" s="1552"/>
    </row>
    <row r="375" spans="1:38" ht="12.75" customHeight="1">
      <c r="E375" s="7"/>
      <c r="F375" s="7"/>
      <c r="G375" s="7" t="s">
        <v>1150</v>
      </c>
      <c r="H375" s="7"/>
      <c r="I375" s="7"/>
      <c r="J375" s="7"/>
      <c r="K375" s="7"/>
      <c r="L375" s="7"/>
      <c r="AG375" s="1552" t="s">
        <v>642</v>
      </c>
      <c r="AH375" s="1552"/>
    </row>
    <row r="376" spans="1:38" ht="12.75" customHeight="1">
      <c r="E376" s="7"/>
      <c r="F376" s="7"/>
      <c r="G376" s="530" t="s">
        <v>1130</v>
      </c>
      <c r="H376" s="7"/>
      <c r="I376" s="7"/>
      <c r="J376" s="7"/>
      <c r="K376" s="7"/>
      <c r="L376" s="7"/>
      <c r="V376" s="1121" t="s">
        <v>642</v>
      </c>
      <c r="W376" s="1121"/>
      <c r="Y376" s="35" t="s">
        <v>1094</v>
      </c>
    </row>
    <row r="377" spans="1:38" ht="12.75" customHeight="1">
      <c r="E377" s="7" t="s">
        <v>1095</v>
      </c>
      <c r="F377" s="7"/>
      <c r="G377" s="7"/>
      <c r="H377" s="7"/>
      <c r="I377" s="7"/>
      <c r="J377" s="7"/>
      <c r="K377" s="7"/>
      <c r="L377" s="7"/>
      <c r="V377" s="1121" t="s">
        <v>642</v>
      </c>
      <c r="W377" s="1121"/>
      <c r="Y377" s="7" t="s">
        <v>1096</v>
      </c>
    </row>
    <row r="378" spans="1:38" ht="12.75" customHeight="1"/>
    <row r="379" spans="1:38" ht="12.75" customHeight="1">
      <c r="A379" s="50" t="s">
        <v>84</v>
      </c>
      <c r="B379" s="50"/>
    </row>
    <row r="380" spans="1:38" ht="12.75" customHeight="1">
      <c r="D380" s="12" t="s">
        <v>463</v>
      </c>
      <c r="J380" s="1091" t="s">
        <v>1707</v>
      </c>
      <c r="K380" s="1091"/>
      <c r="L380" s="1091"/>
      <c r="M380" s="1091"/>
      <c r="N380" s="1091"/>
      <c r="O380" s="1091"/>
      <c r="P380" s="1091"/>
      <c r="Q380" s="1091"/>
      <c r="R380" s="1091"/>
      <c r="S380" s="1091"/>
      <c r="T380" s="1091"/>
      <c r="U380" s="1091"/>
      <c r="V380" s="14" t="s">
        <v>90</v>
      </c>
      <c r="W380" s="14"/>
      <c r="X380" s="14"/>
      <c r="Y380" s="14"/>
      <c r="Z380" s="14"/>
      <c r="AA380" s="14"/>
      <c r="AB380" s="14"/>
      <c r="AC380" s="1091"/>
      <c r="AD380" s="1091"/>
      <c r="AE380" s="1091"/>
      <c r="AF380" s="1091"/>
      <c r="AG380" s="1091"/>
      <c r="AH380" s="1091"/>
      <c r="AI380" s="1091"/>
      <c r="AJ380" s="1091"/>
    </row>
    <row r="381" spans="1:38" ht="12.75" customHeight="1">
      <c r="A381" s="743"/>
      <c r="B381" s="743"/>
      <c r="C381" s="743"/>
      <c r="D381" s="58" t="s">
        <v>1422</v>
      </c>
      <c r="E381" s="743"/>
      <c r="F381" s="743"/>
      <c r="G381" s="743"/>
      <c r="H381" s="743"/>
      <c r="I381" s="743"/>
      <c r="J381" s="1090" t="s">
        <v>1708</v>
      </c>
      <c r="K381" s="1090"/>
      <c r="L381" s="1090"/>
      <c r="M381" s="1090"/>
      <c r="N381" s="1090"/>
      <c r="O381" s="1090"/>
      <c r="P381" s="1090"/>
      <c r="Q381" s="1090"/>
      <c r="R381" s="1090"/>
      <c r="S381" s="1090"/>
      <c r="T381" s="1090"/>
      <c r="U381" s="1090"/>
      <c r="V381" s="58" t="s">
        <v>1422</v>
      </c>
      <c r="W381" s="14"/>
      <c r="X381" s="14"/>
      <c r="Y381" s="14"/>
      <c r="Z381" s="14"/>
      <c r="AA381" s="14"/>
      <c r="AB381" s="14"/>
      <c r="AC381" s="1091"/>
      <c r="AD381" s="1091"/>
      <c r="AE381" s="1091"/>
      <c r="AF381" s="1091"/>
      <c r="AG381" s="1091"/>
      <c r="AH381" s="1091"/>
      <c r="AI381" s="1091"/>
      <c r="AJ381" s="1091"/>
      <c r="AK381" s="743"/>
      <c r="AL381" s="743"/>
    </row>
    <row r="382" spans="1:38" ht="12.75" customHeight="1">
      <c r="A382" s="743"/>
      <c r="B382" s="743"/>
      <c r="C382" s="743"/>
      <c r="D382" s="58" t="s">
        <v>478</v>
      </c>
      <c r="E382" s="743"/>
      <c r="F382" s="743"/>
      <c r="G382" s="743"/>
      <c r="H382" s="743"/>
      <c r="I382" s="743"/>
      <c r="J382" s="1090" t="s">
        <v>1709</v>
      </c>
      <c r="K382" s="1090"/>
      <c r="L382" s="1090"/>
      <c r="M382" s="1090"/>
      <c r="N382" s="1090"/>
      <c r="O382" s="1090"/>
      <c r="P382" s="1090"/>
      <c r="Q382" s="1090"/>
      <c r="R382" s="1090"/>
      <c r="S382" s="1090"/>
      <c r="T382" s="1090"/>
      <c r="U382" s="1090"/>
      <c r="V382" s="58" t="s">
        <v>478</v>
      </c>
      <c r="W382" s="14"/>
      <c r="X382" s="14"/>
      <c r="Y382" s="14"/>
      <c r="Z382" s="14"/>
      <c r="AA382" s="14"/>
      <c r="AB382" s="14"/>
      <c r="AC382" s="1091"/>
      <c r="AD382" s="1091"/>
      <c r="AE382" s="1091"/>
      <c r="AF382" s="1091"/>
      <c r="AG382" s="1091"/>
      <c r="AH382" s="1091"/>
      <c r="AI382" s="1091"/>
      <c r="AJ382" s="1091"/>
      <c r="AK382" s="743"/>
      <c r="AL382" s="743"/>
    </row>
    <row r="383" spans="1:38" ht="12.75" customHeight="1">
      <c r="A383" s="743"/>
      <c r="B383" s="743"/>
      <c r="C383" s="743"/>
      <c r="D383" s="496" t="s">
        <v>1418</v>
      </c>
      <c r="E383" s="743"/>
      <c r="F383" s="743"/>
      <c r="G383" s="743"/>
      <c r="H383" s="743"/>
      <c r="I383" s="88"/>
      <c r="J383" s="1124" t="s">
        <v>1710</v>
      </c>
      <c r="K383" s="1124"/>
      <c r="L383" s="1124"/>
      <c r="M383" s="1124"/>
      <c r="N383" s="1124"/>
      <c r="O383" s="1124"/>
      <c r="P383" s="1124"/>
      <c r="Q383" s="1124"/>
      <c r="R383" s="1124"/>
      <c r="S383" s="1124"/>
      <c r="T383" s="1124"/>
      <c r="U383" s="1124"/>
      <c r="V383" s="1091"/>
      <c r="W383" s="1091"/>
      <c r="X383" s="1091"/>
      <c r="Y383" s="1091"/>
      <c r="Z383" s="1091"/>
      <c r="AA383" s="1091"/>
      <c r="AB383" s="1091"/>
      <c r="AC383" s="1091"/>
      <c r="AD383" s="1091"/>
      <c r="AE383" s="1091"/>
      <c r="AF383" s="1091"/>
      <c r="AG383" s="1091"/>
      <c r="AH383" s="1091"/>
      <c r="AI383" s="1091"/>
      <c r="AJ383" s="1091"/>
      <c r="AK383" s="743"/>
      <c r="AL383" s="743"/>
    </row>
    <row r="384" spans="1:38" ht="12.75" customHeight="1">
      <c r="D384" s="12" t="s">
        <v>4</v>
      </c>
      <c r="Q384" s="1254">
        <v>43586</v>
      </c>
      <c r="R384" s="1254"/>
      <c r="S384" s="1254"/>
      <c r="T384" s="1254"/>
      <c r="U384" s="1254"/>
      <c r="V384" s="12" t="s">
        <v>331</v>
      </c>
      <c r="AI384" s="1121" t="s">
        <v>723</v>
      </c>
      <c r="AJ384" s="1121"/>
    </row>
    <row r="385" spans="1:38" ht="12.75" customHeight="1">
      <c r="D385" s="12" t="s">
        <v>5</v>
      </c>
      <c r="Q385" s="1422">
        <v>43952</v>
      </c>
      <c r="R385" s="1568"/>
      <c r="S385" s="1568"/>
      <c r="T385" s="1568"/>
      <c r="U385" s="1568"/>
      <c r="W385" s="33" t="s">
        <v>80</v>
      </c>
      <c r="AG385" s="1126"/>
      <c r="AH385" s="1126"/>
      <c r="AI385" s="1126"/>
      <c r="AJ385" s="1126"/>
    </row>
    <row r="386" spans="1:38" ht="12.75" customHeight="1">
      <c r="D386" s="12" t="s">
        <v>462</v>
      </c>
      <c r="Q386" s="1158">
        <v>6890000</v>
      </c>
      <c r="R386" s="1158"/>
      <c r="S386" s="1158"/>
      <c r="T386" s="1158"/>
      <c r="U386" s="1158"/>
      <c r="V386" s="58" t="s">
        <v>1421</v>
      </c>
      <c r="AG386" s="1267">
        <v>43952</v>
      </c>
      <c r="AH386" s="1267"/>
      <c r="AI386" s="1267"/>
      <c r="AJ386" s="1267"/>
    </row>
    <row r="387" spans="1:38" ht="12.75" customHeight="1">
      <c r="D387" s="12" t="s">
        <v>95</v>
      </c>
      <c r="I387" s="1105"/>
      <c r="J387" s="1105"/>
      <c r="K387" s="1105"/>
      <c r="L387" s="1105"/>
      <c r="M387" s="1105"/>
      <c r="N387" s="1105"/>
      <c r="Q387" s="57" t="s">
        <v>220</v>
      </c>
      <c r="S387" s="1153"/>
      <c r="T387" s="1153"/>
      <c r="U387" s="1153"/>
      <c r="V387" s="12" t="s">
        <v>79</v>
      </c>
      <c r="AI387" s="1121" t="s">
        <v>723</v>
      </c>
      <c r="AJ387" s="1121"/>
    </row>
    <row r="388" spans="1:38" ht="12.75">
      <c r="D388" s="12" t="s">
        <v>332</v>
      </c>
      <c r="Q388" s="1159">
        <v>13500</v>
      </c>
      <c r="R388" s="1159"/>
      <c r="S388" s="1159"/>
      <c r="T388" s="1159"/>
      <c r="U388" s="1159"/>
      <c r="V388" s="12" t="s">
        <v>333</v>
      </c>
      <c r="AG388" s="1126"/>
      <c r="AH388" s="1126"/>
      <c r="AI388" s="1126"/>
      <c r="AJ388" s="1126"/>
    </row>
    <row r="389" spans="1:38" ht="12.75">
      <c r="D389" s="12" t="s">
        <v>334</v>
      </c>
      <c r="Q389" s="1268">
        <v>1.1900000000000001E-2</v>
      </c>
      <c r="R389" s="1268"/>
      <c r="S389" s="1268"/>
      <c r="T389" s="1268"/>
      <c r="U389" s="1268"/>
      <c r="V389" s="743" t="s">
        <v>1398</v>
      </c>
      <c r="AG389" s="1126"/>
      <c r="AH389" s="1126"/>
      <c r="AI389" s="1126"/>
      <c r="AJ389" s="1126"/>
    </row>
    <row r="390" spans="1:38" ht="12.75">
      <c r="D390" s="743" t="s">
        <v>1397</v>
      </c>
      <c r="V390" s="743"/>
      <c r="AG390" s="1126"/>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326" t="s">
        <v>1711</v>
      </c>
      <c r="J393" s="1326"/>
      <c r="K393" s="1326"/>
      <c r="L393" s="1326"/>
      <c r="M393" s="1326"/>
      <c r="N393" s="1326"/>
      <c r="O393" s="1326"/>
      <c r="P393" s="1326"/>
      <c r="Q393" s="1326"/>
      <c r="R393" s="1326"/>
      <c r="S393" s="1326"/>
      <c r="T393" s="1326"/>
      <c r="U393" s="1326"/>
      <c r="V393" s="1326"/>
      <c r="W393" s="1326"/>
      <c r="X393" s="1326"/>
      <c r="Y393" s="1326"/>
      <c r="Z393" s="1326"/>
      <c r="AA393" s="1326"/>
      <c r="AB393" s="1326"/>
      <c r="AC393" s="1326"/>
      <c r="AD393" s="1326"/>
      <c r="AE393" s="1326"/>
    </row>
    <row r="394" spans="1:38" ht="12.75" customHeight="1">
      <c r="C394" s="25"/>
      <c r="D394" s="25"/>
      <c r="E394" s="12" t="s">
        <v>113</v>
      </c>
      <c r="F394" s="25"/>
      <c r="G394" s="25"/>
      <c r="H394" s="25"/>
      <c r="I394" s="25"/>
      <c r="J394" s="25"/>
      <c r="K394" s="25"/>
      <c r="L394" s="25"/>
      <c r="M394" s="25"/>
      <c r="N394" s="25"/>
      <c r="O394" s="25"/>
      <c r="P394" s="743"/>
      <c r="Q394" s="743"/>
      <c r="R394" s="1121" t="s">
        <v>642</v>
      </c>
      <c r="S394" s="1121"/>
      <c r="T394" s="12" t="s">
        <v>620</v>
      </c>
      <c r="U394" s="743"/>
      <c r="V394" s="743"/>
      <c r="W394" s="743"/>
      <c r="X394" s="743"/>
      <c r="Y394" s="743"/>
      <c r="Z394" s="743"/>
      <c r="AA394" s="743"/>
      <c r="AB394" s="743"/>
      <c r="AC394" s="743"/>
      <c r="AD394" s="1141">
        <v>0</v>
      </c>
      <c r="AE394" s="1141"/>
      <c r="AF394" s="743"/>
    </row>
    <row r="395" spans="1:38" ht="12.75" customHeight="1">
      <c r="C395" s="25"/>
      <c r="E395" s="12" t="s">
        <v>114</v>
      </c>
      <c r="F395" s="743"/>
      <c r="G395" s="743"/>
      <c r="H395" s="743"/>
      <c r="I395" s="743"/>
      <c r="J395" s="743"/>
      <c r="K395" s="743"/>
      <c r="L395" s="743"/>
      <c r="M395" s="743"/>
      <c r="N395" s="25"/>
      <c r="O395" s="25"/>
      <c r="P395" s="743"/>
      <c r="Q395" s="743"/>
      <c r="R395" s="1121" t="s">
        <v>642</v>
      </c>
      <c r="S395" s="1121"/>
      <c r="T395" s="12" t="s">
        <v>620</v>
      </c>
      <c r="U395" s="743"/>
      <c r="V395" s="743"/>
      <c r="W395" s="743"/>
      <c r="X395" s="743"/>
      <c r="Y395" s="743"/>
      <c r="Z395" s="743"/>
      <c r="AA395" s="743"/>
      <c r="AB395" s="743"/>
      <c r="AC395" s="743"/>
      <c r="AD395" s="1141">
        <v>0</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642</v>
      </c>
      <c r="T396" s="1121"/>
      <c r="U396" s="743"/>
      <c r="V396" s="743"/>
      <c r="W396" s="743"/>
      <c r="X396" s="743"/>
      <c r="Y396" s="743"/>
      <c r="Z396" s="743"/>
      <c r="AA396" s="743"/>
      <c r="AB396" s="743"/>
      <c r="AC396" s="743"/>
      <c r="AD396" s="743"/>
      <c r="AE396" s="743"/>
      <c r="AF396" s="743"/>
    </row>
    <row r="397" spans="1:38" ht="12.75" customHeight="1">
      <c r="E397" s="12" t="s">
        <v>177</v>
      </c>
      <c r="F397" s="743"/>
      <c r="G397" s="743"/>
      <c r="H397" s="1150" t="s">
        <v>1712</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275">
        <v>1.02</v>
      </c>
      <c r="Q406" s="1275"/>
      <c r="R406" s="1275"/>
      <c r="S406" s="12" t="s">
        <v>124</v>
      </c>
      <c r="W406" s="1156">
        <f>IF(E406&gt;0,(E406*I406),(P406*43560))</f>
        <v>44431.200000000004</v>
      </c>
      <c r="X406" s="1156"/>
      <c r="Y406" s="1156"/>
      <c r="Z406" s="12" t="s">
        <v>125</v>
      </c>
      <c r="AF406" s="1275">
        <f>AG424/P406</f>
        <v>89.215686274509807</v>
      </c>
      <c r="AG406" s="1275"/>
      <c r="AH406" s="1275"/>
    </row>
    <row r="407" spans="1:36" ht="12.75">
      <c r="E407" s="12" t="s">
        <v>56</v>
      </c>
    </row>
    <row r="408" spans="1:36" ht="12.75">
      <c r="E408" s="1128"/>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643</v>
      </c>
      <c r="B410" s="50"/>
      <c r="C410" s="50"/>
      <c r="D410" s="50" t="s">
        <v>127</v>
      </c>
    </row>
    <row r="411" spans="1:36" ht="12.75">
      <c r="E411" s="12" t="s">
        <v>128</v>
      </c>
      <c r="P411" s="1121">
        <v>1</v>
      </c>
      <c r="Q411" s="1121"/>
      <c r="S411" s="12" t="s">
        <v>203</v>
      </c>
      <c r="AE411" s="1121">
        <v>1</v>
      </c>
      <c r="AF411" s="1121"/>
    </row>
    <row r="412" spans="1:36" ht="12.75">
      <c r="E412" s="12" t="s">
        <v>204</v>
      </c>
      <c r="P412" s="1121">
        <v>0</v>
      </c>
      <c r="Q412" s="1121"/>
      <c r="S412" s="12" t="s">
        <v>138</v>
      </c>
      <c r="AE412" s="1121" t="s">
        <v>642</v>
      </c>
      <c r="AF412" s="1121"/>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21" t="s">
        <v>723</v>
      </c>
      <c r="R416" s="112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1" t="s">
        <v>642</v>
      </c>
      <c r="AG417" s="1137"/>
    </row>
    <row r="418" spans="1:96" ht="12.75" customHeight="1">
      <c r="S418" s="25"/>
      <c r="T418" s="25"/>
    </row>
    <row r="419" spans="1:96" ht="12.75" customHeight="1">
      <c r="A419" s="50"/>
      <c r="B419" s="50"/>
      <c r="C419" s="50"/>
      <c r="E419" s="7" t="s">
        <v>330</v>
      </c>
      <c r="Z419" s="1121" t="s">
        <v>723</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1" t="s">
        <v>642</v>
      </c>
      <c r="AA421" s="1121"/>
    </row>
    <row r="422" spans="1:96" ht="12.75" customHeight="1"/>
    <row r="423" spans="1:96" ht="12.75" customHeight="1">
      <c r="A423" s="50" t="s">
        <v>514</v>
      </c>
      <c r="B423" s="50"/>
      <c r="C423" s="50"/>
      <c r="D423" s="50" t="s">
        <v>843</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8">
        <v>91</v>
      </c>
      <c r="AH424" s="1138"/>
      <c r="AI424" s="1138"/>
      <c r="AJ424" s="1138"/>
    </row>
    <row r="425" spans="1:96" ht="12.75" customHeight="1">
      <c r="D425" s="1142" t="s">
        <v>1490</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82"/>
      <c r="AH425" s="1283"/>
      <c r="AI425" s="1283"/>
      <c r="AJ425" s="1283"/>
    </row>
    <row r="426" spans="1:96" ht="12.75" customHeight="1">
      <c r="D426" s="1142" t="s">
        <v>1184</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8">
        <v>89</v>
      </c>
      <c r="AH426" s="1138"/>
      <c r="AI426" s="1138"/>
      <c r="AJ426" s="1138"/>
    </row>
    <row r="427" spans="1:96" ht="12.75" customHeight="1">
      <c r="D427" s="1142" t="s">
        <v>1185</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8">
        <v>89</v>
      </c>
      <c r="AH427" s="1138"/>
      <c r="AI427" s="1138"/>
      <c r="AJ427" s="1138"/>
    </row>
    <row r="428" spans="1:96" ht="12.75" customHeight="1">
      <c r="D428" s="1142" t="s">
        <v>1187</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1186</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v>60441</v>
      </c>
      <c r="AH429" s="1139"/>
      <c r="AI429" s="1139"/>
      <c r="AJ429" s="1139"/>
    </row>
    <row r="430" spans="1:96" ht="12.75" customHeight="1">
      <c r="D430" s="1142" t="s">
        <v>1188</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9">
        <v>60441</v>
      </c>
      <c r="AH430" s="1139"/>
      <c r="AI430" s="1139"/>
      <c r="AJ430" s="1139"/>
    </row>
    <row r="431" spans="1:96" ht="12.75" customHeight="1">
      <c r="D431" s="1142" t="s">
        <v>1189</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1190</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2" t="s">
        <v>1461</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9">
        <v>0</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8"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1462</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9">
        <v>27528</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1191</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9">
        <v>43280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1192</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8">
        <f>AG429+AG433+AG435+AG436</f>
        <v>131249</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1463</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532876</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532876</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422058.91208791209</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2" t="s">
        <v>750</v>
      </c>
      <c r="E452" s="1093"/>
      <c r="F452" s="1093"/>
      <c r="G452" s="1093"/>
      <c r="H452" s="1093"/>
      <c r="I452" s="1093"/>
      <c r="J452" s="1093"/>
      <c r="K452" s="1093"/>
      <c r="L452" s="1093"/>
      <c r="M452" s="1093"/>
      <c r="N452" s="1093"/>
      <c r="O452" s="1093"/>
      <c r="P452" s="1093"/>
      <c r="Q452" s="1093"/>
      <c r="R452" s="1093"/>
      <c r="S452" s="1093"/>
      <c r="T452" s="1093"/>
      <c r="U452" s="1093"/>
      <c r="V452" s="1094"/>
      <c r="W452" s="1231">
        <v>44</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2" t="s">
        <v>751</v>
      </c>
      <c r="E453" s="1093"/>
      <c r="F453" s="1093"/>
      <c r="G453" s="1093"/>
      <c r="H453" s="1093"/>
      <c r="I453" s="1093"/>
      <c r="J453" s="1093"/>
      <c r="K453" s="1093"/>
      <c r="L453" s="1093"/>
      <c r="M453" s="1093"/>
      <c r="N453" s="1093"/>
      <c r="O453" s="1093"/>
      <c r="P453" s="1093"/>
      <c r="Q453" s="1093"/>
      <c r="R453" s="1093"/>
      <c r="S453" s="1093"/>
      <c r="T453" s="1093"/>
      <c r="U453" s="1093"/>
      <c r="V453" s="1094"/>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2" t="s">
        <v>752</v>
      </c>
      <c r="E454" s="1093"/>
      <c r="F454" s="1093"/>
      <c r="G454" s="1093"/>
      <c r="H454" s="1093"/>
      <c r="I454" s="1093"/>
      <c r="J454" s="1093"/>
      <c r="K454" s="1093"/>
      <c r="L454" s="1093"/>
      <c r="M454" s="1093"/>
      <c r="N454" s="1093"/>
      <c r="O454" s="1093"/>
      <c r="P454" s="1093"/>
      <c r="Q454" s="1093"/>
      <c r="R454" s="1093"/>
      <c r="S454" s="1093"/>
      <c r="T454" s="1093"/>
      <c r="U454" s="1093"/>
      <c r="V454" s="1094"/>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2" t="s">
        <v>753</v>
      </c>
      <c r="E455" s="1093"/>
      <c r="F455" s="1093"/>
      <c r="G455" s="1093"/>
      <c r="H455" s="1093"/>
      <c r="I455" s="1093"/>
      <c r="J455" s="1093"/>
      <c r="K455" s="1093"/>
      <c r="L455" s="1093"/>
      <c r="M455" s="1093"/>
      <c r="N455" s="1093"/>
      <c r="O455" s="1093"/>
      <c r="P455" s="1093"/>
      <c r="Q455" s="1093"/>
      <c r="R455" s="1093"/>
      <c r="S455" s="1093"/>
      <c r="T455" s="1093"/>
      <c r="U455" s="1093"/>
      <c r="V455" s="1094"/>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2" t="s">
        <v>976</v>
      </c>
      <c r="E456" s="1093"/>
      <c r="F456" s="1093"/>
      <c r="G456" s="1093"/>
      <c r="H456" s="1093"/>
      <c r="I456" s="1093"/>
      <c r="J456" s="1093"/>
      <c r="K456" s="1093"/>
      <c r="L456" s="1093"/>
      <c r="M456" s="1093"/>
      <c r="N456" s="1093"/>
      <c r="O456" s="1093"/>
      <c r="P456" s="1093"/>
      <c r="Q456" s="1093"/>
      <c r="R456" s="1093"/>
      <c r="S456" s="1093"/>
      <c r="T456" s="1093"/>
      <c r="U456" s="1093"/>
      <c r="V456" s="1094"/>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2" t="s">
        <v>754</v>
      </c>
      <c r="E457" s="1093"/>
      <c r="F457" s="1093"/>
      <c r="G457" s="1093"/>
      <c r="H457" s="1093"/>
      <c r="I457" s="1093"/>
      <c r="J457" s="1093"/>
      <c r="K457" s="1093"/>
      <c r="L457" s="1093"/>
      <c r="M457" s="1093"/>
      <c r="N457" s="1093"/>
      <c r="O457" s="1093"/>
      <c r="P457" s="1093"/>
      <c r="Q457" s="1093"/>
      <c r="R457" s="1093"/>
      <c r="S457" s="1093"/>
      <c r="T457" s="1093"/>
      <c r="U457" s="1093"/>
      <c r="V457" s="1094"/>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2" t="s">
        <v>1157</v>
      </c>
      <c r="E458" s="1093"/>
      <c r="F458" s="1093"/>
      <c r="G458" s="1093"/>
      <c r="H458" s="1093"/>
      <c r="I458" s="1093"/>
      <c r="J458" s="1093"/>
      <c r="K458" s="1093"/>
      <c r="L458" s="1093"/>
      <c r="M458" s="1093"/>
      <c r="N458" s="1093"/>
      <c r="O458" s="1093"/>
      <c r="P458" s="1093"/>
      <c r="Q458" s="1093"/>
      <c r="R458" s="1093"/>
      <c r="S458" s="1093"/>
      <c r="T458" s="1093"/>
      <c r="U458" s="1093"/>
      <c r="V458" s="1094"/>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t="s">
        <v>1785</v>
      </c>
      <c r="H459" s="1306"/>
      <c r="I459" s="1306"/>
      <c r="J459" s="1306"/>
      <c r="K459" s="1306"/>
      <c r="L459" s="1306"/>
      <c r="M459" s="1306"/>
      <c r="N459" s="1306"/>
      <c r="O459" s="1306"/>
      <c r="P459" s="1306"/>
      <c r="Q459" s="1306"/>
      <c r="R459" s="1306"/>
      <c r="S459" s="1306"/>
      <c r="T459" s="1306"/>
      <c r="U459" s="1306"/>
      <c r="V459" s="1307"/>
      <c r="W459" s="1231">
        <v>45</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7" t="s">
        <v>755</v>
      </c>
      <c r="E463" s="1348"/>
      <c r="F463" s="1348"/>
      <c r="G463" s="1348"/>
      <c r="H463" s="1348"/>
      <c r="I463" s="1348"/>
      <c r="J463" s="1348"/>
      <c r="K463" s="1348"/>
      <c r="L463" s="1348"/>
      <c r="M463" s="1348"/>
      <c r="N463" s="1348"/>
      <c r="O463" s="1348"/>
      <c r="P463" s="1348"/>
      <c r="Q463" s="1348"/>
      <c r="R463" s="1348"/>
      <c r="S463" s="1348"/>
      <c r="T463" s="1348"/>
      <c r="U463" s="1348"/>
      <c r="V463" s="1348"/>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2" t="s">
        <v>756</v>
      </c>
      <c r="E464" s="1093"/>
      <c r="F464" s="1093"/>
      <c r="G464" s="1093"/>
      <c r="H464" s="1093"/>
      <c r="I464" s="1093"/>
      <c r="J464" s="1093"/>
      <c r="K464" s="1093"/>
      <c r="L464" s="1093"/>
      <c r="M464" s="1093"/>
      <c r="N464" s="1093"/>
      <c r="O464" s="1093"/>
      <c r="P464" s="1093"/>
      <c r="Q464" s="1093"/>
      <c r="R464" s="1093"/>
      <c r="S464" s="1093"/>
      <c r="T464" s="1093"/>
      <c r="U464" s="1093"/>
      <c r="V464" s="1094"/>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893</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v>43040</v>
      </c>
      <c r="U474" s="1165"/>
      <c r="V474" s="1165"/>
      <c r="W474" s="1165"/>
      <c r="X474" s="1165"/>
      <c r="Y474" s="1165">
        <v>0</v>
      </c>
      <c r="Z474" s="1165"/>
      <c r="AA474" s="1165"/>
      <c r="AB474" s="1165"/>
      <c r="AC474" s="1165"/>
      <c r="AD474" s="1165">
        <v>43054</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v>43040</v>
      </c>
      <c r="U475" s="1165"/>
      <c r="V475" s="1165"/>
      <c r="W475" s="1165"/>
      <c r="X475" s="1165"/>
      <c r="Y475" s="1165">
        <v>0</v>
      </c>
      <c r="Z475" s="1165"/>
      <c r="AA475" s="1165"/>
      <c r="AB475" s="1165"/>
      <c r="AC475" s="1165"/>
      <c r="AD475" s="1165">
        <v>43054</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t="s">
        <v>642</v>
      </c>
      <c r="U476" s="1165"/>
      <c r="V476" s="1165"/>
      <c r="W476" s="1165"/>
      <c r="X476" s="1165"/>
      <c r="Y476" s="1165">
        <v>0</v>
      </c>
      <c r="Z476" s="1165"/>
      <c r="AA476" s="1165"/>
      <c r="AB476" s="1165"/>
      <c r="AC476" s="1165"/>
      <c r="AD476" s="1165" t="s">
        <v>642</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t="s">
        <v>1713</v>
      </c>
      <c r="U477" s="1165"/>
      <c r="V477" s="1165"/>
      <c r="W477" s="1165"/>
      <c r="X477" s="1165"/>
      <c r="Y477" s="1165">
        <v>0</v>
      </c>
      <c r="Z477" s="1165"/>
      <c r="AA477" s="1165"/>
      <c r="AB477" s="1165"/>
      <c r="AC477" s="1165"/>
      <c r="AD477" s="1165" t="s">
        <v>1713</v>
      </c>
      <c r="AE477" s="1165"/>
      <c r="AF477" s="1165"/>
      <c r="AG477" s="1165"/>
      <c r="AH477" s="116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t="s">
        <v>642</v>
      </c>
      <c r="U478" s="1165"/>
      <c r="V478" s="1165"/>
      <c r="W478" s="1165"/>
      <c r="X478" s="1165"/>
      <c r="Y478" s="1165">
        <v>0</v>
      </c>
      <c r="Z478" s="1165"/>
      <c r="AA478" s="1165"/>
      <c r="AB478" s="1165"/>
      <c r="AC478" s="1165"/>
      <c r="AD478" s="1165" t="s">
        <v>642</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v>43622</v>
      </c>
      <c r="U479" s="1165"/>
      <c r="V479" s="1165"/>
      <c r="W479" s="1165"/>
      <c r="X479" s="1165"/>
      <c r="Y479" s="1165">
        <v>0</v>
      </c>
      <c r="Z479" s="1165"/>
      <c r="AA479" s="1165"/>
      <c r="AB479" s="1165"/>
      <c r="AC479" s="1165"/>
      <c r="AD479" s="1165">
        <v>43622</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v>43161</v>
      </c>
      <c r="U480" s="1165"/>
      <c r="V480" s="1165"/>
      <c r="W480" s="1165"/>
      <c r="X480" s="1165"/>
      <c r="Y480" s="1165">
        <v>0</v>
      </c>
      <c r="Z480" s="1165"/>
      <c r="AA480" s="1165"/>
      <c r="AB480" s="1165"/>
      <c r="AC480" s="1165"/>
      <c r="AD480" s="1165">
        <v>43175</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t="s">
        <v>642</v>
      </c>
      <c r="U481" s="1165"/>
      <c r="V481" s="1165"/>
      <c r="W481" s="1165"/>
      <c r="X481" s="1165"/>
      <c r="Y481" s="1165">
        <v>0</v>
      </c>
      <c r="Z481" s="1165"/>
      <c r="AA481" s="1165"/>
      <c r="AB481" s="1165"/>
      <c r="AC481" s="1165"/>
      <c r="AD481" s="1165" t="s">
        <v>642</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t="s">
        <v>642</v>
      </c>
      <c r="U482" s="1165"/>
      <c r="V482" s="1165"/>
      <c r="W482" s="1165"/>
      <c r="X482" s="1165"/>
      <c r="Y482" s="1165">
        <v>0</v>
      </c>
      <c r="Z482" s="1165"/>
      <c r="AA482" s="1165"/>
      <c r="AB482" s="1165"/>
      <c r="AC482" s="1165"/>
      <c r="AD482" s="1165" t="s">
        <v>642</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5">
        <v>43161</v>
      </c>
      <c r="U483" s="1165"/>
      <c r="V483" s="1165"/>
      <c r="W483" s="1165"/>
      <c r="X483" s="1165"/>
      <c r="Y483" s="1165">
        <v>0</v>
      </c>
      <c r="Z483" s="1165"/>
      <c r="AA483" s="1165"/>
      <c r="AB483" s="1165"/>
      <c r="AC483" s="1165"/>
      <c r="AD483" s="1165">
        <v>43175</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428</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1714</v>
      </c>
      <c r="R486" s="1090"/>
      <c r="S486" s="1090"/>
      <c r="T486" s="1090"/>
      <c r="U486" s="1090"/>
      <c r="V486" s="1090"/>
      <c r="W486" s="1090"/>
      <c r="X486" s="1090"/>
      <c r="Y486" s="1090"/>
      <c r="Z486" s="1090"/>
      <c r="AA486" s="1090"/>
      <c r="AB486" s="1090"/>
      <c r="AC486" s="1090"/>
      <c r="AD486" s="1090"/>
      <c r="AE486" s="1090"/>
      <c r="AF486" s="1090"/>
      <c r="AG486" s="1090"/>
      <c r="AH486" s="1090"/>
      <c r="AI486" s="1090"/>
      <c r="AJ486" s="1090"/>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1715</v>
      </c>
      <c r="R487" s="1090"/>
      <c r="S487" s="1090"/>
      <c r="T487" s="1090"/>
      <c r="U487" s="1090"/>
      <c r="V487" s="1090"/>
      <c r="W487" s="1090"/>
      <c r="X487" s="1090"/>
      <c r="Y487" s="1090"/>
      <c r="Z487" s="1090"/>
      <c r="AA487" s="1090"/>
      <c r="AB487" s="1090"/>
      <c r="AC487" s="1090"/>
      <c r="AD487" s="1090"/>
      <c r="AE487" s="1090"/>
      <c r="AF487" s="1090"/>
      <c r="AG487" s="1090"/>
      <c r="AH487" s="1090"/>
      <c r="AI487" s="1090"/>
      <c r="AJ487" s="1090"/>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1715</v>
      </c>
      <c r="R488" s="1090"/>
      <c r="S488" s="1090"/>
      <c r="T488" s="1090"/>
      <c r="U488" s="1090"/>
      <c r="V488" s="1090"/>
      <c r="W488" s="1090"/>
      <c r="X488" s="1090"/>
      <c r="Y488" s="1090"/>
      <c r="Z488" s="1090"/>
      <c r="AA488" s="1090"/>
      <c r="AB488" s="1090"/>
      <c r="AC488" s="1090"/>
      <c r="AD488" s="1090"/>
      <c r="AE488" s="1090"/>
      <c r="AF488" s="1090"/>
      <c r="AG488" s="1090"/>
      <c r="AH488" s="1090"/>
      <c r="AI488" s="1090"/>
      <c r="AJ488" s="1090"/>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9" t="s">
        <v>432</v>
      </c>
      <c r="C489" s="1350"/>
      <c r="D489" s="1350"/>
      <c r="E489" s="1350"/>
      <c r="F489" s="1350"/>
      <c r="G489" s="1350"/>
      <c r="H489" s="1350"/>
      <c r="I489" s="1350"/>
      <c r="J489" s="1350"/>
      <c r="K489" s="1350"/>
      <c r="L489" s="1350"/>
      <c r="M489" s="1350"/>
      <c r="N489" s="1350"/>
      <c r="O489" s="1350"/>
      <c r="P489" s="135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2"/>
      <c r="C490" s="1353"/>
      <c r="D490" s="1353"/>
      <c r="E490" s="1353"/>
      <c r="F490" s="1353"/>
      <c r="G490" s="1353"/>
      <c r="H490" s="1353"/>
      <c r="I490" s="1353"/>
      <c r="J490" s="1353"/>
      <c r="K490" s="1353"/>
      <c r="L490" s="1353"/>
      <c r="M490" s="1353"/>
      <c r="N490" s="1353"/>
      <c r="O490" s="1353"/>
      <c r="P490" s="1354"/>
      <c r="Q490" s="1358" t="s">
        <v>723</v>
      </c>
      <c r="R490" s="1359"/>
      <c r="S490" s="1592" t="s">
        <v>173</v>
      </c>
      <c r="T490" s="1593"/>
      <c r="U490" s="1593"/>
      <c r="V490" s="1593"/>
      <c r="W490" s="1593"/>
      <c r="X490" s="1593"/>
      <c r="Y490" s="1593"/>
      <c r="Z490" s="1593"/>
      <c r="AA490" s="1593"/>
      <c r="AB490" s="1593"/>
      <c r="AC490" s="1593"/>
      <c r="AD490" s="1593"/>
      <c r="AE490" s="1593"/>
      <c r="AF490" s="1593"/>
      <c r="AG490" s="1593"/>
      <c r="AH490" s="1593"/>
      <c r="AI490" s="1593"/>
      <c r="AJ490" s="1593"/>
      <c r="AK490" s="15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5"/>
      <c r="C491" s="1356"/>
      <c r="D491" s="1356"/>
      <c r="E491" s="1356"/>
      <c r="F491" s="1356"/>
      <c r="G491" s="1356"/>
      <c r="H491" s="1356"/>
      <c r="I491" s="1356"/>
      <c r="J491" s="1356"/>
      <c r="K491" s="1356"/>
      <c r="L491" s="1356"/>
      <c r="M491" s="1356"/>
      <c r="N491" s="1356"/>
      <c r="O491" s="1356"/>
      <c r="P491" s="1357"/>
      <c r="Q491" s="1360"/>
      <c r="R491" s="1361"/>
      <c r="S491" s="1595"/>
      <c r="T491" s="1596"/>
      <c r="U491" s="1596"/>
      <c r="V491" s="1596"/>
      <c r="W491" s="1596"/>
      <c r="X491" s="1596"/>
      <c r="Y491" s="1596"/>
      <c r="Z491" s="1596"/>
      <c r="AA491" s="1596"/>
      <c r="AB491" s="1596"/>
      <c r="AC491" s="1596"/>
      <c r="AD491" s="1596"/>
      <c r="AE491" s="1596"/>
      <c r="AF491" s="1596"/>
      <c r="AG491" s="1596"/>
      <c r="AH491" s="1596"/>
      <c r="AI491" s="1596"/>
      <c r="AJ491" s="1596"/>
      <c r="AK491" s="15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1716</v>
      </c>
      <c r="R492" s="1090"/>
      <c r="S492" s="1090"/>
      <c r="T492" s="1090"/>
      <c r="U492" s="1090"/>
      <c r="V492" s="1090"/>
      <c r="W492" s="1090"/>
      <c r="X492" s="1090"/>
      <c r="Y492" s="1090"/>
      <c r="Z492" s="1090"/>
      <c r="AA492" s="1090"/>
      <c r="AB492" s="1090"/>
      <c r="AC492" s="1090"/>
      <c r="AD492" s="1090"/>
      <c r="AE492" s="1090"/>
      <c r="AF492" s="1090"/>
      <c r="AG492" s="1090"/>
      <c r="AH492" s="1090"/>
      <c r="AI492" s="1090"/>
      <c r="AJ492" s="1090"/>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27">
        <v>4.2361111111111106E-2</v>
      </c>
      <c r="R493" s="1090"/>
      <c r="S493" s="1090"/>
      <c r="T493" s="1090"/>
      <c r="U493" s="1090"/>
      <c r="V493" s="1090"/>
      <c r="W493" s="1090"/>
      <c r="X493" s="1090"/>
      <c r="Y493" s="1090"/>
      <c r="Z493" s="1090"/>
      <c r="AA493" s="1090"/>
      <c r="AB493" s="1090"/>
      <c r="AC493" s="1090"/>
      <c r="AD493" s="1090"/>
      <c r="AE493" s="1090"/>
      <c r="AF493" s="1090"/>
      <c r="AG493" s="1090"/>
      <c r="AH493" s="1090"/>
      <c r="AI493" s="1090"/>
      <c r="AJ493" s="1090"/>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436</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1" t="s">
        <v>440</v>
      </c>
      <c r="C500" s="1262"/>
      <c r="D500" s="1262"/>
      <c r="E500" s="1262"/>
      <c r="F500" s="1262"/>
      <c r="G500" s="1262"/>
      <c r="H500" s="1263"/>
      <c r="I500" s="72" t="s">
        <v>441</v>
      </c>
      <c r="J500" s="72"/>
      <c r="K500" s="72"/>
      <c r="L500" s="72"/>
      <c r="M500" s="72"/>
      <c r="N500" s="72"/>
      <c r="O500" s="72"/>
      <c r="P500" s="72"/>
      <c r="Q500" s="72"/>
      <c r="R500" s="72"/>
      <c r="S500" s="72"/>
      <c r="T500" s="72"/>
      <c r="U500" s="72"/>
      <c r="V500" s="72"/>
      <c r="W500" s="72"/>
      <c r="X500" s="25"/>
      <c r="Y500" s="25"/>
      <c r="AC500" s="1174">
        <v>4</v>
      </c>
      <c r="AD500" s="1141"/>
      <c r="AE500" s="1141"/>
      <c r="AF500" s="1141"/>
      <c r="AG500" s="75" t="s">
        <v>438</v>
      </c>
      <c r="AH500" s="1124">
        <v>2018</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4"/>
      <c r="C501" s="1265"/>
      <c r="D501" s="1265"/>
      <c r="E501" s="1265"/>
      <c r="F501" s="1265"/>
      <c r="G501" s="1265"/>
      <c r="H501" s="1266"/>
      <c r="I501" s="80" t="s">
        <v>442</v>
      </c>
      <c r="J501" s="80"/>
      <c r="K501" s="80"/>
      <c r="L501" s="80"/>
      <c r="M501" s="80"/>
      <c r="N501" s="80"/>
      <c r="O501" s="80"/>
      <c r="P501" s="80"/>
      <c r="Q501" s="80"/>
      <c r="R501" s="80"/>
      <c r="S501" s="80"/>
      <c r="T501" s="80"/>
      <c r="U501" s="80"/>
      <c r="V501" s="80"/>
      <c r="W501" s="80"/>
      <c r="X501" s="80"/>
      <c r="Y501" s="80"/>
      <c r="Z501" s="80"/>
      <c r="AA501" s="80"/>
      <c r="AB501" s="80"/>
      <c r="AC501" s="1174">
        <v>5</v>
      </c>
      <c r="AD501" s="1141"/>
      <c r="AE501" s="1141"/>
      <c r="AF501" s="1141"/>
      <c r="AG501" s="65" t="s">
        <v>438</v>
      </c>
      <c r="AH501" s="1124">
        <v>2020</v>
      </c>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1" t="s">
        <v>443</v>
      </c>
      <c r="C502" s="1262"/>
      <c r="D502" s="1262"/>
      <c r="E502" s="1262"/>
      <c r="F502" s="1262"/>
      <c r="G502" s="1262"/>
      <c r="H502" s="1263"/>
      <c r="I502" s="72" t="s">
        <v>444</v>
      </c>
      <c r="J502" s="72"/>
      <c r="K502" s="72"/>
      <c r="L502" s="72"/>
      <c r="M502" s="72"/>
      <c r="N502" s="72"/>
      <c r="O502" s="72"/>
      <c r="P502" s="72"/>
      <c r="Q502" s="72"/>
      <c r="R502" s="72"/>
      <c r="S502" s="72"/>
      <c r="T502" s="72"/>
      <c r="U502" s="72"/>
      <c r="V502" s="72"/>
      <c r="W502" s="72"/>
      <c r="X502" s="25"/>
      <c r="Y502" s="25"/>
      <c r="AC502" s="1174" t="s">
        <v>642</v>
      </c>
      <c r="AD502" s="1141"/>
      <c r="AE502" s="1141"/>
      <c r="AF502" s="1141"/>
      <c r="AG502" s="75" t="s">
        <v>438</v>
      </c>
      <c r="AH502" s="1124"/>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4"/>
      <c r="C503" s="1265"/>
      <c r="D503" s="1265"/>
      <c r="E503" s="1265"/>
      <c r="F503" s="1265"/>
      <c r="G503" s="1265"/>
      <c r="H503" s="1266"/>
      <c r="I503" s="25" t="s">
        <v>445</v>
      </c>
      <c r="J503" s="25"/>
      <c r="K503" s="25"/>
      <c r="L503" s="25"/>
      <c r="M503" s="25"/>
      <c r="N503" s="25"/>
      <c r="O503" s="25"/>
      <c r="P503" s="25"/>
      <c r="Q503" s="25"/>
      <c r="R503" s="25"/>
      <c r="S503" s="25"/>
      <c r="T503" s="25"/>
      <c r="U503" s="25"/>
      <c r="V503" s="25"/>
      <c r="W503" s="25"/>
      <c r="X503" s="25"/>
      <c r="Y503" s="25"/>
      <c r="AC503" s="1174" t="s">
        <v>642</v>
      </c>
      <c r="AD503" s="1141"/>
      <c r="AE503" s="1141"/>
      <c r="AF503" s="1141"/>
      <c r="AG503" s="75" t="s">
        <v>438</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4"/>
      <c r="C504" s="1265"/>
      <c r="D504" s="1265"/>
      <c r="E504" s="1265"/>
      <c r="F504" s="1265"/>
      <c r="G504" s="1265"/>
      <c r="H504" s="1266"/>
      <c r="I504" s="25" t="s">
        <v>446</v>
      </c>
      <c r="J504" s="25"/>
      <c r="K504" s="25"/>
      <c r="L504" s="25"/>
      <c r="M504" s="25"/>
      <c r="N504" s="25"/>
      <c r="O504" s="25"/>
      <c r="P504" s="25"/>
      <c r="Q504" s="25"/>
      <c r="R504" s="25"/>
      <c r="S504" s="25"/>
      <c r="T504" s="25"/>
      <c r="U504" s="25"/>
      <c r="V504" s="25"/>
      <c r="W504" s="25"/>
      <c r="X504" s="25"/>
      <c r="Y504" s="25"/>
      <c r="AC504" s="1174">
        <v>4</v>
      </c>
      <c r="AD504" s="1141"/>
      <c r="AE504" s="1141"/>
      <c r="AF504" s="1141"/>
      <c r="AG504" s="75" t="s">
        <v>438</v>
      </c>
      <c r="AH504" s="1124">
        <v>2018</v>
      </c>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4"/>
      <c r="C505" s="1265"/>
      <c r="D505" s="1265"/>
      <c r="E505" s="1265"/>
      <c r="F505" s="1265"/>
      <c r="G505" s="1265"/>
      <c r="H505" s="1266"/>
      <c r="I505" s="25" t="s">
        <v>447</v>
      </c>
      <c r="J505" s="25"/>
      <c r="K505" s="25"/>
      <c r="L505" s="25"/>
      <c r="M505" s="25"/>
      <c r="N505" s="25"/>
      <c r="O505" s="25"/>
      <c r="P505" s="25"/>
      <c r="Q505" s="25"/>
      <c r="R505" s="25"/>
      <c r="S505" s="25"/>
      <c r="T505" s="25"/>
      <c r="U505" s="25"/>
      <c r="V505" s="25"/>
      <c r="W505" s="25"/>
      <c r="X505" s="25"/>
      <c r="Y505" s="25"/>
      <c r="AC505" s="1174" t="s">
        <v>642</v>
      </c>
      <c r="AD505" s="1141"/>
      <c r="AE505" s="1141"/>
      <c r="AF505" s="1141"/>
      <c r="AG505" s="75" t="s">
        <v>438</v>
      </c>
      <c r="AH505" s="1124"/>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4"/>
      <c r="C506" s="1265"/>
      <c r="D506" s="1265"/>
      <c r="E506" s="1265"/>
      <c r="F506" s="1265"/>
      <c r="G506" s="1265"/>
      <c r="H506" s="1266"/>
      <c r="I506" s="80" t="s">
        <v>448</v>
      </c>
      <c r="J506" s="80"/>
      <c r="K506" s="80"/>
      <c r="L506" s="80"/>
      <c r="M506" s="80"/>
      <c r="N506" s="80"/>
      <c r="O506" s="80"/>
      <c r="P506" s="80"/>
      <c r="Q506" s="80"/>
      <c r="R506" s="80"/>
      <c r="S506" s="80"/>
      <c r="T506" s="80"/>
      <c r="U506" s="80"/>
      <c r="V506" s="80"/>
      <c r="W506" s="80"/>
      <c r="X506" s="80"/>
      <c r="Y506" s="80"/>
      <c r="Z506" s="80"/>
      <c r="AA506" s="80"/>
      <c r="AB506" s="80"/>
      <c r="AC506" s="1174">
        <v>8</v>
      </c>
      <c r="AD506" s="1141"/>
      <c r="AE506" s="1141"/>
      <c r="AF506" s="1141"/>
      <c r="AG506" s="65" t="s">
        <v>438</v>
      </c>
      <c r="AH506" s="1124">
        <v>2020</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1" t="s">
        <v>449</v>
      </c>
      <c r="C507" s="1262"/>
      <c r="D507" s="1262"/>
      <c r="E507" s="1262"/>
      <c r="F507" s="1262"/>
      <c r="G507" s="1262"/>
      <c r="H507" s="1263"/>
      <c r="I507" s="72" t="s">
        <v>450</v>
      </c>
      <c r="J507" s="72"/>
      <c r="K507" s="72"/>
      <c r="L507" s="72"/>
      <c r="M507" s="72"/>
      <c r="N507" s="72"/>
      <c r="O507" s="72"/>
      <c r="P507" s="72"/>
      <c r="Q507" s="72"/>
      <c r="R507" s="72"/>
      <c r="S507" s="72"/>
      <c r="T507" s="72"/>
      <c r="U507" s="72"/>
      <c r="V507" s="72"/>
      <c r="W507" s="72"/>
      <c r="X507" s="25"/>
      <c r="Y507" s="25"/>
      <c r="AC507" s="1174">
        <v>3</v>
      </c>
      <c r="AD507" s="1141"/>
      <c r="AE507" s="1141"/>
      <c r="AF507" s="1141"/>
      <c r="AG507" s="75" t="s">
        <v>438</v>
      </c>
      <c r="AH507" s="1124">
        <v>2020</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4"/>
      <c r="C508" s="1265"/>
      <c r="D508" s="1265"/>
      <c r="E508" s="1265"/>
      <c r="F508" s="1265"/>
      <c r="G508" s="1265"/>
      <c r="H508" s="1266"/>
      <c r="I508" s="25" t="s">
        <v>451</v>
      </c>
      <c r="J508" s="25"/>
      <c r="K508" s="25"/>
      <c r="L508" s="25"/>
      <c r="M508" s="25"/>
      <c r="N508" s="25"/>
      <c r="O508" s="25"/>
      <c r="P508" s="25"/>
      <c r="Q508" s="25"/>
      <c r="R508" s="25"/>
      <c r="S508" s="25"/>
      <c r="T508" s="25"/>
      <c r="U508" s="25"/>
      <c r="V508" s="25"/>
      <c r="W508" s="25"/>
      <c r="X508" s="25"/>
      <c r="Y508" s="25"/>
      <c r="AC508" s="1174">
        <v>3</v>
      </c>
      <c r="AD508" s="1141"/>
      <c r="AE508" s="1141"/>
      <c r="AF508" s="1141"/>
      <c r="AG508" s="75" t="s">
        <v>438</v>
      </c>
      <c r="AH508" s="1124">
        <v>2020</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4"/>
      <c r="C509" s="1265"/>
      <c r="D509" s="1265"/>
      <c r="E509" s="1265"/>
      <c r="F509" s="1265"/>
      <c r="G509" s="1265"/>
      <c r="H509" s="1266"/>
      <c r="I509" s="80" t="s">
        <v>452</v>
      </c>
      <c r="J509" s="80"/>
      <c r="K509" s="80"/>
      <c r="L509" s="80"/>
      <c r="M509" s="80"/>
      <c r="N509" s="80"/>
      <c r="O509" s="80"/>
      <c r="P509" s="80"/>
      <c r="Q509" s="80"/>
      <c r="R509" s="80"/>
      <c r="S509" s="80"/>
      <c r="T509" s="80"/>
      <c r="U509" s="80"/>
      <c r="V509" s="80"/>
      <c r="W509" s="80"/>
      <c r="X509" s="80"/>
      <c r="Y509" s="80"/>
      <c r="Z509" s="80"/>
      <c r="AA509" s="80"/>
      <c r="AB509" s="80"/>
      <c r="AC509" s="1174">
        <v>9</v>
      </c>
      <c r="AD509" s="1141"/>
      <c r="AE509" s="1141"/>
      <c r="AF509" s="1141"/>
      <c r="AG509" s="65" t="s">
        <v>438</v>
      </c>
      <c r="AH509" s="1124">
        <v>2020</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1" t="s">
        <v>453</v>
      </c>
      <c r="C510" s="1262"/>
      <c r="D510" s="1262"/>
      <c r="E510" s="1262"/>
      <c r="F510" s="1262"/>
      <c r="G510" s="1262"/>
      <c r="H510" s="1263"/>
      <c r="I510" s="72" t="s">
        <v>450</v>
      </c>
      <c r="J510" s="72"/>
      <c r="K510" s="72"/>
      <c r="L510" s="72"/>
      <c r="M510" s="72"/>
      <c r="N510" s="72"/>
      <c r="O510" s="72"/>
      <c r="P510" s="72"/>
      <c r="Q510" s="72"/>
      <c r="R510" s="72"/>
      <c r="S510" s="72"/>
      <c r="T510" s="72"/>
      <c r="U510" s="72"/>
      <c r="V510" s="72"/>
      <c r="W510" s="72"/>
      <c r="X510" s="72"/>
      <c r="Y510" s="72"/>
      <c r="Z510" s="72"/>
      <c r="AA510" s="72"/>
      <c r="AB510" s="72"/>
      <c r="AC510" s="1269">
        <v>3</v>
      </c>
      <c r="AD510" s="1270"/>
      <c r="AE510" s="1270"/>
      <c r="AF510" s="1270"/>
      <c r="AG510" s="204" t="s">
        <v>438</v>
      </c>
      <c r="AH510" s="1124">
        <v>2020</v>
      </c>
      <c r="AI510" s="1124"/>
      <c r="AJ510" s="1124"/>
      <c r="AK510" s="11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4"/>
      <c r="C511" s="1265"/>
      <c r="D511" s="1265"/>
      <c r="E511" s="1265"/>
      <c r="F511" s="1265"/>
      <c r="G511" s="1265"/>
      <c r="H511" s="1266"/>
      <c r="I511" s="25" t="s">
        <v>451</v>
      </c>
      <c r="J511" s="25"/>
      <c r="K511" s="25"/>
      <c r="L511" s="25"/>
      <c r="M511" s="25"/>
      <c r="N511" s="25"/>
      <c r="O511" s="25"/>
      <c r="P511" s="25"/>
      <c r="Q511" s="25"/>
      <c r="R511" s="25"/>
      <c r="S511" s="25"/>
      <c r="T511" s="25"/>
      <c r="U511" s="25"/>
      <c r="V511" s="25"/>
      <c r="W511" s="25"/>
      <c r="X511" s="25"/>
      <c r="Y511" s="25"/>
      <c r="Z511" s="25"/>
      <c r="AA511" s="25"/>
      <c r="AB511" s="25"/>
      <c r="AC511" s="1174">
        <v>3</v>
      </c>
      <c r="AD511" s="1141"/>
      <c r="AE511" s="1141"/>
      <c r="AF511" s="1141"/>
      <c r="AG511" s="75" t="s">
        <v>438</v>
      </c>
      <c r="AH511" s="1124">
        <v>2020</v>
      </c>
      <c r="AI511" s="1124"/>
      <c r="AJ511" s="1124"/>
      <c r="AK511" s="11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452</v>
      </c>
      <c r="J512" s="80"/>
      <c r="K512" s="80"/>
      <c r="L512" s="80"/>
      <c r="M512" s="80"/>
      <c r="N512" s="80"/>
      <c r="O512" s="80"/>
      <c r="P512" s="80"/>
      <c r="Q512" s="80"/>
      <c r="R512" s="80"/>
      <c r="S512" s="80"/>
      <c r="T512" s="80"/>
      <c r="U512" s="80"/>
      <c r="V512" s="80"/>
      <c r="W512" s="80"/>
      <c r="X512" s="80"/>
      <c r="Y512" s="80"/>
      <c r="Z512" s="80"/>
      <c r="AA512" s="80"/>
      <c r="AB512" s="80"/>
      <c r="AC512" s="1174">
        <v>7</v>
      </c>
      <c r="AD512" s="1141"/>
      <c r="AE512" s="1141"/>
      <c r="AF512" s="1141"/>
      <c r="AG512" s="65" t="s">
        <v>438</v>
      </c>
      <c r="AH512" s="1124">
        <v>2023</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1" t="s">
        <v>454</v>
      </c>
      <c r="C513" s="1262"/>
      <c r="D513" s="1262"/>
      <c r="E513" s="1262"/>
      <c r="F513" s="1262"/>
      <c r="G513" s="1262"/>
      <c r="H513" s="1263"/>
      <c r="I513" s="71" t="s">
        <v>455</v>
      </c>
      <c r="J513" s="72"/>
      <c r="K513" s="72"/>
      <c r="L513" s="72"/>
      <c r="M513" s="72"/>
      <c r="N513" s="72"/>
      <c r="O513" s="1090" t="s">
        <v>1717</v>
      </c>
      <c r="P513" s="1090"/>
      <c r="Q513" s="1090"/>
      <c r="R513" s="1090"/>
      <c r="S513" s="1090"/>
      <c r="T513" s="1090"/>
      <c r="U513" s="1090"/>
      <c r="V513" s="1090"/>
      <c r="W513" s="1090"/>
      <c r="X513" s="1090"/>
      <c r="Y513" s="1090"/>
      <c r="Z513" s="1090"/>
      <c r="AA513" s="1090"/>
      <c r="AB513" s="94"/>
      <c r="AC513" s="1269" t="s">
        <v>642</v>
      </c>
      <c r="AD513" s="1270"/>
      <c r="AE513" s="1270"/>
      <c r="AF513" s="1270"/>
      <c r="AG513" s="204" t="s">
        <v>438</v>
      </c>
      <c r="AH513" s="1124"/>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4"/>
      <c r="C514" s="1265"/>
      <c r="D514" s="1265"/>
      <c r="E514" s="1265"/>
      <c r="F514" s="1265"/>
      <c r="G514" s="1265"/>
      <c r="H514" s="1266"/>
      <c r="I514" s="175" t="s">
        <v>456</v>
      </c>
      <c r="J514" s="25"/>
      <c r="K514" s="25"/>
      <c r="L514" s="25"/>
      <c r="M514" s="25"/>
      <c r="N514" s="25"/>
      <c r="O514" s="25"/>
      <c r="P514" s="25"/>
      <c r="Q514" s="25"/>
      <c r="R514" s="25"/>
      <c r="S514" s="25"/>
      <c r="T514" s="25"/>
      <c r="U514" s="25"/>
      <c r="V514" s="25"/>
      <c r="W514" s="25"/>
      <c r="X514" s="25"/>
      <c r="Y514" s="25"/>
      <c r="Z514" s="25"/>
      <c r="AA514" s="25"/>
      <c r="AB514" s="101"/>
      <c r="AC514" s="1174">
        <v>6</v>
      </c>
      <c r="AD514" s="1141"/>
      <c r="AE514" s="1141"/>
      <c r="AF514" s="1141"/>
      <c r="AG514" s="75" t="s">
        <v>438</v>
      </c>
      <c r="AH514" s="1124">
        <v>2019</v>
      </c>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4"/>
      <c r="C515" s="1265"/>
      <c r="D515" s="1265"/>
      <c r="E515" s="1265"/>
      <c r="F515" s="1265"/>
      <c r="G515" s="1265"/>
      <c r="H515" s="1266"/>
      <c r="I515" s="79" t="s">
        <v>457</v>
      </c>
      <c r="J515" s="80"/>
      <c r="K515" s="80"/>
      <c r="L515" s="80"/>
      <c r="M515" s="80"/>
      <c r="N515" s="80"/>
      <c r="O515" s="80"/>
      <c r="P515" s="80"/>
      <c r="Q515" s="80"/>
      <c r="R515" s="80"/>
      <c r="S515" s="80"/>
      <c r="T515" s="80"/>
      <c r="U515" s="80"/>
      <c r="V515" s="80"/>
      <c r="W515" s="80"/>
      <c r="X515" s="80"/>
      <c r="Y515" s="80"/>
      <c r="Z515" s="80"/>
      <c r="AA515" s="80"/>
      <c r="AB515" s="81"/>
      <c r="AC515" s="1174">
        <v>8</v>
      </c>
      <c r="AD515" s="1141"/>
      <c r="AE515" s="1141"/>
      <c r="AF515" s="1141"/>
      <c r="AG515" s="65" t="s">
        <v>438</v>
      </c>
      <c r="AH515" s="1124">
        <v>2019</v>
      </c>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4"/>
      <c r="C516" s="1265"/>
      <c r="D516" s="1265"/>
      <c r="E516" s="1265"/>
      <c r="F516" s="1265"/>
      <c r="G516" s="1265"/>
      <c r="H516" s="1266"/>
      <c r="I516" s="72" t="s">
        <v>458</v>
      </c>
      <c r="J516" s="72"/>
      <c r="K516" s="72"/>
      <c r="L516" s="72"/>
      <c r="M516" s="72"/>
      <c r="N516" s="72"/>
      <c r="O516" s="1091" t="s">
        <v>1718</v>
      </c>
      <c r="P516" s="1091"/>
      <c r="Q516" s="1091"/>
      <c r="R516" s="1091"/>
      <c r="S516" s="1091"/>
      <c r="T516" s="1091"/>
      <c r="U516" s="1091"/>
      <c r="V516" s="1091"/>
      <c r="W516" s="1091"/>
      <c r="X516" s="1091"/>
      <c r="Y516" s="1091"/>
      <c r="Z516" s="1091"/>
      <c r="AA516" s="1091"/>
      <c r="AC516" s="1174" t="s">
        <v>642</v>
      </c>
      <c r="AD516" s="1141"/>
      <c r="AE516" s="1141"/>
      <c r="AF516" s="1141"/>
      <c r="AG516" s="75" t="s">
        <v>438</v>
      </c>
      <c r="AH516" s="1124"/>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4"/>
      <c r="C517" s="1265"/>
      <c r="D517" s="1265"/>
      <c r="E517" s="1265"/>
      <c r="F517" s="1265"/>
      <c r="G517" s="1265"/>
      <c r="H517" s="1266"/>
      <c r="I517" s="25" t="s">
        <v>456</v>
      </c>
      <c r="J517" s="25"/>
      <c r="K517" s="25"/>
      <c r="L517" s="25"/>
      <c r="M517" s="25"/>
      <c r="N517" s="25"/>
      <c r="O517" s="25"/>
      <c r="P517" s="25"/>
      <c r="Q517" s="25"/>
      <c r="R517" s="25"/>
      <c r="S517" s="25"/>
      <c r="T517" s="25"/>
      <c r="U517" s="25"/>
      <c r="V517" s="25"/>
      <c r="W517" s="25"/>
      <c r="X517" s="25"/>
      <c r="Y517" s="25"/>
      <c r="AC517" s="1174">
        <v>7</v>
      </c>
      <c r="AD517" s="1141"/>
      <c r="AE517" s="1141"/>
      <c r="AF517" s="1141"/>
      <c r="AG517" s="75" t="s">
        <v>438</v>
      </c>
      <c r="AH517" s="1124">
        <v>2019</v>
      </c>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4"/>
      <c r="C518" s="1265"/>
      <c r="D518" s="1265"/>
      <c r="E518" s="1265"/>
      <c r="F518" s="1265"/>
      <c r="G518" s="1265"/>
      <c r="H518" s="1266"/>
      <c r="I518" s="80" t="s">
        <v>457</v>
      </c>
      <c r="J518" s="80"/>
      <c r="K518" s="80"/>
      <c r="L518" s="80"/>
      <c r="M518" s="80"/>
      <c r="N518" s="80"/>
      <c r="O518" s="80"/>
      <c r="P518" s="80"/>
      <c r="Q518" s="80"/>
      <c r="R518" s="80"/>
      <c r="S518" s="80"/>
      <c r="T518" s="80"/>
      <c r="U518" s="80"/>
      <c r="V518" s="80"/>
      <c r="W518" s="80"/>
      <c r="X518" s="80"/>
      <c r="Y518" s="80"/>
      <c r="Z518" s="80"/>
      <c r="AA518" s="80"/>
      <c r="AB518" s="80"/>
      <c r="AC518" s="1174">
        <v>12</v>
      </c>
      <c r="AD518" s="1141"/>
      <c r="AE518" s="1141"/>
      <c r="AF518" s="1141"/>
      <c r="AG518" s="65" t="s">
        <v>438</v>
      </c>
      <c r="AH518" s="1124">
        <v>2019</v>
      </c>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4"/>
      <c r="C519" s="1265"/>
      <c r="D519" s="1265"/>
      <c r="E519" s="1265"/>
      <c r="F519" s="1265"/>
      <c r="G519" s="1265"/>
      <c r="H519" s="1266"/>
      <c r="I519" s="72" t="s">
        <v>458</v>
      </c>
      <c r="J519" s="72"/>
      <c r="K519" s="72"/>
      <c r="L519" s="72"/>
      <c r="M519" s="72"/>
      <c r="N519" s="72"/>
      <c r="O519" s="1091" t="s">
        <v>1719</v>
      </c>
      <c r="P519" s="1091"/>
      <c r="Q519" s="1091"/>
      <c r="R519" s="1091"/>
      <c r="S519" s="1091"/>
      <c r="T519" s="1091"/>
      <c r="U519" s="1091"/>
      <c r="V519" s="1091"/>
      <c r="W519" s="1091"/>
      <c r="X519" s="1091"/>
      <c r="Y519" s="1091"/>
      <c r="Z519" s="1091"/>
      <c r="AA519" s="1091"/>
      <c r="AC519" s="1174" t="s">
        <v>642</v>
      </c>
      <c r="AD519" s="1141"/>
      <c r="AE519" s="1141"/>
      <c r="AF519" s="1141"/>
      <c r="AG519" s="75" t="s">
        <v>438</v>
      </c>
      <c r="AH519" s="1124"/>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4"/>
      <c r="C520" s="1265"/>
      <c r="D520" s="1265"/>
      <c r="E520" s="1265"/>
      <c r="F520" s="1265"/>
      <c r="G520" s="1265"/>
      <c r="H520" s="1266"/>
      <c r="I520" s="25" t="s">
        <v>456</v>
      </c>
      <c r="J520" s="25"/>
      <c r="K520" s="25"/>
      <c r="L520" s="25"/>
      <c r="M520" s="25"/>
      <c r="N520" s="25"/>
      <c r="O520" s="25"/>
      <c r="P520" s="25"/>
      <c r="Q520" s="25"/>
      <c r="R520" s="25"/>
      <c r="S520" s="25"/>
      <c r="T520" s="25"/>
      <c r="U520" s="25"/>
      <c r="V520" s="25"/>
      <c r="W520" s="25"/>
      <c r="X520" s="25"/>
      <c r="Y520" s="25"/>
      <c r="AC520" s="1174">
        <v>11</v>
      </c>
      <c r="AD520" s="1141"/>
      <c r="AE520" s="1141"/>
      <c r="AF520" s="1141"/>
      <c r="AG520" s="75" t="s">
        <v>438</v>
      </c>
      <c r="AH520" s="1124">
        <v>2019</v>
      </c>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4"/>
      <c r="C521" s="1265"/>
      <c r="D521" s="1265"/>
      <c r="E521" s="1265"/>
      <c r="F521" s="1265"/>
      <c r="G521" s="1265"/>
      <c r="H521" s="1266"/>
      <c r="I521" s="80" t="s">
        <v>457</v>
      </c>
      <c r="J521" s="80"/>
      <c r="K521" s="80"/>
      <c r="L521" s="80"/>
      <c r="M521" s="80"/>
      <c r="N521" s="80"/>
      <c r="O521" s="80"/>
      <c r="P521" s="80"/>
      <c r="Q521" s="80"/>
      <c r="R521" s="80"/>
      <c r="S521" s="80"/>
      <c r="T521" s="80"/>
      <c r="U521" s="80"/>
      <c r="V521" s="80"/>
      <c r="W521" s="80"/>
      <c r="X521" s="80"/>
      <c r="Y521" s="80"/>
      <c r="Z521" s="80"/>
      <c r="AA521" s="80"/>
      <c r="AB521" s="80"/>
      <c r="AC521" s="1174">
        <v>2</v>
      </c>
      <c r="AD521" s="1141"/>
      <c r="AE521" s="1141"/>
      <c r="AF521" s="1141"/>
      <c r="AG521" s="65" t="s">
        <v>438</v>
      </c>
      <c r="AH521" s="1124">
        <v>2020</v>
      </c>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4"/>
      <c r="C522" s="1265"/>
      <c r="D522" s="1265"/>
      <c r="E522" s="1265"/>
      <c r="F522" s="1265"/>
      <c r="G522" s="1265"/>
      <c r="H522" s="1266"/>
      <c r="I522" s="72" t="s">
        <v>458</v>
      </c>
      <c r="J522" s="72"/>
      <c r="K522" s="72"/>
      <c r="L522" s="72"/>
      <c r="M522" s="72"/>
      <c r="N522" s="72"/>
      <c r="O522" s="1091" t="s">
        <v>1720</v>
      </c>
      <c r="P522" s="1091"/>
      <c r="Q522" s="1091"/>
      <c r="R522" s="1091"/>
      <c r="S522" s="1091"/>
      <c r="T522" s="1091"/>
      <c r="U522" s="1091"/>
      <c r="V522" s="1091"/>
      <c r="W522" s="1091"/>
      <c r="X522" s="1091"/>
      <c r="Y522" s="1091"/>
      <c r="Z522" s="1091"/>
      <c r="AA522" s="1091"/>
      <c r="AC522" s="1174" t="s">
        <v>642</v>
      </c>
      <c r="AD522" s="1141"/>
      <c r="AE522" s="1141"/>
      <c r="AF522" s="1141"/>
      <c r="AG522" s="75" t="s">
        <v>438</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4"/>
      <c r="C523" s="1265"/>
      <c r="D523" s="1265"/>
      <c r="E523" s="1265"/>
      <c r="F523" s="1265"/>
      <c r="G523" s="1265"/>
      <c r="H523" s="1266"/>
      <c r="I523" s="25" t="s">
        <v>456</v>
      </c>
      <c r="J523" s="25"/>
      <c r="K523" s="25"/>
      <c r="L523" s="25"/>
      <c r="M523" s="25"/>
      <c r="N523" s="25"/>
      <c r="O523" s="25"/>
      <c r="P523" s="25"/>
      <c r="Q523" s="25"/>
      <c r="R523" s="25"/>
      <c r="S523" s="25"/>
      <c r="T523" s="25"/>
      <c r="U523" s="25"/>
      <c r="V523" s="25"/>
      <c r="W523" s="25"/>
      <c r="X523" s="25"/>
      <c r="Y523" s="25"/>
      <c r="AC523" s="1174">
        <v>3</v>
      </c>
      <c r="AD523" s="1141"/>
      <c r="AE523" s="1141"/>
      <c r="AF523" s="1141"/>
      <c r="AG523" s="75" t="s">
        <v>438</v>
      </c>
      <c r="AH523" s="1124">
        <v>2020</v>
      </c>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4"/>
      <c r="C524" s="1265"/>
      <c r="D524" s="1265"/>
      <c r="E524" s="1265"/>
      <c r="F524" s="1265"/>
      <c r="G524" s="1265"/>
      <c r="H524" s="1266"/>
      <c r="I524" s="80" t="s">
        <v>457</v>
      </c>
      <c r="J524" s="80"/>
      <c r="K524" s="80"/>
      <c r="L524" s="80"/>
      <c r="M524" s="80"/>
      <c r="N524" s="80"/>
      <c r="O524" s="80"/>
      <c r="P524" s="80"/>
      <c r="Q524" s="80"/>
      <c r="R524" s="80"/>
      <c r="S524" s="80"/>
      <c r="T524" s="80"/>
      <c r="U524" s="80"/>
      <c r="V524" s="80"/>
      <c r="W524" s="80"/>
      <c r="X524" s="80"/>
      <c r="Y524" s="80"/>
      <c r="Z524" s="80"/>
      <c r="AA524" s="80"/>
      <c r="AB524" s="80"/>
      <c r="AC524" s="1174">
        <v>5</v>
      </c>
      <c r="AD524" s="1141"/>
      <c r="AE524" s="1141"/>
      <c r="AF524" s="1141"/>
      <c r="AG524" s="65" t="s">
        <v>438</v>
      </c>
      <c r="AH524" s="1124">
        <v>2020</v>
      </c>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4"/>
      <c r="C525" s="1265"/>
      <c r="D525" s="1265"/>
      <c r="E525" s="1265"/>
      <c r="F525" s="1265"/>
      <c r="G525" s="1265"/>
      <c r="H525" s="1266"/>
      <c r="I525" s="72" t="s">
        <v>458</v>
      </c>
      <c r="J525" s="72"/>
      <c r="K525" s="72"/>
      <c r="L525" s="72"/>
      <c r="M525" s="72"/>
      <c r="N525" s="72"/>
      <c r="O525" s="1091" t="s">
        <v>1725</v>
      </c>
      <c r="P525" s="1091"/>
      <c r="Q525" s="1091"/>
      <c r="R525" s="1091"/>
      <c r="S525" s="1091"/>
      <c r="T525" s="1091"/>
      <c r="U525" s="1091"/>
      <c r="V525" s="1091"/>
      <c r="W525" s="1091"/>
      <c r="X525" s="1091"/>
      <c r="Y525" s="1091"/>
      <c r="Z525" s="1091"/>
      <c r="AA525" s="1091"/>
      <c r="AC525" s="1174" t="s">
        <v>642</v>
      </c>
      <c r="AD525" s="1141"/>
      <c r="AE525" s="1141"/>
      <c r="AF525" s="1141"/>
      <c r="AG525" s="75" t="s">
        <v>438</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4"/>
      <c r="C526" s="1265"/>
      <c r="D526" s="1265"/>
      <c r="E526" s="1265"/>
      <c r="F526" s="1265"/>
      <c r="G526" s="1265"/>
      <c r="H526" s="1266"/>
      <c r="I526" s="25" t="s">
        <v>456</v>
      </c>
      <c r="J526" s="25"/>
      <c r="K526" s="25"/>
      <c r="L526" s="25"/>
      <c r="M526" s="25"/>
      <c r="N526" s="25"/>
      <c r="O526" s="25"/>
      <c r="P526" s="25"/>
      <c r="Q526" s="25"/>
      <c r="R526" s="25"/>
      <c r="S526" s="25"/>
      <c r="T526" s="25"/>
      <c r="U526" s="25"/>
      <c r="V526" s="25"/>
      <c r="W526" s="25"/>
      <c r="X526" s="25"/>
      <c r="Y526" s="25"/>
      <c r="AC526" s="1174">
        <v>3</v>
      </c>
      <c r="AD526" s="1141"/>
      <c r="AE526" s="1141"/>
      <c r="AF526" s="1141"/>
      <c r="AG526" s="65" t="s">
        <v>438</v>
      </c>
      <c r="AH526" s="1124">
        <v>2020</v>
      </c>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4"/>
      <c r="C527" s="1265"/>
      <c r="D527" s="1265"/>
      <c r="E527" s="1265"/>
      <c r="F527" s="1265"/>
      <c r="G527" s="1265"/>
      <c r="H527" s="1266"/>
      <c r="I527" s="80" t="s">
        <v>457</v>
      </c>
      <c r="J527" s="80"/>
      <c r="K527" s="80"/>
      <c r="L527" s="80"/>
      <c r="M527" s="80"/>
      <c r="N527" s="80"/>
      <c r="O527" s="80"/>
      <c r="P527" s="80"/>
      <c r="Q527" s="80"/>
      <c r="R527" s="80"/>
      <c r="S527" s="80"/>
      <c r="T527" s="80"/>
      <c r="U527" s="80"/>
      <c r="V527" s="80"/>
      <c r="W527" s="80"/>
      <c r="X527" s="80"/>
      <c r="Y527" s="80"/>
      <c r="Z527" s="80"/>
      <c r="AA527" s="80"/>
      <c r="AB527" s="80"/>
      <c r="AC527" s="1174">
        <v>5</v>
      </c>
      <c r="AD527" s="1141"/>
      <c r="AE527" s="1141"/>
      <c r="AF527" s="1141"/>
      <c r="AG527" s="75" t="s">
        <v>438</v>
      </c>
      <c r="AH527" s="1124">
        <v>2020</v>
      </c>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4"/>
      <c r="C528" s="1265"/>
      <c r="D528" s="1265"/>
      <c r="E528" s="1265"/>
      <c r="F528" s="1265"/>
      <c r="G528" s="1265"/>
      <c r="H528" s="1266"/>
      <c r="I528" s="72" t="s">
        <v>458</v>
      </c>
      <c r="J528" s="72"/>
      <c r="K528" s="72"/>
      <c r="L528" s="72"/>
      <c r="M528" s="72"/>
      <c r="N528" s="72"/>
      <c r="O528" s="1091" t="s">
        <v>357</v>
      </c>
      <c r="P528" s="1091"/>
      <c r="Q528" s="1091"/>
      <c r="R528" s="1091"/>
      <c r="S528" s="1091"/>
      <c r="T528" s="1091"/>
      <c r="U528" s="1091"/>
      <c r="V528" s="1091"/>
      <c r="W528" s="1091"/>
      <c r="X528" s="1091"/>
      <c r="Y528" s="1091"/>
      <c r="Z528" s="1091"/>
      <c r="AA528" s="1091"/>
      <c r="AC528" s="1174" t="s">
        <v>642</v>
      </c>
      <c r="AD528" s="1141"/>
      <c r="AE528" s="1141"/>
      <c r="AF528" s="1141"/>
      <c r="AG528" s="65" t="s">
        <v>438</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4"/>
      <c r="C529" s="1265"/>
      <c r="D529" s="1265"/>
      <c r="E529" s="1265"/>
      <c r="F529" s="1265"/>
      <c r="G529" s="1265"/>
      <c r="H529" s="1266"/>
      <c r="I529" s="25" t="s">
        <v>456</v>
      </c>
      <c r="J529" s="25"/>
      <c r="K529" s="25"/>
      <c r="L529" s="25"/>
      <c r="M529" s="25"/>
      <c r="N529" s="25"/>
      <c r="O529" s="25"/>
      <c r="P529" s="25"/>
      <c r="Q529" s="25"/>
      <c r="R529" s="25"/>
      <c r="S529" s="25"/>
      <c r="T529" s="25"/>
      <c r="U529" s="25"/>
      <c r="V529" s="25"/>
      <c r="W529" s="25"/>
      <c r="X529" s="25"/>
      <c r="Y529" s="25"/>
      <c r="AC529" s="1174" t="s">
        <v>642</v>
      </c>
      <c r="AD529" s="1141"/>
      <c r="AE529" s="1141"/>
      <c r="AF529" s="1141"/>
      <c r="AG529" s="75" t="s">
        <v>438</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4"/>
      <c r="C530" s="1265"/>
      <c r="D530" s="1265"/>
      <c r="E530" s="1265"/>
      <c r="F530" s="1265"/>
      <c r="G530" s="1265"/>
      <c r="H530" s="1266"/>
      <c r="I530" s="80" t="s">
        <v>457</v>
      </c>
      <c r="J530" s="80"/>
      <c r="K530" s="80"/>
      <c r="L530" s="80"/>
      <c r="M530" s="80"/>
      <c r="N530" s="80"/>
      <c r="O530" s="80"/>
      <c r="P530" s="80"/>
      <c r="Q530" s="80"/>
      <c r="R530" s="80"/>
      <c r="S530" s="80"/>
      <c r="T530" s="80"/>
      <c r="U530" s="80"/>
      <c r="V530" s="80"/>
      <c r="W530" s="80"/>
      <c r="X530" s="80"/>
      <c r="Y530" s="80"/>
      <c r="Z530" s="80"/>
      <c r="AA530" s="80"/>
      <c r="AB530" s="80"/>
      <c r="AC530" s="1174" t="s">
        <v>642</v>
      </c>
      <c r="AD530" s="1141"/>
      <c r="AE530" s="1141"/>
      <c r="AF530" s="1141"/>
      <c r="AG530" s="65" t="s">
        <v>438</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4"/>
      <c r="C531" s="1265"/>
      <c r="D531" s="1265"/>
      <c r="E531" s="1265"/>
      <c r="F531" s="1265"/>
      <c r="G531" s="1265"/>
      <c r="H531" s="1266"/>
      <c r="I531" s="72" t="s">
        <v>611</v>
      </c>
      <c r="J531" s="72"/>
      <c r="K531" s="72"/>
      <c r="L531" s="72"/>
      <c r="M531" s="72"/>
      <c r="N531" s="72"/>
      <c r="O531" s="72"/>
      <c r="P531" s="72"/>
      <c r="Q531" s="72"/>
      <c r="R531" s="72"/>
      <c r="S531" s="72"/>
      <c r="T531" s="72"/>
      <c r="U531" s="72"/>
      <c r="V531" s="72"/>
      <c r="W531" s="72"/>
      <c r="X531" s="25"/>
      <c r="Y531" s="25"/>
      <c r="AC531" s="1174" t="s">
        <v>642</v>
      </c>
      <c r="AD531" s="1141"/>
      <c r="AE531" s="1141"/>
      <c r="AF531" s="1141"/>
      <c r="AG531" s="65" t="s">
        <v>438</v>
      </c>
      <c r="AH531" s="1124"/>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4"/>
      <c r="C532" s="1265"/>
      <c r="D532" s="1265"/>
      <c r="E532" s="1265"/>
      <c r="F532" s="1265"/>
      <c r="G532" s="1265"/>
      <c r="H532" s="1266"/>
      <c r="I532" s="25" t="s">
        <v>612</v>
      </c>
      <c r="J532" s="25"/>
      <c r="K532" s="25"/>
      <c r="L532" s="25"/>
      <c r="M532" s="25"/>
      <c r="N532" s="25"/>
      <c r="O532" s="25"/>
      <c r="P532" s="25"/>
      <c r="Q532" s="25"/>
      <c r="R532" s="25"/>
      <c r="S532" s="25"/>
      <c r="T532" s="25"/>
      <c r="U532" s="25"/>
      <c r="V532" s="25"/>
      <c r="W532" s="25"/>
      <c r="X532" s="25"/>
      <c r="Y532" s="25"/>
      <c r="AC532" s="1174">
        <v>9</v>
      </c>
      <c r="AD532" s="1141"/>
      <c r="AE532" s="1141"/>
      <c r="AF532" s="1141"/>
      <c r="AG532" s="75" t="s">
        <v>438</v>
      </c>
      <c r="AH532" s="1124">
        <v>2020</v>
      </c>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4"/>
      <c r="C533" s="1265"/>
      <c r="D533" s="1265"/>
      <c r="E533" s="1265"/>
      <c r="F533" s="1265"/>
      <c r="G533" s="1265"/>
      <c r="H533" s="1266"/>
      <c r="I533" s="25" t="s">
        <v>613</v>
      </c>
      <c r="J533" s="25"/>
      <c r="K533" s="25"/>
      <c r="L533" s="25"/>
      <c r="M533" s="25"/>
      <c r="N533" s="25"/>
      <c r="O533" s="25"/>
      <c r="P533" s="25"/>
      <c r="Q533" s="25"/>
      <c r="R533" s="25"/>
      <c r="S533" s="25"/>
      <c r="T533" s="25"/>
      <c r="U533" s="25"/>
      <c r="V533" s="25"/>
      <c r="W533" s="25"/>
      <c r="X533" s="25"/>
      <c r="Y533" s="25"/>
      <c r="AC533" s="1174">
        <v>10</v>
      </c>
      <c r="AD533" s="1141"/>
      <c r="AE533" s="1141"/>
      <c r="AF533" s="1141"/>
      <c r="AG533" s="65" t="s">
        <v>438</v>
      </c>
      <c r="AH533" s="1124">
        <v>2022</v>
      </c>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4"/>
      <c r="C534" s="1265"/>
      <c r="D534" s="1265"/>
      <c r="E534" s="1265"/>
      <c r="F534" s="1265"/>
      <c r="G534" s="1265"/>
      <c r="H534" s="1266"/>
      <c r="I534" s="25" t="s">
        <v>614</v>
      </c>
      <c r="J534" s="25"/>
      <c r="K534" s="25"/>
      <c r="L534" s="25"/>
      <c r="M534" s="25"/>
      <c r="N534" s="25"/>
      <c r="O534" s="25"/>
      <c r="P534" s="25"/>
      <c r="Q534" s="25"/>
      <c r="R534" s="25"/>
      <c r="S534" s="25"/>
      <c r="T534" s="25"/>
      <c r="U534" s="25"/>
      <c r="V534" s="25"/>
      <c r="W534" s="25"/>
      <c r="X534" s="25"/>
      <c r="Y534" s="25"/>
      <c r="AC534" s="1174">
        <v>10</v>
      </c>
      <c r="AD534" s="1141"/>
      <c r="AE534" s="1141"/>
      <c r="AF534" s="1141"/>
      <c r="AG534" s="65" t="s">
        <v>438</v>
      </c>
      <c r="AH534" s="1124">
        <v>2022</v>
      </c>
      <c r="AI534" s="1124"/>
      <c r="AJ534" s="1124"/>
      <c r="AK534" s="11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496</v>
      </c>
      <c r="J535" s="80"/>
      <c r="K535" s="80"/>
      <c r="L535" s="80"/>
      <c r="M535" s="80"/>
      <c r="N535" s="80"/>
      <c r="O535" s="80"/>
      <c r="P535" s="80"/>
      <c r="Q535" s="80"/>
      <c r="R535" s="80"/>
      <c r="S535" s="80"/>
      <c r="T535" s="80"/>
      <c r="U535" s="80"/>
      <c r="V535" s="80"/>
      <c r="W535" s="80"/>
      <c r="X535" s="80"/>
      <c r="Y535" s="80"/>
      <c r="Z535" s="80"/>
      <c r="AA535" s="80"/>
      <c r="AB535" s="80"/>
      <c r="AC535" s="1174">
        <v>2</v>
      </c>
      <c r="AD535" s="1141"/>
      <c r="AE535" s="1141"/>
      <c r="AF535" s="1141"/>
      <c r="AG535" s="65" t="s">
        <v>438</v>
      </c>
      <c r="AH535" s="1124">
        <v>2023</v>
      </c>
      <c r="AI535" s="1124"/>
      <c r="AJ535" s="1124"/>
      <c r="AK535" s="11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3" t="s">
        <v>590</v>
      </c>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4"/>
      <c r="B538" s="974"/>
      <c r="C538" s="974"/>
      <c r="D538" s="974"/>
      <c r="E538" s="974"/>
      <c r="F538" s="974"/>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498</v>
      </c>
      <c r="C544" s="1133"/>
      <c r="D544" s="1133"/>
      <c r="E544" s="1133"/>
      <c r="F544" s="1133"/>
      <c r="G544" s="1133"/>
      <c r="H544" s="1133"/>
      <c r="I544" s="1133"/>
      <c r="J544" s="1133"/>
      <c r="K544" s="1133"/>
      <c r="L544" s="1133"/>
      <c r="M544" s="1133"/>
      <c r="N544" s="1133"/>
      <c r="O544" s="1134"/>
      <c r="P544" s="1132" t="s">
        <v>346</v>
      </c>
      <c r="Q544" s="1133"/>
      <c r="R544" s="1133"/>
      <c r="S544" s="1133"/>
      <c r="T544" s="1134"/>
      <c r="U544" s="1132" t="s">
        <v>499</v>
      </c>
      <c r="V544" s="1133"/>
      <c r="W544" s="1133"/>
      <c r="X544" s="1133"/>
      <c r="Y544" s="1134"/>
      <c r="Z544" s="1313" t="s">
        <v>1424</v>
      </c>
      <c r="AA544" s="1314"/>
      <c r="AB544" s="1314"/>
      <c r="AC544" s="1314"/>
      <c r="AD544" s="1315"/>
      <c r="AE544" s="1132" t="s">
        <v>500</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81" t="s">
        <v>1801</v>
      </c>
      <c r="D545" s="1157"/>
      <c r="E545" s="1157"/>
      <c r="F545" s="1157"/>
      <c r="G545" s="1157"/>
      <c r="H545" s="1157"/>
      <c r="I545" s="1157"/>
      <c r="J545" s="1157"/>
      <c r="K545" s="1157"/>
      <c r="L545" s="1157"/>
      <c r="M545" s="1157"/>
      <c r="N545" s="1157"/>
      <c r="O545" s="1182"/>
      <c r="P545" s="1123">
        <v>24</v>
      </c>
      <c r="Q545" s="1124"/>
      <c r="R545" s="1124"/>
      <c r="S545" s="1124"/>
      <c r="T545" s="1125"/>
      <c r="U545" s="1177">
        <v>4.9000000000000002E-2</v>
      </c>
      <c r="V545" s="1178"/>
      <c r="W545" s="1178"/>
      <c r="X545" s="1178"/>
      <c r="Y545" s="1179"/>
      <c r="Z545" s="1135" t="s">
        <v>1721</v>
      </c>
      <c r="AA545" s="1135"/>
      <c r="AB545" s="1135"/>
      <c r="AC545" s="1135"/>
      <c r="AD545" s="1136"/>
      <c r="AE545" s="1206">
        <v>27000000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81" t="s">
        <v>1723</v>
      </c>
      <c r="D546" s="1157"/>
      <c r="E546" s="1157"/>
      <c r="F546" s="1157"/>
      <c r="G546" s="1157"/>
      <c r="H546" s="1157"/>
      <c r="I546" s="1157"/>
      <c r="J546" s="1157"/>
      <c r="K546" s="1157"/>
      <c r="L546" s="1157"/>
      <c r="M546" s="1157"/>
      <c r="N546" s="1157"/>
      <c r="O546" s="1182"/>
      <c r="P546" s="1123">
        <v>24</v>
      </c>
      <c r="Q546" s="1124"/>
      <c r="R546" s="1124"/>
      <c r="S546" s="1124"/>
      <c r="T546" s="1125"/>
      <c r="U546" s="1177"/>
      <c r="V546" s="1178"/>
      <c r="W546" s="1178"/>
      <c r="X546" s="1178"/>
      <c r="Y546" s="1179"/>
      <c r="Z546" s="1135" t="s">
        <v>1722</v>
      </c>
      <c r="AA546" s="1135"/>
      <c r="AB546" s="1135"/>
      <c r="AC546" s="1135"/>
      <c r="AD546" s="1136"/>
      <c r="AE546" s="1206">
        <v>6440000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81" t="s">
        <v>1724</v>
      </c>
      <c r="D547" s="1157"/>
      <c r="E547" s="1157"/>
      <c r="F547" s="1157"/>
      <c r="G547" s="1157"/>
      <c r="H547" s="1157"/>
      <c r="I547" s="1157"/>
      <c r="J547" s="1157"/>
      <c r="K547" s="1157"/>
      <c r="L547" s="1157"/>
      <c r="M547" s="1157"/>
      <c r="N547" s="1157"/>
      <c r="O547" s="1182"/>
      <c r="P547" s="1123">
        <v>24</v>
      </c>
      <c r="Q547" s="1124"/>
      <c r="R547" s="1124"/>
      <c r="S547" s="1124"/>
      <c r="T547" s="1125"/>
      <c r="U547" s="1177">
        <v>0.03</v>
      </c>
      <c r="V547" s="1178"/>
      <c r="W547" s="1178"/>
      <c r="X547" s="1178"/>
      <c r="Y547" s="1179"/>
      <c r="Z547" s="1135" t="s">
        <v>1722</v>
      </c>
      <c r="AA547" s="1135"/>
      <c r="AB547" s="1135"/>
      <c r="AC547" s="1135"/>
      <c r="AD547" s="1136"/>
      <c r="AE547" s="1206">
        <v>2000000</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81" t="s">
        <v>1725</v>
      </c>
      <c r="D548" s="1157"/>
      <c r="E548" s="1157"/>
      <c r="F548" s="1157"/>
      <c r="G548" s="1157"/>
      <c r="H548" s="1157"/>
      <c r="I548" s="1157"/>
      <c r="J548" s="1157"/>
      <c r="K548" s="1157"/>
      <c r="L548" s="1157"/>
      <c r="M548" s="1157"/>
      <c r="N548" s="1157"/>
      <c r="O548" s="1182"/>
      <c r="P548" s="1123">
        <v>24</v>
      </c>
      <c r="Q548" s="1124"/>
      <c r="R548" s="1124"/>
      <c r="S548" s="1124"/>
      <c r="T548" s="1125"/>
      <c r="U548" s="1177"/>
      <c r="V548" s="1178"/>
      <c r="W548" s="1178"/>
      <c r="X548" s="1178"/>
      <c r="Y548" s="1179"/>
      <c r="Z548" s="1135" t="s">
        <v>1722</v>
      </c>
      <c r="AA548" s="1135"/>
      <c r="AB548" s="1135"/>
      <c r="AC548" s="1135"/>
      <c r="AD548" s="1136"/>
      <c r="AE548" s="1206">
        <v>890000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81" t="s">
        <v>1798</v>
      </c>
      <c r="D549" s="1157"/>
      <c r="E549" s="1157"/>
      <c r="F549" s="1157"/>
      <c r="G549" s="1157"/>
      <c r="H549" s="1157"/>
      <c r="I549" s="1157"/>
      <c r="J549" s="1157"/>
      <c r="K549" s="1157"/>
      <c r="L549" s="1157"/>
      <c r="M549" s="1157"/>
      <c r="N549" s="1157"/>
      <c r="O549" s="1182"/>
      <c r="P549" s="1123"/>
      <c r="Q549" s="1124"/>
      <c r="R549" s="1124"/>
      <c r="S549" s="1124"/>
      <c r="T549" s="1125"/>
      <c r="U549" s="1177"/>
      <c r="V549" s="1178"/>
      <c r="W549" s="1178"/>
      <c r="X549" s="1178"/>
      <c r="Y549" s="1179"/>
      <c r="Z549" s="1135" t="s">
        <v>642</v>
      </c>
      <c r="AA549" s="1135"/>
      <c r="AB549" s="1135"/>
      <c r="AC549" s="1135"/>
      <c r="AD549" s="1136"/>
      <c r="AE549" s="1206">
        <f>4166553-202500</f>
        <v>3964053</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81" t="s">
        <v>1726</v>
      </c>
      <c r="D550" s="1157"/>
      <c r="E550" s="1157"/>
      <c r="F550" s="1157"/>
      <c r="G550" s="1157"/>
      <c r="H550" s="1157"/>
      <c r="I550" s="1157"/>
      <c r="J550" s="1157"/>
      <c r="K550" s="1157"/>
      <c r="L550" s="1157"/>
      <c r="M550" s="1157"/>
      <c r="N550" s="1157"/>
      <c r="O550" s="1182"/>
      <c r="P550" s="1123"/>
      <c r="Q550" s="1124"/>
      <c r="R550" s="1124"/>
      <c r="S550" s="1124"/>
      <c r="T550" s="1125"/>
      <c r="U550" s="1177"/>
      <c r="V550" s="1178"/>
      <c r="W550" s="1178"/>
      <c r="X550" s="1178"/>
      <c r="Y550" s="1179"/>
      <c r="Z550" s="1135" t="s">
        <v>642</v>
      </c>
      <c r="AA550" s="1135"/>
      <c r="AB550" s="1135"/>
      <c r="AC550" s="1135"/>
      <c r="AD550" s="1136"/>
      <c r="AE550" s="1206">
        <v>2509656</v>
      </c>
      <c r="AF550" s="1207"/>
      <c r="AG550" s="1207"/>
      <c r="AH550" s="1207"/>
      <c r="AI550" s="1207"/>
      <c r="AJ550" s="1207"/>
      <c r="AK550" s="120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81" t="s">
        <v>1727</v>
      </c>
      <c r="D551" s="1157"/>
      <c r="E551" s="1157"/>
      <c r="F551" s="1157"/>
      <c r="G551" s="1157"/>
      <c r="H551" s="1157"/>
      <c r="I551" s="1157"/>
      <c r="J551" s="1157"/>
      <c r="K551" s="1157"/>
      <c r="L551" s="1157"/>
      <c r="M551" s="1157"/>
      <c r="N551" s="1157"/>
      <c r="O551" s="1182"/>
      <c r="P551" s="1123"/>
      <c r="Q551" s="1124"/>
      <c r="R551" s="1124"/>
      <c r="S551" s="1124"/>
      <c r="T551" s="1125"/>
      <c r="U551" s="1177"/>
      <c r="V551" s="1178"/>
      <c r="W551" s="1178"/>
      <c r="X551" s="1178"/>
      <c r="Y551" s="1179"/>
      <c r="Z551" s="1135" t="s">
        <v>642</v>
      </c>
      <c r="AA551" s="1135"/>
      <c r="AB551" s="1135"/>
      <c r="AC551" s="1135"/>
      <c r="AD551" s="1136"/>
      <c r="AE551" s="1206">
        <v>5688007</v>
      </c>
      <c r="AF551" s="1207"/>
      <c r="AG551" s="1207"/>
      <c r="AH551" s="1207"/>
      <c r="AI551" s="1207"/>
      <c r="AJ551" s="1207"/>
      <c r="AK551" s="1208"/>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7"/>
      <c r="D552" s="1157"/>
      <c r="E552" s="1157"/>
      <c r="F552" s="1157"/>
      <c r="G552" s="1157"/>
      <c r="H552" s="1157"/>
      <c r="I552" s="1157"/>
      <c r="J552" s="1157"/>
      <c r="K552" s="1157"/>
      <c r="L552" s="1157"/>
      <c r="M552" s="1157"/>
      <c r="N552" s="1157"/>
      <c r="O552" s="1182"/>
      <c r="P552" s="1123"/>
      <c r="Q552" s="1124"/>
      <c r="R552" s="1124"/>
      <c r="S552" s="1124"/>
      <c r="T552" s="1125"/>
      <c r="U552" s="1177"/>
      <c r="V552" s="1178"/>
      <c r="W552" s="1178"/>
      <c r="X552" s="1178"/>
      <c r="Y552" s="1179"/>
      <c r="Z552" s="1135" t="s">
        <v>1425</v>
      </c>
      <c r="AA552" s="1135"/>
      <c r="AB552" s="1135"/>
      <c r="AC552" s="1135"/>
      <c r="AD552" s="1136"/>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7"/>
      <c r="D553" s="1157"/>
      <c r="E553" s="1157"/>
      <c r="F553" s="1157"/>
      <c r="G553" s="1157"/>
      <c r="H553" s="1157"/>
      <c r="I553" s="1157"/>
      <c r="J553" s="1157"/>
      <c r="K553" s="1157"/>
      <c r="L553" s="1157"/>
      <c r="M553" s="1157"/>
      <c r="N553" s="1157"/>
      <c r="O553" s="1182"/>
      <c r="P553" s="1123"/>
      <c r="Q553" s="1124"/>
      <c r="R553" s="1124"/>
      <c r="S553" s="1124"/>
      <c r="T553" s="1125"/>
      <c r="U553" s="1177"/>
      <c r="V553" s="1178"/>
      <c r="W553" s="1178"/>
      <c r="X553" s="1178"/>
      <c r="Y553" s="1179"/>
      <c r="Z553" s="1135" t="s">
        <v>1425</v>
      </c>
      <c r="AA553" s="1135"/>
      <c r="AB553" s="1135"/>
      <c r="AC553" s="1135"/>
      <c r="AD553" s="1136"/>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7"/>
      <c r="D554" s="1157"/>
      <c r="E554" s="1157"/>
      <c r="F554" s="1157"/>
      <c r="G554" s="1157"/>
      <c r="H554" s="1157"/>
      <c r="I554" s="1157"/>
      <c r="J554" s="1157"/>
      <c r="K554" s="1157"/>
      <c r="L554" s="1157"/>
      <c r="M554" s="1157"/>
      <c r="N554" s="1157"/>
      <c r="O554" s="1182"/>
      <c r="P554" s="1123"/>
      <c r="Q554" s="1124"/>
      <c r="R554" s="1124"/>
      <c r="S554" s="1124"/>
      <c r="T554" s="1125"/>
      <c r="U554" s="1177"/>
      <c r="V554" s="1178"/>
      <c r="W554" s="1178"/>
      <c r="X554" s="1178"/>
      <c r="Y554" s="1179"/>
      <c r="Z554" s="1135" t="s">
        <v>1425</v>
      </c>
      <c r="AA554" s="1135"/>
      <c r="AB554" s="1135"/>
      <c r="AC554" s="1135"/>
      <c r="AD554" s="1136"/>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7"/>
      <c r="D555" s="1157"/>
      <c r="E555" s="1157"/>
      <c r="F555" s="1157"/>
      <c r="G555" s="1157"/>
      <c r="H555" s="1157"/>
      <c r="I555" s="1157"/>
      <c r="J555" s="1157"/>
      <c r="K555" s="1157"/>
      <c r="L555" s="1157"/>
      <c r="M555" s="1157"/>
      <c r="N555" s="1157"/>
      <c r="O555" s="1182"/>
      <c r="P555" s="1123"/>
      <c r="Q555" s="1124"/>
      <c r="R555" s="1124"/>
      <c r="S555" s="1124"/>
      <c r="T555" s="1125"/>
      <c r="U555" s="1177"/>
      <c r="V555" s="1178"/>
      <c r="W555" s="1178"/>
      <c r="X555" s="1178"/>
      <c r="Y555" s="1179"/>
      <c r="Z555" s="1135" t="s">
        <v>1425</v>
      </c>
      <c r="AA555" s="1135"/>
      <c r="AB555" s="1135"/>
      <c r="AC555" s="1135"/>
      <c r="AD555" s="1136"/>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7"/>
      <c r="D556" s="1157"/>
      <c r="E556" s="1157"/>
      <c r="F556" s="1157"/>
      <c r="G556" s="1157"/>
      <c r="H556" s="1157"/>
      <c r="I556" s="1157"/>
      <c r="J556" s="1157"/>
      <c r="K556" s="1157"/>
      <c r="L556" s="1157"/>
      <c r="M556" s="1157"/>
      <c r="N556" s="1157"/>
      <c r="O556" s="1182"/>
      <c r="P556" s="1123"/>
      <c r="Q556" s="1124"/>
      <c r="R556" s="1124"/>
      <c r="S556" s="1124"/>
      <c r="T556" s="1125"/>
      <c r="U556" s="1177"/>
      <c r="V556" s="1178"/>
      <c r="W556" s="1178"/>
      <c r="X556" s="1178"/>
      <c r="Y556" s="1179"/>
      <c r="Z556" s="1135" t="s">
        <v>1425</v>
      </c>
      <c r="AA556" s="1135"/>
      <c r="AB556" s="1135"/>
      <c r="AC556" s="1135"/>
      <c r="AD556" s="1136"/>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18">
        <f>SUM(AE545:AK556)</f>
        <v>48491716</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0" t="str">
        <f>C545</f>
        <v>US Bank, N.A.</v>
      </c>
      <c r="H559" s="1180"/>
      <c r="I559" s="1180"/>
      <c r="J559" s="1180"/>
      <c r="K559" s="1180"/>
      <c r="L559" s="1180"/>
      <c r="M559" s="1180"/>
      <c r="N559" s="1180"/>
      <c r="O559" s="1180"/>
      <c r="P559" s="1180"/>
      <c r="Q559" s="1180"/>
      <c r="R559" s="1180"/>
      <c r="S559" s="14"/>
      <c r="T559" s="87" t="s">
        <v>120</v>
      </c>
      <c r="U559" s="12" t="s">
        <v>510</v>
      </c>
      <c r="Z559" s="1180" t="str">
        <f>C546</f>
        <v>LACDA - NPLH</v>
      </c>
      <c r="AA559" s="1180"/>
      <c r="AB559" s="1180"/>
      <c r="AC559" s="1180"/>
      <c r="AD559" s="1180"/>
      <c r="AE559" s="1180"/>
      <c r="AF559" s="1180"/>
      <c r="AG559" s="1180"/>
      <c r="AH559" s="1180"/>
      <c r="AI559" s="1180"/>
      <c r="AJ559" s="1180"/>
      <c r="AK559" s="118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1" t="s">
        <v>1787</v>
      </c>
      <c r="H560" s="1091"/>
      <c r="I560" s="1091"/>
      <c r="J560" s="1091"/>
      <c r="K560" s="1091"/>
      <c r="L560" s="1091"/>
      <c r="M560" s="1091"/>
      <c r="N560" s="1091"/>
      <c r="O560" s="1091"/>
      <c r="P560" s="1091"/>
      <c r="Q560" s="1091"/>
      <c r="R560" s="1091"/>
      <c r="S560" s="14"/>
      <c r="T560" s="35"/>
      <c r="U560" s="12" t="s">
        <v>92</v>
      </c>
      <c r="Z560" s="1091" t="s">
        <v>1728</v>
      </c>
      <c r="AA560" s="1091"/>
      <c r="AB560" s="1091"/>
      <c r="AC560" s="1091"/>
      <c r="AD560" s="1091"/>
      <c r="AE560" s="1091"/>
      <c r="AF560" s="1091"/>
      <c r="AG560" s="1091"/>
      <c r="AH560" s="1091"/>
      <c r="AI560" s="1091"/>
      <c r="AJ560" s="1091"/>
      <c r="AK560" s="109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1" t="s">
        <v>1788</v>
      </c>
      <c r="H561" s="1091"/>
      <c r="I561" s="1091"/>
      <c r="J561" s="1091"/>
      <c r="K561" s="1091"/>
      <c r="L561" s="1091"/>
      <c r="M561" s="1091"/>
      <c r="N561" s="1091"/>
      <c r="O561" s="1091"/>
      <c r="P561" s="1091"/>
      <c r="Q561" s="1091"/>
      <c r="R561" s="1091"/>
      <c r="S561" s="88"/>
      <c r="T561" s="35"/>
      <c r="U561" s="12" t="s">
        <v>631</v>
      </c>
      <c r="Z561" s="1090" t="s">
        <v>1729</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1" t="s">
        <v>1786</v>
      </c>
      <c r="H562" s="1091"/>
      <c r="I562" s="1091"/>
      <c r="J562" s="1091"/>
      <c r="K562" s="1091"/>
      <c r="L562" s="1091"/>
      <c r="M562" s="1091"/>
      <c r="N562" s="1091"/>
      <c r="O562" s="1091"/>
      <c r="P562" s="1091"/>
      <c r="Q562" s="1091"/>
      <c r="R562" s="1091"/>
      <c r="S562" s="14"/>
      <c r="T562" s="35"/>
      <c r="U562" s="12" t="s">
        <v>19</v>
      </c>
      <c r="Z562" s="1090" t="s">
        <v>1730</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0" t="s">
        <v>1789</v>
      </c>
      <c r="H563" s="1127"/>
      <c r="I563" s="1127"/>
      <c r="J563" s="1127"/>
      <c r="K563" s="1127"/>
      <c r="L563" s="1127"/>
      <c r="O563" s="140" t="s">
        <v>220</v>
      </c>
      <c r="P563" s="1157"/>
      <c r="Q563" s="1157"/>
      <c r="R563" s="1157"/>
      <c r="S563" s="16"/>
      <c r="T563" s="35"/>
      <c r="U563" s="12" t="s">
        <v>338</v>
      </c>
      <c r="Z563" s="1260" t="s">
        <v>1731</v>
      </c>
      <c r="AA563" s="1127"/>
      <c r="AB563" s="1127"/>
      <c r="AC563" s="1127"/>
      <c r="AD563" s="1127"/>
      <c r="AE563" s="1127"/>
      <c r="AH563" s="140" t="s">
        <v>220</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1" t="s">
        <v>1790</v>
      </c>
      <c r="I564" s="1091"/>
      <c r="J564" s="1091"/>
      <c r="K564" s="1091"/>
      <c r="L564" s="1091"/>
      <c r="M564" s="1091"/>
      <c r="N564" s="1091"/>
      <c r="O564" s="1091"/>
      <c r="P564" s="1091"/>
      <c r="Q564" s="1091"/>
      <c r="R564" s="1091"/>
      <c r="S564" s="14"/>
      <c r="T564" s="35"/>
      <c r="U564" s="12" t="s">
        <v>20</v>
      </c>
      <c r="AA564" s="1091" t="s">
        <v>505</v>
      </c>
      <c r="AB564" s="1091"/>
      <c r="AC564" s="1091"/>
      <c r="AD564" s="1091"/>
      <c r="AE564" s="1091"/>
      <c r="AF564" s="1091"/>
      <c r="AG564" s="1091"/>
      <c r="AH564" s="1091"/>
      <c r="AI564" s="1091"/>
      <c r="AJ564" s="1091"/>
      <c r="AK564" s="109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4" t="s">
        <v>1733</v>
      </c>
      <c r="N565" s="1304"/>
      <c r="O565" s="1304"/>
      <c r="P565" s="1304"/>
      <c r="Q565" s="1304"/>
      <c r="R565" s="1304"/>
      <c r="S565" s="14"/>
      <c r="T565" s="35"/>
      <c r="U565" s="530" t="s">
        <v>1426</v>
      </c>
      <c r="V565" s="743"/>
      <c r="W565" s="743"/>
      <c r="X565" s="743"/>
      <c r="Y565" s="743"/>
      <c r="Z565" s="743"/>
      <c r="AA565" s="14"/>
      <c r="AB565" s="14"/>
      <c r="AC565" s="14"/>
      <c r="AD565" s="14"/>
      <c r="AE565" s="14"/>
      <c r="AF565" s="1304"/>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592</v>
      </c>
      <c r="O566" s="1121"/>
      <c r="T566" s="35"/>
      <c r="U566" s="12" t="s">
        <v>22</v>
      </c>
      <c r="AG566" s="1121" t="s">
        <v>592</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t="str">
        <f>C547</f>
        <v>LACDA - AHTF</v>
      </c>
      <c r="H568" s="1180"/>
      <c r="I568" s="1180"/>
      <c r="J568" s="1180"/>
      <c r="K568" s="1180"/>
      <c r="L568" s="1180"/>
      <c r="M568" s="1180"/>
      <c r="N568" s="1180"/>
      <c r="O568" s="1180"/>
      <c r="P568" s="1180"/>
      <c r="Q568" s="1180"/>
      <c r="R568" s="1180"/>
      <c r="T568" s="87" t="s">
        <v>632</v>
      </c>
      <c r="U568" s="12" t="s">
        <v>510</v>
      </c>
      <c r="Z568" s="1180" t="str">
        <f>C548</f>
        <v>FHLB SF AHP</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1" t="s">
        <v>1728</v>
      </c>
      <c r="H569" s="1091"/>
      <c r="I569" s="1091"/>
      <c r="J569" s="1091"/>
      <c r="K569" s="1091"/>
      <c r="L569" s="1091"/>
      <c r="M569" s="1091"/>
      <c r="N569" s="1091"/>
      <c r="O569" s="1091"/>
      <c r="P569" s="1091"/>
      <c r="Q569" s="1091"/>
      <c r="R569" s="1091"/>
      <c r="T569" s="35"/>
      <c r="U569" s="12" t="s">
        <v>92</v>
      </c>
      <c r="Z569" s="1256" t="s">
        <v>1791</v>
      </c>
      <c r="AA569" s="1255"/>
      <c r="AB569" s="1255"/>
      <c r="AC569" s="1255"/>
      <c r="AD569" s="1255"/>
      <c r="AE569" s="1255"/>
      <c r="AF569" s="1255"/>
      <c r="AG569" s="1255"/>
      <c r="AH569" s="1255"/>
      <c r="AI569" s="1255"/>
      <c r="AJ569" s="1255"/>
      <c r="AK569" s="125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0" t="s">
        <v>1729</v>
      </c>
      <c r="H570" s="1090"/>
      <c r="I570" s="1090"/>
      <c r="J570" s="1090"/>
      <c r="K570" s="1090"/>
      <c r="L570" s="1090"/>
      <c r="M570" s="1090"/>
      <c r="N570" s="1090"/>
      <c r="O570" s="1090"/>
      <c r="P570" s="1090"/>
      <c r="Q570" s="1090"/>
      <c r="R570" s="1090"/>
      <c r="T570" s="35"/>
      <c r="U570" s="12" t="s">
        <v>631</v>
      </c>
      <c r="Z570" s="1106" t="s">
        <v>1792</v>
      </c>
      <c r="AA570" s="1090"/>
      <c r="AB570" s="1090"/>
      <c r="AC570" s="1090"/>
      <c r="AD570" s="1090"/>
      <c r="AE570" s="1090"/>
      <c r="AF570" s="1090"/>
      <c r="AG570" s="1090"/>
      <c r="AH570" s="1090"/>
      <c r="AI570" s="1090"/>
      <c r="AJ570" s="1090"/>
      <c r="AK570" s="109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0" t="s">
        <v>1730</v>
      </c>
      <c r="H571" s="1090"/>
      <c r="I571" s="1090"/>
      <c r="J571" s="1090"/>
      <c r="K571" s="1090"/>
      <c r="L571" s="1090"/>
      <c r="M571" s="1090"/>
      <c r="N571" s="1090"/>
      <c r="O571" s="1090"/>
      <c r="P571" s="1090"/>
      <c r="Q571" s="1090"/>
      <c r="R571" s="1090"/>
      <c r="T571" s="35"/>
      <c r="U571" s="12" t="s">
        <v>19</v>
      </c>
      <c r="Z571" s="1106" t="s">
        <v>1793</v>
      </c>
      <c r="AA571" s="1090"/>
      <c r="AB571" s="1090"/>
      <c r="AC571" s="1090"/>
      <c r="AD571" s="1090"/>
      <c r="AE571" s="1090"/>
      <c r="AF571" s="1090"/>
      <c r="AG571" s="1090"/>
      <c r="AH571" s="1090"/>
      <c r="AI571" s="1090"/>
      <c r="AJ571" s="1090"/>
      <c r="AK571" s="109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0" t="s">
        <v>1731</v>
      </c>
      <c r="H572" s="1127"/>
      <c r="I572" s="1127"/>
      <c r="J572" s="1127"/>
      <c r="K572" s="1127"/>
      <c r="L572" s="1127"/>
      <c r="O572" s="140" t="s">
        <v>220</v>
      </c>
      <c r="P572" s="1157"/>
      <c r="Q572" s="1157"/>
      <c r="R572" s="1157"/>
      <c r="T572" s="35"/>
      <c r="U572" s="12" t="s">
        <v>338</v>
      </c>
      <c r="Z572" s="1303" t="s">
        <v>1794</v>
      </c>
      <c r="AA572" s="1303"/>
      <c r="AB572" s="1303"/>
      <c r="AC572" s="1303"/>
      <c r="AD572" s="1303"/>
      <c r="AE572" s="1303"/>
      <c r="AH572" s="140" t="s">
        <v>220</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1" t="s">
        <v>505</v>
      </c>
      <c r="I573" s="1091"/>
      <c r="J573" s="1091"/>
      <c r="K573" s="1091"/>
      <c r="L573" s="1091"/>
      <c r="M573" s="1091"/>
      <c r="N573" s="1091"/>
      <c r="O573" s="1091"/>
      <c r="P573" s="1091"/>
      <c r="Q573" s="1091"/>
      <c r="R573" s="1091"/>
      <c r="T573" s="35"/>
      <c r="U573" s="12" t="s">
        <v>20</v>
      </c>
      <c r="AA573" s="1091" t="s">
        <v>505</v>
      </c>
      <c r="AB573" s="1091"/>
      <c r="AC573" s="1091"/>
      <c r="AD573" s="1091"/>
      <c r="AE573" s="1091"/>
      <c r="AF573" s="1091"/>
      <c r="AG573" s="1091"/>
      <c r="AH573" s="1091"/>
      <c r="AI573" s="1091"/>
      <c r="AJ573" s="1091"/>
      <c r="AK573" s="109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592</v>
      </c>
      <c r="O574" s="1121"/>
      <c r="T574" s="35"/>
      <c r="U574" s="12" t="s">
        <v>22</v>
      </c>
      <c r="AG574" s="1121" t="s">
        <v>723</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t="str">
        <f>C549</f>
        <v>US Bank CDC</v>
      </c>
      <c r="H576" s="1180"/>
      <c r="I576" s="1180"/>
      <c r="J576" s="1180"/>
      <c r="K576" s="1180"/>
      <c r="L576" s="1180"/>
      <c r="M576" s="1180"/>
      <c r="N576" s="1180"/>
      <c r="O576" s="1180"/>
      <c r="P576" s="1180"/>
      <c r="Q576" s="1180"/>
      <c r="R576" s="1180"/>
      <c r="T576" s="87" t="s">
        <v>635</v>
      </c>
      <c r="U576" s="12" t="s">
        <v>510</v>
      </c>
      <c r="Z576" s="1180" t="str">
        <f>C550</f>
        <v>GP Equity</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1" t="s">
        <v>1787</v>
      </c>
      <c r="H577" s="1091"/>
      <c r="I577" s="1091"/>
      <c r="J577" s="1091"/>
      <c r="K577" s="1091"/>
      <c r="L577" s="1091"/>
      <c r="M577" s="1091"/>
      <c r="N577" s="1091"/>
      <c r="O577" s="1091"/>
      <c r="P577" s="1091"/>
      <c r="Q577" s="1091"/>
      <c r="R577" s="1091"/>
      <c r="T577" s="35"/>
      <c r="U577" s="12" t="s">
        <v>92</v>
      </c>
      <c r="Z577" s="1091" t="s">
        <v>1655</v>
      </c>
      <c r="AA577" s="1091"/>
      <c r="AB577" s="1091"/>
      <c r="AC577" s="1091"/>
      <c r="AD577" s="1091"/>
      <c r="AE577" s="1091"/>
      <c r="AF577" s="1091"/>
      <c r="AG577" s="1091"/>
      <c r="AH577" s="1091"/>
      <c r="AI577" s="1091"/>
      <c r="AJ577" s="1091"/>
      <c r="AK577" s="109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1" t="s">
        <v>1788</v>
      </c>
      <c r="H578" s="1091"/>
      <c r="I578" s="1091"/>
      <c r="J578" s="1091"/>
      <c r="K578" s="1091"/>
      <c r="L578" s="1091"/>
      <c r="M578" s="1091"/>
      <c r="N578" s="1091"/>
      <c r="O578" s="1091"/>
      <c r="P578" s="1091"/>
      <c r="Q578" s="1091"/>
      <c r="R578" s="1091"/>
      <c r="T578" s="35"/>
      <c r="U578" s="12" t="s">
        <v>631</v>
      </c>
      <c r="Z578" s="1090" t="s">
        <v>1795</v>
      </c>
      <c r="AA578" s="1090"/>
      <c r="AB578" s="1090"/>
      <c r="AC578" s="1090"/>
      <c r="AD578" s="1090"/>
      <c r="AE578" s="1090"/>
      <c r="AF578" s="1090"/>
      <c r="AG578" s="1090"/>
      <c r="AH578" s="1090"/>
      <c r="AI578" s="1090"/>
      <c r="AJ578" s="1090"/>
      <c r="AK578" s="109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1" t="s">
        <v>1799</v>
      </c>
      <c r="H579" s="1091"/>
      <c r="I579" s="1091"/>
      <c r="J579" s="1091"/>
      <c r="K579" s="1091"/>
      <c r="L579" s="1091"/>
      <c r="M579" s="1091"/>
      <c r="N579" s="1091"/>
      <c r="O579" s="1091"/>
      <c r="P579" s="1091"/>
      <c r="Q579" s="1091"/>
      <c r="R579" s="1091"/>
      <c r="T579" s="35"/>
      <c r="U579" s="12" t="s">
        <v>19</v>
      </c>
      <c r="Z579" s="1090" t="s">
        <v>1657</v>
      </c>
      <c r="AA579" s="1090"/>
      <c r="AB579" s="1090"/>
      <c r="AC579" s="1090"/>
      <c r="AD579" s="1090"/>
      <c r="AE579" s="1090"/>
      <c r="AF579" s="1090"/>
      <c r="AG579" s="1090"/>
      <c r="AH579" s="1090"/>
      <c r="AI579" s="1090"/>
      <c r="AJ579" s="1090"/>
      <c r="AK579" s="109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0" t="s">
        <v>1800</v>
      </c>
      <c r="H580" s="1127"/>
      <c r="I580" s="1127"/>
      <c r="J580" s="1127"/>
      <c r="K580" s="1127"/>
      <c r="L580" s="1127"/>
      <c r="O580" s="140" t="s">
        <v>220</v>
      </c>
      <c r="P580" s="1157"/>
      <c r="Q580" s="1157"/>
      <c r="R580" s="1157"/>
      <c r="T580" s="35"/>
      <c r="U580" s="12" t="s">
        <v>338</v>
      </c>
      <c r="Z580" s="1260" t="s">
        <v>1796</v>
      </c>
      <c r="AA580" s="1127"/>
      <c r="AB580" s="1127"/>
      <c r="AC580" s="1127"/>
      <c r="AD580" s="1127"/>
      <c r="AE580" s="1127"/>
      <c r="AH580" s="140" t="s">
        <v>220</v>
      </c>
      <c r="AI580" s="1157"/>
      <c r="AJ580" s="1157"/>
      <c r="AK580" s="1157"/>
    </row>
    <row r="581" spans="1:112" ht="12.75">
      <c r="A581" s="35"/>
      <c r="B581" s="12" t="s">
        <v>20</v>
      </c>
      <c r="H581" s="1091" t="s">
        <v>1797</v>
      </c>
      <c r="I581" s="1091"/>
      <c r="J581" s="1091"/>
      <c r="K581" s="1091"/>
      <c r="L581" s="1091"/>
      <c r="M581" s="1091"/>
      <c r="N581" s="1091"/>
      <c r="O581" s="1091"/>
      <c r="P581" s="1091"/>
      <c r="Q581" s="1091"/>
      <c r="R581" s="1091"/>
      <c r="T581" s="35"/>
      <c r="U581" s="12" t="s">
        <v>20</v>
      </c>
      <c r="AA581" s="1091" t="s">
        <v>1797</v>
      </c>
      <c r="AB581" s="1091"/>
      <c r="AC581" s="1091"/>
      <c r="AD581" s="1091"/>
      <c r="AE581" s="1091"/>
      <c r="AF581" s="1091"/>
      <c r="AG581" s="1091"/>
      <c r="AH581" s="1091"/>
      <c r="AI581" s="1091"/>
      <c r="AJ581" s="1091"/>
      <c r="AK581" s="109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723</v>
      </c>
      <c r="O582" s="1121"/>
      <c r="T582" s="35"/>
      <c r="U582" s="12" t="s">
        <v>22</v>
      </c>
      <c r="AG582" s="1121" t="s">
        <v>592</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t="str">
        <f>C551</f>
        <v>Deferred Costs &amp; Fees</v>
      </c>
      <c r="H584" s="1180"/>
      <c r="I584" s="1180"/>
      <c r="J584" s="1180"/>
      <c r="K584" s="1180"/>
      <c r="L584" s="1180"/>
      <c r="M584" s="1180"/>
      <c r="N584" s="1180"/>
      <c r="O584" s="1180"/>
      <c r="P584" s="1180"/>
      <c r="Q584" s="1180"/>
      <c r="R584" s="1180"/>
      <c r="T584" s="87" t="s">
        <v>502</v>
      </c>
      <c r="U584" s="12" t="s">
        <v>510</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1" t="s">
        <v>1655</v>
      </c>
      <c r="H585" s="1091"/>
      <c r="I585" s="1091"/>
      <c r="J585" s="1091"/>
      <c r="K585" s="1091"/>
      <c r="L585" s="1091"/>
      <c r="M585" s="1091"/>
      <c r="N585" s="1091"/>
      <c r="O585" s="1091"/>
      <c r="P585" s="1091"/>
      <c r="Q585" s="1091"/>
      <c r="R585" s="1091"/>
      <c r="T585" s="35"/>
      <c r="U585" s="12" t="s">
        <v>92</v>
      </c>
      <c r="Z585" s="1091"/>
      <c r="AA585" s="1091"/>
      <c r="AB585" s="1091"/>
      <c r="AC585" s="1091"/>
      <c r="AD585" s="1091"/>
      <c r="AE585" s="1091"/>
      <c r="AF585" s="1091"/>
      <c r="AG585" s="1091"/>
      <c r="AH585" s="1091"/>
      <c r="AI585" s="1091"/>
      <c r="AJ585" s="1091"/>
      <c r="AK585" s="109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0" t="s">
        <v>1795</v>
      </c>
      <c r="H586" s="1090"/>
      <c r="I586" s="1090"/>
      <c r="J586" s="1090"/>
      <c r="K586" s="1090"/>
      <c r="L586" s="1090"/>
      <c r="M586" s="1090"/>
      <c r="N586" s="1090"/>
      <c r="O586" s="1090"/>
      <c r="P586" s="1090"/>
      <c r="Q586" s="1090"/>
      <c r="R586" s="1090"/>
      <c r="S586" s="12"/>
      <c r="T586" s="35"/>
      <c r="U586" s="12" t="s">
        <v>631</v>
      </c>
      <c r="V586" s="12"/>
      <c r="W586" s="12"/>
      <c r="X586" s="12"/>
      <c r="Y586" s="12"/>
      <c r="Z586" s="1090"/>
      <c r="AA586" s="1090"/>
      <c r="AB586" s="1090"/>
      <c r="AC586" s="1090"/>
      <c r="AD586" s="1090"/>
      <c r="AE586" s="1090"/>
      <c r="AF586" s="1090"/>
      <c r="AG586" s="1090"/>
      <c r="AH586" s="1090"/>
      <c r="AI586" s="1090"/>
      <c r="AJ586" s="1090"/>
      <c r="AK586" s="109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0" t="s">
        <v>1657</v>
      </c>
      <c r="H587" s="1090"/>
      <c r="I587" s="1090"/>
      <c r="J587" s="1090"/>
      <c r="K587" s="1090"/>
      <c r="L587" s="1090"/>
      <c r="M587" s="1090"/>
      <c r="N587" s="1090"/>
      <c r="O587" s="1090"/>
      <c r="P587" s="1090"/>
      <c r="Q587" s="1090"/>
      <c r="R587" s="1090"/>
      <c r="S587" s="12"/>
      <c r="T587" s="35"/>
      <c r="U587" s="12" t="s">
        <v>19</v>
      </c>
      <c r="V587" s="12"/>
      <c r="W587" s="12"/>
      <c r="X587" s="12"/>
      <c r="Y587" s="12"/>
      <c r="Z587" s="1090"/>
      <c r="AA587" s="1090"/>
      <c r="AB587" s="1090"/>
      <c r="AC587" s="1090"/>
      <c r="AD587" s="1090"/>
      <c r="AE587" s="1090"/>
      <c r="AF587" s="1090"/>
      <c r="AG587" s="1090"/>
      <c r="AH587" s="1090"/>
      <c r="AI587" s="1090"/>
      <c r="AJ587" s="1090"/>
      <c r="AK587" s="109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60" t="s">
        <v>1796</v>
      </c>
      <c r="H588" s="1127"/>
      <c r="I588" s="1127"/>
      <c r="J588" s="1127"/>
      <c r="K588" s="1127"/>
      <c r="L588" s="1127"/>
      <c r="M588" s="12"/>
      <c r="N588" s="12"/>
      <c r="O588" s="140" t="s">
        <v>220</v>
      </c>
      <c r="P588" s="1157"/>
      <c r="Q588" s="1157"/>
      <c r="R588" s="1157"/>
      <c r="S588" s="12"/>
      <c r="T588" s="35"/>
      <c r="U588" s="12" t="s">
        <v>338</v>
      </c>
      <c r="V588" s="12"/>
      <c r="W588" s="12"/>
      <c r="X588" s="12"/>
      <c r="Y588" s="12"/>
      <c r="Z588" s="1127"/>
      <c r="AA588" s="1127"/>
      <c r="AB588" s="1127"/>
      <c r="AC588" s="1127"/>
      <c r="AD588" s="1127"/>
      <c r="AE588" s="1127"/>
      <c r="AF588" s="12"/>
      <c r="AG588" s="12"/>
      <c r="AH588" s="140" t="s">
        <v>220</v>
      </c>
      <c r="AI588" s="1157"/>
      <c r="AJ588" s="1157"/>
      <c r="AK588" s="1157"/>
      <c r="AL588" s="12"/>
      <c r="AM588" s="7" t="s">
        <v>347</v>
      </c>
      <c r="AN588" s="58"/>
      <c r="AO588" s="58"/>
      <c r="AP588" s="58"/>
      <c r="AQ588" s="58"/>
      <c r="AR588" s="193" t="s">
        <v>521</v>
      </c>
      <c r="AS588" s="194"/>
      <c r="AT588" s="1296"/>
      <c r="AU588" s="1297"/>
      <c r="AV588" s="193" t="s">
        <v>522</v>
      </c>
      <c r="AW588" s="194"/>
      <c r="AX588" s="1296"/>
      <c r="AY588" s="1297"/>
      <c r="AZ588" s="58"/>
      <c r="BA588" s="1570" t="s">
        <v>684</v>
      </c>
      <c r="BB588" s="1571"/>
      <c r="BC588" s="1571"/>
      <c r="BD588" s="1571"/>
      <c r="BE588" s="1572"/>
      <c r="BF588" s="1302" t="s">
        <v>348</v>
      </c>
      <c r="BG588" s="1302"/>
      <c r="BH588" s="1302"/>
      <c r="BI588" s="1302"/>
      <c r="BJ588" s="1302"/>
      <c r="BK588" s="1302" t="s">
        <v>170</v>
      </c>
      <c r="BL588" s="1302"/>
      <c r="BM588" s="1302"/>
      <c r="BN588" s="1302"/>
      <c r="BO588" s="1302"/>
      <c r="BP588" s="1302" t="s">
        <v>171</v>
      </c>
      <c r="BQ588" s="1302"/>
      <c r="BR588" s="1302"/>
      <c r="BS588" s="1302"/>
      <c r="BT588" s="1302"/>
      <c r="BU588" s="1302" t="s">
        <v>507</v>
      </c>
      <c r="BV588" s="1302"/>
      <c r="BW588" s="1302"/>
      <c r="BX588" s="1302"/>
      <c r="BY588" s="1302"/>
      <c r="BZ588" s="1302" t="s">
        <v>33</v>
      </c>
      <c r="CA588" s="1302"/>
      <c r="CB588" s="1302"/>
      <c r="CC588" s="1302"/>
      <c r="CD588" s="1302"/>
      <c r="CE588" s="1302" t="s">
        <v>684</v>
      </c>
      <c r="CF588" s="1302"/>
      <c r="CG588" s="1302"/>
      <c r="CH588" s="1302"/>
      <c r="CI588" s="1302"/>
      <c r="CJ588" s="1302" t="s">
        <v>348</v>
      </c>
      <c r="CK588" s="1302"/>
      <c r="CL588" s="1302"/>
      <c r="CM588" s="1302"/>
      <c r="CN588" s="1302"/>
      <c r="CO588" s="1302" t="s">
        <v>170</v>
      </c>
      <c r="CP588" s="1302"/>
      <c r="CQ588" s="1302"/>
      <c r="CR588" s="1302"/>
      <c r="CS588" s="1302"/>
      <c r="CT588" s="1302" t="s">
        <v>171</v>
      </c>
      <c r="CU588" s="1302"/>
      <c r="CV588" s="1302"/>
      <c r="CW588" s="1302"/>
      <c r="CX588" s="1302"/>
      <c r="CY588" s="1302" t="s">
        <v>507</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91" t="s">
        <v>1734</v>
      </c>
      <c r="I589" s="1091"/>
      <c r="J589" s="1091"/>
      <c r="K589" s="1091"/>
      <c r="L589" s="1091"/>
      <c r="M589" s="1091"/>
      <c r="N589" s="1091"/>
      <c r="O589" s="1091"/>
      <c r="P589" s="1091"/>
      <c r="Q589" s="1091"/>
      <c r="R589" s="1091"/>
      <c r="S589" s="12"/>
      <c r="T589" s="35"/>
      <c r="U589" s="12" t="s">
        <v>20</v>
      </c>
      <c r="V589" s="12"/>
      <c r="W589" s="12"/>
      <c r="X589" s="12"/>
      <c r="Y589" s="12"/>
      <c r="Z589" s="12"/>
      <c r="AA589" s="1091"/>
      <c r="AB589" s="1091"/>
      <c r="AC589" s="1091"/>
      <c r="AD589" s="1091"/>
      <c r="AE589" s="1091"/>
      <c r="AF589" s="1091"/>
      <c r="AG589" s="1091"/>
      <c r="AH589" s="1091"/>
      <c r="AI589" s="1091"/>
      <c r="AJ589" s="1091"/>
      <c r="AK589" s="1091"/>
      <c r="AL589" s="12"/>
      <c r="AM589" s="7" t="s">
        <v>348</v>
      </c>
      <c r="AN589" s="58"/>
      <c r="AO589" s="58"/>
      <c r="AP589" s="58"/>
      <c r="AQ589" s="58"/>
      <c r="AR589" s="1257">
        <f t="shared" ref="AR589:AR613" si="0">IF(AND(AD709&lt;=0.5,AD709&gt;=0.36),1,0)</f>
        <v>1</v>
      </c>
      <c r="AS589" s="1258"/>
      <c r="AT589" s="1296">
        <f t="shared" ref="AT589:AT613" si="1">IF(AR589=1,G709,0)</f>
        <v>27</v>
      </c>
      <c r="AU589" s="1297"/>
      <c r="AV589" s="1257">
        <f t="shared" ref="AV589:AV613" si="2">IF(AND(AD709&lt;=0.35,AD709&gt;0),1,0)</f>
        <v>0</v>
      </c>
      <c r="AW589" s="1258"/>
      <c r="AX589" s="1296">
        <f t="shared" ref="AX589:AX613" si="3">IF(AV589=1,G709,0)</f>
        <v>0</v>
      </c>
      <c r="AY589" s="1297"/>
      <c r="AZ589" s="58"/>
      <c r="BA589" s="1296">
        <f t="shared" ref="BA589:BA613" si="4">IF(B709="SRO/Studio",G709,0)</f>
        <v>0</v>
      </c>
      <c r="BB589" s="1298"/>
      <c r="BC589" s="1298"/>
      <c r="BD589" s="1298"/>
      <c r="BE589" s="1297"/>
      <c r="BF589" s="1293">
        <f t="shared" ref="BF589:BF613" si="5">IF(B709="1 Bedroom",G709,0)</f>
        <v>27</v>
      </c>
      <c r="BG589" s="1293"/>
      <c r="BH589" s="1293"/>
      <c r="BI589" s="1293"/>
      <c r="BJ589" s="1293"/>
      <c r="BK589" s="1293">
        <f t="shared" ref="BK589:BK613" si="6">IF(B709="2 Bedrooms",G709,0)</f>
        <v>0</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73">
        <f t="shared" ref="CE589:CE613" si="10">IF(AND(B709="SRO/Studio",AD709&lt;=0.3),G709,0)</f>
        <v>0</v>
      </c>
      <c r="CF589" s="1573"/>
      <c r="CG589" s="1573"/>
      <c r="CH589" s="1573"/>
      <c r="CI589" s="1573"/>
      <c r="CJ589" s="1573">
        <f t="shared" ref="CJ589:CJ613" si="11">IF(AND(B709="1 Bedroom",AD709&lt;=0.3),G709,0)</f>
        <v>0</v>
      </c>
      <c r="CK589" s="1573"/>
      <c r="CL589" s="1573"/>
      <c r="CM589" s="1573"/>
      <c r="CN589" s="1573"/>
      <c r="CO589" s="1573">
        <f t="shared" ref="CO589:CO613" si="12">IF(AND(B709="2 Bedrooms",AD709&lt;=0.3),G709,0)</f>
        <v>0</v>
      </c>
      <c r="CP589" s="1573"/>
      <c r="CQ589" s="1573"/>
      <c r="CR589" s="1573"/>
      <c r="CS589" s="1573"/>
      <c r="CT589" s="1573">
        <f t="shared" ref="CT589:CT613" si="13">IF(AND(B709="3 Bedrooms",AD709&lt;=0.3),G709,0)</f>
        <v>0</v>
      </c>
      <c r="CU589" s="1573"/>
      <c r="CV589" s="1573"/>
      <c r="CW589" s="1573"/>
      <c r="CX589" s="1573"/>
      <c r="CY589" s="1573">
        <f t="shared" ref="CY589:CY613" si="14">IF(AND(B709="4 Bedrooms",AD709&lt;=0.3),G709,0)</f>
        <v>0</v>
      </c>
      <c r="CZ589" s="1573"/>
      <c r="DA589" s="1573"/>
      <c r="DB589" s="1573"/>
      <c r="DC589" s="1573"/>
      <c r="DD589" s="1573">
        <f t="shared" ref="DD589:DD613" si="15">IF(AND(B709="5 Bedrooms",AD709&lt;=0.3),G709,0)</f>
        <v>0</v>
      </c>
      <c r="DE589" s="1573"/>
      <c r="DF589" s="1573"/>
      <c r="DG589" s="1573"/>
      <c r="DH589" s="1573"/>
    </row>
    <row r="590" spans="1:112" s="7" customFormat="1" ht="12.75">
      <c r="A590" s="35"/>
      <c r="B590" s="12" t="s">
        <v>22</v>
      </c>
      <c r="C590" s="12"/>
      <c r="D590" s="12"/>
      <c r="E590" s="12"/>
      <c r="F590" s="12"/>
      <c r="G590" s="12"/>
      <c r="H590" s="12"/>
      <c r="I590" s="12"/>
      <c r="J590" s="12"/>
      <c r="K590" s="12"/>
      <c r="L590" s="12"/>
      <c r="M590" s="12"/>
      <c r="N590" s="1121" t="s">
        <v>592</v>
      </c>
      <c r="O590" s="1121"/>
      <c r="P590" s="12"/>
      <c r="Q590" s="12"/>
      <c r="R590" s="12"/>
      <c r="S590" s="12"/>
      <c r="T590" s="35"/>
      <c r="U590" s="12" t="s">
        <v>22</v>
      </c>
      <c r="V590" s="12"/>
      <c r="W590" s="12"/>
      <c r="X590" s="12"/>
      <c r="Y590" s="12"/>
      <c r="Z590" s="12"/>
      <c r="AA590" s="12"/>
      <c r="AB590" s="12"/>
      <c r="AC590" s="12"/>
      <c r="AD590" s="12"/>
      <c r="AE590" s="12"/>
      <c r="AF590" s="12"/>
      <c r="AG590" s="1121" t="s">
        <v>723</v>
      </c>
      <c r="AH590" s="1121"/>
      <c r="AI590" s="12"/>
      <c r="AJ590" s="12"/>
      <c r="AK590" s="12"/>
      <c r="AL590" s="12"/>
      <c r="AM590" s="7" t="s">
        <v>170</v>
      </c>
      <c r="AN590" s="58"/>
      <c r="AO590" s="58"/>
      <c r="AP590" s="58"/>
      <c r="AQ590" s="58"/>
      <c r="AR590" s="1257">
        <f t="shared" si="0"/>
        <v>0</v>
      </c>
      <c r="AS590" s="1258"/>
      <c r="AT590" s="1296">
        <f t="shared" si="1"/>
        <v>0</v>
      </c>
      <c r="AU590" s="1297"/>
      <c r="AV590" s="1257">
        <f t="shared" si="2"/>
        <v>0</v>
      </c>
      <c r="AW590" s="1258"/>
      <c r="AX590" s="1296">
        <f t="shared" si="3"/>
        <v>0</v>
      </c>
      <c r="AY590" s="1297"/>
      <c r="AZ590" s="58"/>
      <c r="BA590" s="1296">
        <f t="shared" si="4"/>
        <v>0</v>
      </c>
      <c r="BB590" s="1298"/>
      <c r="BC590" s="1298"/>
      <c r="BD590" s="1298"/>
      <c r="BE590" s="1297"/>
      <c r="BF590" s="1293">
        <f t="shared" si="5"/>
        <v>13</v>
      </c>
      <c r="BG590" s="1293"/>
      <c r="BH590" s="1293"/>
      <c r="BI590" s="1293"/>
      <c r="BJ590" s="1293"/>
      <c r="BK590" s="1293">
        <f t="shared" si="6"/>
        <v>0</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73">
        <f t="shared" si="10"/>
        <v>0</v>
      </c>
      <c r="CF590" s="1573"/>
      <c r="CG590" s="1573"/>
      <c r="CH590" s="1573"/>
      <c r="CI590" s="1573"/>
      <c r="CJ590" s="1573">
        <f t="shared" si="11"/>
        <v>0</v>
      </c>
      <c r="CK590" s="1573"/>
      <c r="CL590" s="1573"/>
      <c r="CM590" s="1573"/>
      <c r="CN590" s="1573"/>
      <c r="CO590" s="1573">
        <f t="shared" si="12"/>
        <v>0</v>
      </c>
      <c r="CP590" s="1573"/>
      <c r="CQ590" s="1573"/>
      <c r="CR590" s="1573"/>
      <c r="CS590" s="1573"/>
      <c r="CT590" s="1573">
        <f t="shared" si="13"/>
        <v>0</v>
      </c>
      <c r="CU590" s="1573"/>
      <c r="CV590" s="1573"/>
      <c r="CW590" s="1573"/>
      <c r="CX590" s="1573"/>
      <c r="CY590" s="1573">
        <f t="shared" si="14"/>
        <v>0</v>
      </c>
      <c r="CZ590" s="1573"/>
      <c r="DA590" s="1573"/>
      <c r="DB590" s="1573"/>
      <c r="DC590" s="1573"/>
      <c r="DD590" s="1573">
        <f t="shared" si="15"/>
        <v>0</v>
      </c>
      <c r="DE590" s="1573"/>
      <c r="DF590" s="1573"/>
      <c r="DG590" s="1573"/>
      <c r="DH590" s="1573"/>
    </row>
    <row r="591" spans="1:112" ht="12.75">
      <c r="A591" s="35"/>
      <c r="T591" s="35"/>
      <c r="AM591" s="7" t="s">
        <v>171</v>
      </c>
      <c r="AN591" s="58"/>
      <c r="AO591" s="58"/>
      <c r="AP591" s="58"/>
      <c r="AQ591" s="58"/>
      <c r="AR591" s="1257">
        <f t="shared" si="0"/>
        <v>0</v>
      </c>
      <c r="AS591" s="1258"/>
      <c r="AT591" s="1296">
        <f t="shared" si="1"/>
        <v>0</v>
      </c>
      <c r="AU591" s="1297"/>
      <c r="AV591" s="1257">
        <f t="shared" si="2"/>
        <v>0</v>
      </c>
      <c r="AW591" s="1258"/>
      <c r="AX591" s="1296">
        <f t="shared" si="3"/>
        <v>0</v>
      </c>
      <c r="AY591" s="1297"/>
      <c r="AZ591" s="58"/>
      <c r="BA591" s="1296">
        <f t="shared" si="4"/>
        <v>0</v>
      </c>
      <c r="BB591" s="1298"/>
      <c r="BC591" s="1298"/>
      <c r="BD591" s="1298"/>
      <c r="BE591" s="1297"/>
      <c r="BF591" s="1293">
        <f t="shared" si="5"/>
        <v>0</v>
      </c>
      <c r="BG591" s="1293"/>
      <c r="BH591" s="1293"/>
      <c r="BI591" s="1293"/>
      <c r="BJ591" s="1293"/>
      <c r="BK591" s="1293">
        <f t="shared" si="6"/>
        <v>4</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73">
        <f t="shared" si="10"/>
        <v>0</v>
      </c>
      <c r="CF591" s="1573"/>
      <c r="CG591" s="1573"/>
      <c r="CH591" s="1573"/>
      <c r="CI591" s="1573"/>
      <c r="CJ591" s="1573">
        <f t="shared" si="11"/>
        <v>0</v>
      </c>
      <c r="CK591" s="1573"/>
      <c r="CL591" s="1573"/>
      <c r="CM591" s="1573"/>
      <c r="CN591" s="1573"/>
      <c r="CO591" s="1573">
        <f t="shared" si="12"/>
        <v>0</v>
      </c>
      <c r="CP591" s="1573"/>
      <c r="CQ591" s="1573"/>
      <c r="CR591" s="1573"/>
      <c r="CS591" s="1573"/>
      <c r="CT591" s="1573">
        <f t="shared" si="13"/>
        <v>0</v>
      </c>
      <c r="CU591" s="1573"/>
      <c r="CV591" s="1573"/>
      <c r="CW591" s="1573"/>
      <c r="CX591" s="1573"/>
      <c r="CY591" s="1573">
        <f t="shared" si="14"/>
        <v>0</v>
      </c>
      <c r="CZ591" s="1573"/>
      <c r="DA591" s="1573"/>
      <c r="DB591" s="1573"/>
      <c r="DC591" s="1573"/>
      <c r="DD591" s="1573">
        <f t="shared" si="15"/>
        <v>0</v>
      </c>
      <c r="DE591" s="1573"/>
      <c r="DF591" s="1573"/>
      <c r="DG591" s="1573"/>
      <c r="DH591" s="1573"/>
    </row>
    <row r="592" spans="1:112" ht="12.75">
      <c r="A592" s="87" t="s">
        <v>508</v>
      </c>
      <c r="B592" s="12" t="s">
        <v>510</v>
      </c>
      <c r="G592" s="1180">
        <f>C553</f>
        <v>0</v>
      </c>
      <c r="H592" s="1180"/>
      <c r="I592" s="1180"/>
      <c r="J592" s="1180"/>
      <c r="K592" s="1180"/>
      <c r="L592" s="1180"/>
      <c r="M592" s="1180"/>
      <c r="N592" s="1180"/>
      <c r="O592" s="1180"/>
      <c r="P592" s="1180"/>
      <c r="Q592" s="1180"/>
      <c r="R592" s="1180"/>
      <c r="T592" s="87" t="s">
        <v>697</v>
      </c>
      <c r="U592" s="12" t="s">
        <v>510</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7">
        <f t="shared" si="0"/>
        <v>0</v>
      </c>
      <c r="AS592" s="1258"/>
      <c r="AT592" s="1296">
        <f t="shared" si="1"/>
        <v>0</v>
      </c>
      <c r="AU592" s="1297"/>
      <c r="AV592" s="1257">
        <f t="shared" si="2"/>
        <v>0</v>
      </c>
      <c r="AW592" s="1258"/>
      <c r="AX592" s="1296">
        <f t="shared" si="3"/>
        <v>0</v>
      </c>
      <c r="AY592" s="1297"/>
      <c r="AZ592" s="58"/>
      <c r="BA592" s="1296">
        <f t="shared" si="4"/>
        <v>0</v>
      </c>
      <c r="BB592" s="1298"/>
      <c r="BC592" s="1298"/>
      <c r="BD592" s="1298"/>
      <c r="BE592" s="1297"/>
      <c r="BF592" s="1293">
        <f t="shared" si="5"/>
        <v>0</v>
      </c>
      <c r="BG592" s="1293"/>
      <c r="BH592" s="1293"/>
      <c r="BI592" s="1293"/>
      <c r="BJ592" s="1293"/>
      <c r="BK592" s="1293">
        <f t="shared" si="6"/>
        <v>2</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73">
        <f t="shared" si="10"/>
        <v>0</v>
      </c>
      <c r="CF592" s="1573"/>
      <c r="CG592" s="1573"/>
      <c r="CH592" s="1573"/>
      <c r="CI592" s="1573"/>
      <c r="CJ592" s="1573">
        <f t="shared" si="11"/>
        <v>0</v>
      </c>
      <c r="CK592" s="1573"/>
      <c r="CL592" s="1573"/>
      <c r="CM592" s="1573"/>
      <c r="CN592" s="1573"/>
      <c r="CO592" s="1573">
        <f t="shared" si="12"/>
        <v>0</v>
      </c>
      <c r="CP592" s="1573"/>
      <c r="CQ592" s="1573"/>
      <c r="CR592" s="1573"/>
      <c r="CS592" s="1573"/>
      <c r="CT592" s="1573">
        <f t="shared" si="13"/>
        <v>0</v>
      </c>
      <c r="CU592" s="1573"/>
      <c r="CV592" s="1573"/>
      <c r="CW592" s="1573"/>
      <c r="CX592" s="1573"/>
      <c r="CY592" s="1573">
        <f t="shared" si="14"/>
        <v>0</v>
      </c>
      <c r="CZ592" s="1573"/>
      <c r="DA592" s="1573"/>
      <c r="DB592" s="1573"/>
      <c r="DC592" s="1573"/>
      <c r="DD592" s="1573">
        <f t="shared" si="15"/>
        <v>0</v>
      </c>
      <c r="DE592" s="1573"/>
      <c r="DF592" s="1573"/>
      <c r="DG592" s="1573"/>
      <c r="DH592" s="1573"/>
    </row>
    <row r="593" spans="1:112" ht="12.75">
      <c r="A593" s="35"/>
      <c r="B593" s="12" t="s">
        <v>92</v>
      </c>
      <c r="G593" s="1091"/>
      <c r="H593" s="1091"/>
      <c r="I593" s="1091"/>
      <c r="J593" s="1091"/>
      <c r="K593" s="1091"/>
      <c r="L593" s="1091"/>
      <c r="M593" s="1091"/>
      <c r="N593" s="1091"/>
      <c r="O593" s="1091"/>
      <c r="P593" s="1091"/>
      <c r="Q593" s="1091"/>
      <c r="R593" s="1091"/>
      <c r="T593" s="35"/>
      <c r="U593" s="12" t="s">
        <v>92</v>
      </c>
      <c r="Z593" s="1091"/>
      <c r="AA593" s="1091"/>
      <c r="AB593" s="1091"/>
      <c r="AC593" s="1091"/>
      <c r="AD593" s="1091"/>
      <c r="AE593" s="1091"/>
      <c r="AF593" s="1091"/>
      <c r="AG593" s="1091"/>
      <c r="AH593" s="1091"/>
      <c r="AI593" s="1091"/>
      <c r="AJ593" s="1091"/>
      <c r="AK593" s="1091"/>
      <c r="AM593" s="7" t="s">
        <v>33</v>
      </c>
      <c r="AN593" s="58"/>
      <c r="AO593" s="58"/>
      <c r="AP593" s="58"/>
      <c r="AQ593" s="58"/>
      <c r="AR593" s="1257">
        <f t="shared" si="0"/>
        <v>0</v>
      </c>
      <c r="AS593" s="1258"/>
      <c r="AT593" s="1296">
        <f t="shared" si="1"/>
        <v>0</v>
      </c>
      <c r="AU593" s="1297"/>
      <c r="AV593" s="1257">
        <f t="shared" si="2"/>
        <v>0</v>
      </c>
      <c r="AW593" s="1258"/>
      <c r="AX593" s="1296">
        <f t="shared" si="3"/>
        <v>0</v>
      </c>
      <c r="AY593" s="1297"/>
      <c r="AZ593" s="58"/>
      <c r="BA593" s="1296">
        <f t="shared" si="4"/>
        <v>0</v>
      </c>
      <c r="BB593" s="1298"/>
      <c r="BC593" s="1298"/>
      <c r="BD593" s="1298"/>
      <c r="BE593" s="1297"/>
      <c r="BF593" s="1293">
        <f t="shared" si="5"/>
        <v>18</v>
      </c>
      <c r="BG593" s="1293"/>
      <c r="BH593" s="1293"/>
      <c r="BI593" s="1293"/>
      <c r="BJ593" s="1293"/>
      <c r="BK593" s="1293">
        <f t="shared" si="6"/>
        <v>0</v>
      </c>
      <c r="BL593" s="1293"/>
      <c r="BM593" s="1293"/>
      <c r="BN593" s="1293"/>
      <c r="BO593" s="1293"/>
      <c r="BP593" s="1293">
        <f t="shared" si="7"/>
        <v>0</v>
      </c>
      <c r="BQ593" s="1293"/>
      <c r="BR593" s="1293"/>
      <c r="BS593" s="1293"/>
      <c r="BT593" s="1293"/>
      <c r="BU593" s="1293">
        <f t="shared" si="8"/>
        <v>0</v>
      </c>
      <c r="BV593" s="1293"/>
      <c r="BW593" s="1293"/>
      <c r="BX593" s="1293"/>
      <c r="BY593" s="1293"/>
      <c r="BZ593" s="1293">
        <f t="shared" si="9"/>
        <v>0</v>
      </c>
      <c r="CA593" s="1293"/>
      <c r="CB593" s="1293"/>
      <c r="CC593" s="1293"/>
      <c r="CD593" s="1293"/>
      <c r="CE593" s="1573">
        <f t="shared" si="10"/>
        <v>0</v>
      </c>
      <c r="CF593" s="1573"/>
      <c r="CG593" s="1573"/>
      <c r="CH593" s="1573"/>
      <c r="CI593" s="1573"/>
      <c r="CJ593" s="1573">
        <f t="shared" si="11"/>
        <v>0</v>
      </c>
      <c r="CK593" s="1573"/>
      <c r="CL593" s="1573"/>
      <c r="CM593" s="1573"/>
      <c r="CN593" s="1573"/>
      <c r="CO593" s="1573">
        <f t="shared" si="12"/>
        <v>0</v>
      </c>
      <c r="CP593" s="1573"/>
      <c r="CQ593" s="1573"/>
      <c r="CR593" s="1573"/>
      <c r="CS593" s="1573"/>
      <c r="CT593" s="1573">
        <f t="shared" si="13"/>
        <v>0</v>
      </c>
      <c r="CU593" s="1573"/>
      <c r="CV593" s="1573"/>
      <c r="CW593" s="1573"/>
      <c r="CX593" s="1573"/>
      <c r="CY593" s="1573">
        <f t="shared" si="14"/>
        <v>0</v>
      </c>
      <c r="CZ593" s="1573"/>
      <c r="DA593" s="1573"/>
      <c r="DB593" s="1573"/>
      <c r="DC593" s="1573"/>
      <c r="DD593" s="1573">
        <f t="shared" si="15"/>
        <v>0</v>
      </c>
      <c r="DE593" s="1573"/>
      <c r="DF593" s="1573"/>
      <c r="DG593" s="1573"/>
      <c r="DH593" s="1573"/>
    </row>
    <row r="594" spans="1:112" ht="12.75">
      <c r="A594" s="35"/>
      <c r="B594" s="12" t="s">
        <v>631</v>
      </c>
      <c r="G594" s="1091"/>
      <c r="H594" s="1091"/>
      <c r="I594" s="1091"/>
      <c r="J594" s="1091"/>
      <c r="K594" s="1091"/>
      <c r="L594" s="1091"/>
      <c r="M594" s="1091"/>
      <c r="N594" s="1091"/>
      <c r="O594" s="1091"/>
      <c r="P594" s="1091"/>
      <c r="Q594" s="1091"/>
      <c r="R594" s="1091"/>
      <c r="T594" s="35"/>
      <c r="U594" s="12" t="s">
        <v>631</v>
      </c>
      <c r="Z594" s="1090"/>
      <c r="AA594" s="1090"/>
      <c r="AB594" s="1090"/>
      <c r="AC594" s="1090"/>
      <c r="AD594" s="1090"/>
      <c r="AE594" s="1090"/>
      <c r="AF594" s="1090"/>
      <c r="AG594" s="1090"/>
      <c r="AH594" s="1090"/>
      <c r="AI594" s="1090"/>
      <c r="AJ594" s="1090"/>
      <c r="AK594" s="1090"/>
      <c r="AM594" s="58"/>
      <c r="AN594" s="58"/>
      <c r="AO594" s="58"/>
      <c r="AP594" s="58"/>
      <c r="AQ594" s="58"/>
      <c r="AR594" s="1257">
        <f t="shared" si="0"/>
        <v>0</v>
      </c>
      <c r="AS594" s="1258"/>
      <c r="AT594" s="1296">
        <f t="shared" si="1"/>
        <v>0</v>
      </c>
      <c r="AU594" s="1297"/>
      <c r="AV594" s="1257">
        <f t="shared" si="2"/>
        <v>0</v>
      </c>
      <c r="AW594" s="1258"/>
      <c r="AX594" s="1296">
        <f t="shared" si="3"/>
        <v>0</v>
      </c>
      <c r="AY594" s="1297"/>
      <c r="AZ594" s="58"/>
      <c r="BA594" s="1296">
        <f t="shared" si="4"/>
        <v>0</v>
      </c>
      <c r="BB594" s="1298"/>
      <c r="BC594" s="1298"/>
      <c r="BD594" s="1298"/>
      <c r="BE594" s="1297"/>
      <c r="BF594" s="1293">
        <f t="shared" si="5"/>
        <v>0</v>
      </c>
      <c r="BG594" s="1293"/>
      <c r="BH594" s="1293"/>
      <c r="BI594" s="1293"/>
      <c r="BJ594" s="1293"/>
      <c r="BK594" s="1293">
        <f t="shared" si="6"/>
        <v>25</v>
      </c>
      <c r="BL594" s="1293"/>
      <c r="BM594" s="1293"/>
      <c r="BN594" s="1293"/>
      <c r="BO594" s="1293"/>
      <c r="BP594" s="1293">
        <f t="shared" si="7"/>
        <v>0</v>
      </c>
      <c r="BQ594" s="1293"/>
      <c r="BR594" s="1293"/>
      <c r="BS594" s="1293"/>
      <c r="BT594" s="1293"/>
      <c r="BU594" s="1293">
        <f t="shared" si="8"/>
        <v>0</v>
      </c>
      <c r="BV594" s="1293"/>
      <c r="BW594" s="1293"/>
      <c r="BX594" s="1293"/>
      <c r="BY594" s="1293"/>
      <c r="BZ594" s="1293">
        <f t="shared" si="9"/>
        <v>0</v>
      </c>
      <c r="CA594" s="1293"/>
      <c r="CB594" s="1293"/>
      <c r="CC594" s="1293"/>
      <c r="CD594" s="1293"/>
      <c r="CE594" s="1573">
        <f t="shared" si="10"/>
        <v>0</v>
      </c>
      <c r="CF594" s="1573"/>
      <c r="CG594" s="1573"/>
      <c r="CH594" s="1573"/>
      <c r="CI594" s="1573"/>
      <c r="CJ594" s="1573">
        <f t="shared" si="11"/>
        <v>0</v>
      </c>
      <c r="CK594" s="1573"/>
      <c r="CL594" s="1573"/>
      <c r="CM594" s="1573"/>
      <c r="CN594" s="1573"/>
      <c r="CO594" s="1573">
        <f t="shared" si="12"/>
        <v>0</v>
      </c>
      <c r="CP594" s="1573"/>
      <c r="CQ594" s="1573"/>
      <c r="CR594" s="1573"/>
      <c r="CS594" s="1573"/>
      <c r="CT594" s="1573">
        <f t="shared" si="13"/>
        <v>0</v>
      </c>
      <c r="CU594" s="1573"/>
      <c r="CV594" s="1573"/>
      <c r="CW594" s="1573"/>
      <c r="CX594" s="1573"/>
      <c r="CY594" s="1573">
        <f t="shared" si="14"/>
        <v>0</v>
      </c>
      <c r="CZ594" s="1573"/>
      <c r="DA594" s="1573"/>
      <c r="DB594" s="1573"/>
      <c r="DC594" s="1573"/>
      <c r="DD594" s="1573">
        <f t="shared" si="15"/>
        <v>0</v>
      </c>
      <c r="DE594" s="1573"/>
      <c r="DF594" s="1573"/>
      <c r="DG594" s="1573"/>
      <c r="DH594" s="1573"/>
    </row>
    <row r="595" spans="1:112" ht="12.75">
      <c r="A595" s="35"/>
      <c r="B595" s="12" t="s">
        <v>19</v>
      </c>
      <c r="G595" s="1091"/>
      <c r="H595" s="1091"/>
      <c r="I595" s="1091"/>
      <c r="J595" s="1091"/>
      <c r="K595" s="1091"/>
      <c r="L595" s="1091"/>
      <c r="M595" s="1091"/>
      <c r="N595" s="1091"/>
      <c r="O595" s="1091"/>
      <c r="P595" s="1091"/>
      <c r="Q595" s="1091"/>
      <c r="R595" s="1091"/>
      <c r="T595" s="35"/>
      <c r="U595" s="12" t="s">
        <v>19</v>
      </c>
      <c r="Z595" s="1090"/>
      <c r="AA595" s="1090"/>
      <c r="AB595" s="1090"/>
      <c r="AC595" s="1090"/>
      <c r="AD595" s="1090"/>
      <c r="AE595" s="1090"/>
      <c r="AF595" s="1090"/>
      <c r="AG595" s="1090"/>
      <c r="AH595" s="1090"/>
      <c r="AI595" s="1090"/>
      <c r="AJ595" s="1090"/>
      <c r="AK595" s="1090"/>
      <c r="AM595" s="58"/>
      <c r="AN595" s="58"/>
      <c r="AO595" s="58"/>
      <c r="AP595" s="58"/>
      <c r="AQ595" s="58"/>
      <c r="AR595" s="1257">
        <f t="shared" si="0"/>
        <v>0</v>
      </c>
      <c r="AS595" s="1258"/>
      <c r="AT595" s="1296">
        <f t="shared" si="1"/>
        <v>0</v>
      </c>
      <c r="AU595" s="1297"/>
      <c r="AV595" s="1257">
        <f t="shared" si="2"/>
        <v>0</v>
      </c>
      <c r="AW595" s="1258"/>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0</v>
      </c>
      <c r="BQ595" s="1293"/>
      <c r="BR595" s="1293"/>
      <c r="BS595" s="1293"/>
      <c r="BT595" s="1293"/>
      <c r="BU595" s="1293">
        <f t="shared" si="8"/>
        <v>0</v>
      </c>
      <c r="BV595" s="1293"/>
      <c r="BW595" s="1293"/>
      <c r="BX595" s="1293"/>
      <c r="BY595" s="1293"/>
      <c r="BZ595" s="1293">
        <f t="shared" si="9"/>
        <v>0</v>
      </c>
      <c r="CA595" s="1293"/>
      <c r="CB595" s="1293"/>
      <c r="CC595" s="1293"/>
      <c r="CD595" s="1293"/>
      <c r="CE595" s="1573">
        <f t="shared" si="10"/>
        <v>0</v>
      </c>
      <c r="CF595" s="1573"/>
      <c r="CG595" s="1573"/>
      <c r="CH595" s="1573"/>
      <c r="CI595" s="1573"/>
      <c r="CJ595" s="1573">
        <f t="shared" si="11"/>
        <v>0</v>
      </c>
      <c r="CK595" s="1573"/>
      <c r="CL595" s="1573"/>
      <c r="CM595" s="1573"/>
      <c r="CN595" s="1573"/>
      <c r="CO595" s="1573">
        <f t="shared" si="12"/>
        <v>0</v>
      </c>
      <c r="CP595" s="1573"/>
      <c r="CQ595" s="1573"/>
      <c r="CR595" s="1573"/>
      <c r="CS595" s="1573"/>
      <c r="CT595" s="1573">
        <f t="shared" si="13"/>
        <v>0</v>
      </c>
      <c r="CU595" s="1573"/>
      <c r="CV595" s="1573"/>
      <c r="CW595" s="1573"/>
      <c r="CX595" s="1573"/>
      <c r="CY595" s="1573">
        <f t="shared" si="14"/>
        <v>0</v>
      </c>
      <c r="CZ595" s="1573"/>
      <c r="DA595" s="1573"/>
      <c r="DB595" s="1573"/>
      <c r="DC595" s="1573"/>
      <c r="DD595" s="1573">
        <f t="shared" si="15"/>
        <v>0</v>
      </c>
      <c r="DE595" s="1573"/>
      <c r="DF595" s="1573"/>
      <c r="DG595" s="1573"/>
      <c r="DH595" s="1573"/>
    </row>
    <row r="596" spans="1:112" ht="12.75">
      <c r="A596" s="35"/>
      <c r="B596" s="12" t="s">
        <v>338</v>
      </c>
      <c r="G596" s="1127"/>
      <c r="H596" s="1127"/>
      <c r="I596" s="1127"/>
      <c r="J596" s="1127"/>
      <c r="K596" s="1127"/>
      <c r="L596" s="1127"/>
      <c r="O596" s="140" t="s">
        <v>220</v>
      </c>
      <c r="P596" s="1157"/>
      <c r="Q596" s="1157"/>
      <c r="R596" s="1157"/>
      <c r="T596" s="35"/>
      <c r="U596" s="12" t="s">
        <v>338</v>
      </c>
      <c r="Z596" s="1127"/>
      <c r="AA596" s="1127"/>
      <c r="AB596" s="1127"/>
      <c r="AC596" s="1127"/>
      <c r="AD596" s="1127"/>
      <c r="AE596" s="1127"/>
      <c r="AH596" s="140" t="s">
        <v>220</v>
      </c>
      <c r="AI596" s="1157"/>
      <c r="AJ596" s="1157"/>
      <c r="AK596" s="1157"/>
      <c r="AM596" s="58"/>
      <c r="AN596" s="58"/>
      <c r="AO596" s="58"/>
      <c r="AP596" s="58"/>
      <c r="AQ596" s="58"/>
      <c r="AR596" s="1257">
        <f t="shared" si="0"/>
        <v>0</v>
      </c>
      <c r="AS596" s="1258"/>
      <c r="AT596" s="1296">
        <f t="shared" si="1"/>
        <v>0</v>
      </c>
      <c r="AU596" s="1297"/>
      <c r="AV596" s="1257">
        <f t="shared" si="2"/>
        <v>0</v>
      </c>
      <c r="AW596" s="1258"/>
      <c r="AX596" s="1296">
        <f t="shared" si="3"/>
        <v>0</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0</v>
      </c>
      <c r="BQ596" s="1293"/>
      <c r="BR596" s="1293"/>
      <c r="BS596" s="1293"/>
      <c r="BT596" s="1293"/>
      <c r="BU596" s="1293">
        <f t="shared" si="8"/>
        <v>0</v>
      </c>
      <c r="BV596" s="1293"/>
      <c r="BW596" s="1293"/>
      <c r="BX596" s="1293"/>
      <c r="BY596" s="1293"/>
      <c r="BZ596" s="1293">
        <f t="shared" si="9"/>
        <v>0</v>
      </c>
      <c r="CA596" s="1293"/>
      <c r="CB596" s="1293"/>
      <c r="CC596" s="1293"/>
      <c r="CD596" s="1293"/>
      <c r="CE596" s="1573">
        <f t="shared" si="10"/>
        <v>0</v>
      </c>
      <c r="CF596" s="1573"/>
      <c r="CG596" s="1573"/>
      <c r="CH596" s="1573"/>
      <c r="CI596" s="1573"/>
      <c r="CJ596" s="1573">
        <f t="shared" si="11"/>
        <v>0</v>
      </c>
      <c r="CK596" s="1573"/>
      <c r="CL596" s="1573"/>
      <c r="CM596" s="1573"/>
      <c r="CN596" s="1573"/>
      <c r="CO596" s="1573">
        <f t="shared" si="12"/>
        <v>0</v>
      </c>
      <c r="CP596" s="1573"/>
      <c r="CQ596" s="1573"/>
      <c r="CR596" s="1573"/>
      <c r="CS596" s="1573"/>
      <c r="CT596" s="1573">
        <f t="shared" si="13"/>
        <v>0</v>
      </c>
      <c r="CU596" s="1573"/>
      <c r="CV596" s="1573"/>
      <c r="CW596" s="1573"/>
      <c r="CX596" s="1573"/>
      <c r="CY596" s="1573">
        <f t="shared" si="14"/>
        <v>0</v>
      </c>
      <c r="CZ596" s="1573"/>
      <c r="DA596" s="1573"/>
      <c r="DB596" s="1573"/>
      <c r="DC596" s="1573"/>
      <c r="DD596" s="1573">
        <f t="shared" si="15"/>
        <v>0</v>
      </c>
      <c r="DE596" s="1573"/>
      <c r="DF596" s="1573"/>
      <c r="DG596" s="1573"/>
      <c r="DH596" s="1573"/>
    </row>
    <row r="597" spans="1:112" s="7" customFormat="1" ht="12.75">
      <c r="A597" s="35"/>
      <c r="B597" s="12" t="s">
        <v>20</v>
      </c>
      <c r="C597" s="12"/>
      <c r="D597" s="12"/>
      <c r="E597" s="12"/>
      <c r="F597" s="12"/>
      <c r="G597" s="12"/>
      <c r="H597" s="1091"/>
      <c r="I597" s="1091"/>
      <c r="J597" s="1091"/>
      <c r="K597" s="1091"/>
      <c r="L597" s="1091"/>
      <c r="M597" s="1091"/>
      <c r="N597" s="1091"/>
      <c r="O597" s="1091"/>
      <c r="P597" s="1091"/>
      <c r="Q597" s="1091"/>
      <c r="R597" s="1091"/>
      <c r="S597" s="12"/>
      <c r="T597" s="35"/>
      <c r="U597" s="12" t="s">
        <v>20</v>
      </c>
      <c r="V597" s="12"/>
      <c r="W597" s="12"/>
      <c r="X597" s="12"/>
      <c r="Y597" s="12"/>
      <c r="Z597" s="12"/>
      <c r="AA597" s="1091"/>
      <c r="AB597" s="1091"/>
      <c r="AC597" s="1091"/>
      <c r="AD597" s="1091"/>
      <c r="AE597" s="1091"/>
      <c r="AF597" s="1091"/>
      <c r="AG597" s="1091"/>
      <c r="AH597" s="1091"/>
      <c r="AI597" s="1091"/>
      <c r="AJ597" s="1091"/>
      <c r="AK597" s="1091"/>
      <c r="AL597" s="12"/>
      <c r="AM597" s="58"/>
      <c r="AN597" s="58"/>
      <c r="AO597" s="58"/>
      <c r="AP597" s="58"/>
      <c r="AQ597" s="58"/>
      <c r="AR597" s="1257">
        <f t="shared" si="0"/>
        <v>0</v>
      </c>
      <c r="AS597" s="1258"/>
      <c r="AT597" s="1296">
        <f t="shared" si="1"/>
        <v>0</v>
      </c>
      <c r="AU597" s="1297"/>
      <c r="AV597" s="1257">
        <f t="shared" si="2"/>
        <v>0</v>
      </c>
      <c r="AW597" s="1258"/>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73">
        <f t="shared" si="10"/>
        <v>0</v>
      </c>
      <c r="CF597" s="1573"/>
      <c r="CG597" s="1573"/>
      <c r="CH597" s="1573"/>
      <c r="CI597" s="1573"/>
      <c r="CJ597" s="1573">
        <f t="shared" si="11"/>
        <v>0</v>
      </c>
      <c r="CK597" s="1573"/>
      <c r="CL597" s="1573"/>
      <c r="CM597" s="1573"/>
      <c r="CN597" s="1573"/>
      <c r="CO597" s="1573">
        <f t="shared" si="12"/>
        <v>0</v>
      </c>
      <c r="CP597" s="1573"/>
      <c r="CQ597" s="1573"/>
      <c r="CR597" s="1573"/>
      <c r="CS597" s="1573"/>
      <c r="CT597" s="1573">
        <f t="shared" si="13"/>
        <v>0</v>
      </c>
      <c r="CU597" s="1573"/>
      <c r="CV597" s="1573"/>
      <c r="CW597" s="1573"/>
      <c r="CX597" s="1573"/>
      <c r="CY597" s="1573">
        <f t="shared" si="14"/>
        <v>0</v>
      </c>
      <c r="CZ597" s="1573"/>
      <c r="DA597" s="1573"/>
      <c r="DB597" s="1573"/>
      <c r="DC597" s="1573"/>
      <c r="DD597" s="1573">
        <f t="shared" si="15"/>
        <v>0</v>
      </c>
      <c r="DE597" s="1573"/>
      <c r="DF597" s="1573"/>
      <c r="DG597" s="1573"/>
      <c r="DH597" s="1573"/>
    </row>
    <row r="598" spans="1:112" s="7" customFormat="1" ht="12.75">
      <c r="A598" s="35"/>
      <c r="B598" s="12" t="s">
        <v>22</v>
      </c>
      <c r="C598" s="12"/>
      <c r="D598" s="12"/>
      <c r="E598" s="12"/>
      <c r="F598" s="12"/>
      <c r="G598" s="12"/>
      <c r="H598" s="12"/>
      <c r="I598" s="12"/>
      <c r="J598" s="12"/>
      <c r="K598" s="12"/>
      <c r="L598" s="12"/>
      <c r="M598" s="12"/>
      <c r="N598" s="1121" t="s">
        <v>723</v>
      </c>
      <c r="O598" s="1121"/>
      <c r="P598" s="12"/>
      <c r="Q598" s="12"/>
      <c r="R598" s="12"/>
      <c r="S598" s="12"/>
      <c r="T598" s="35"/>
      <c r="U598" s="12" t="s">
        <v>22</v>
      </c>
      <c r="V598" s="12"/>
      <c r="W598" s="12"/>
      <c r="X598" s="12"/>
      <c r="Y598" s="12"/>
      <c r="Z598" s="12"/>
      <c r="AA598" s="12"/>
      <c r="AB598" s="12"/>
      <c r="AC598" s="12"/>
      <c r="AD598" s="12"/>
      <c r="AE598" s="12"/>
      <c r="AF598" s="12"/>
      <c r="AG598" s="1121" t="s">
        <v>723</v>
      </c>
      <c r="AH598" s="1121"/>
      <c r="AI598" s="12"/>
      <c r="AJ598" s="12"/>
      <c r="AK598" s="12"/>
      <c r="AL598" s="12"/>
      <c r="AM598" s="58"/>
      <c r="AN598" s="58"/>
      <c r="AO598" s="58"/>
      <c r="AP598" s="58"/>
      <c r="AQ598" s="58"/>
      <c r="AR598" s="1257">
        <f t="shared" si="0"/>
        <v>0</v>
      </c>
      <c r="AS598" s="1258"/>
      <c r="AT598" s="1296">
        <f t="shared" si="1"/>
        <v>0</v>
      </c>
      <c r="AU598" s="1297"/>
      <c r="AV598" s="1257">
        <f t="shared" si="2"/>
        <v>0</v>
      </c>
      <c r="AW598" s="1258"/>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73">
        <f t="shared" si="10"/>
        <v>0</v>
      </c>
      <c r="CF598" s="1573"/>
      <c r="CG598" s="1573"/>
      <c r="CH598" s="1573"/>
      <c r="CI598" s="1573"/>
      <c r="CJ598" s="1573">
        <f t="shared" si="11"/>
        <v>0</v>
      </c>
      <c r="CK598" s="1573"/>
      <c r="CL598" s="1573"/>
      <c r="CM598" s="1573"/>
      <c r="CN598" s="1573"/>
      <c r="CO598" s="1573">
        <f t="shared" si="12"/>
        <v>0</v>
      </c>
      <c r="CP598" s="1573"/>
      <c r="CQ598" s="1573"/>
      <c r="CR598" s="1573"/>
      <c r="CS598" s="1573"/>
      <c r="CT598" s="1573">
        <f t="shared" si="13"/>
        <v>0</v>
      </c>
      <c r="CU598" s="1573"/>
      <c r="CV598" s="1573"/>
      <c r="CW598" s="1573"/>
      <c r="CX598" s="1573"/>
      <c r="CY598" s="1573">
        <f t="shared" si="14"/>
        <v>0</v>
      </c>
      <c r="CZ598" s="1573"/>
      <c r="DA598" s="1573"/>
      <c r="DB598" s="1573"/>
      <c r="DC598" s="1573"/>
      <c r="DD598" s="1573">
        <f t="shared" si="15"/>
        <v>0</v>
      </c>
      <c r="DE598" s="1573"/>
      <c r="DF598" s="1573"/>
      <c r="DG598" s="1573"/>
      <c r="DH598" s="157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7">
        <f t="shared" si="0"/>
        <v>0</v>
      </c>
      <c r="AS599" s="1258"/>
      <c r="AT599" s="1296">
        <f t="shared" si="1"/>
        <v>0</v>
      </c>
      <c r="AU599" s="1297"/>
      <c r="AV599" s="1257">
        <f t="shared" si="2"/>
        <v>0</v>
      </c>
      <c r="AW599" s="1258"/>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73">
        <f t="shared" si="10"/>
        <v>0</v>
      </c>
      <c r="CF599" s="1573"/>
      <c r="CG599" s="1573"/>
      <c r="CH599" s="1573"/>
      <c r="CI599" s="1573"/>
      <c r="CJ599" s="1573">
        <f t="shared" si="11"/>
        <v>0</v>
      </c>
      <c r="CK599" s="1573"/>
      <c r="CL599" s="1573"/>
      <c r="CM599" s="1573"/>
      <c r="CN599" s="1573"/>
      <c r="CO599" s="1573">
        <f t="shared" si="12"/>
        <v>0</v>
      </c>
      <c r="CP599" s="1573"/>
      <c r="CQ599" s="1573"/>
      <c r="CR599" s="1573"/>
      <c r="CS599" s="1573"/>
      <c r="CT599" s="1573">
        <f t="shared" si="13"/>
        <v>0</v>
      </c>
      <c r="CU599" s="1573"/>
      <c r="CV599" s="1573"/>
      <c r="CW599" s="1573"/>
      <c r="CX599" s="1573"/>
      <c r="CY599" s="1573">
        <f t="shared" si="14"/>
        <v>0</v>
      </c>
      <c r="CZ599" s="1573"/>
      <c r="DA599" s="1573"/>
      <c r="DB599" s="1573"/>
      <c r="DC599" s="1573"/>
      <c r="DD599" s="1573">
        <f t="shared" si="15"/>
        <v>0</v>
      </c>
      <c r="DE599" s="1573"/>
      <c r="DF599" s="1573"/>
      <c r="DG599" s="1573"/>
      <c r="DH599" s="1573"/>
    </row>
    <row r="600" spans="1:112" ht="12.75">
      <c r="A600" s="87" t="s">
        <v>386</v>
      </c>
      <c r="B600" s="12" t="s">
        <v>510</v>
      </c>
      <c r="G600" s="1180">
        <f>C555</f>
        <v>0</v>
      </c>
      <c r="H600" s="1180"/>
      <c r="I600" s="1180"/>
      <c r="J600" s="1180"/>
      <c r="K600" s="1180"/>
      <c r="L600" s="1180"/>
      <c r="M600" s="1180"/>
      <c r="N600" s="1180"/>
      <c r="O600" s="1180"/>
      <c r="P600" s="1180"/>
      <c r="Q600" s="1180"/>
      <c r="R600" s="1180"/>
      <c r="T600" s="87" t="s">
        <v>387</v>
      </c>
      <c r="U600" s="12" t="s">
        <v>510</v>
      </c>
      <c r="Z600" s="1180">
        <f>C556</f>
        <v>0</v>
      </c>
      <c r="AA600" s="1180"/>
      <c r="AB600" s="1180"/>
      <c r="AC600" s="1180"/>
      <c r="AD600" s="1180"/>
      <c r="AE600" s="1180"/>
      <c r="AF600" s="1180"/>
      <c r="AG600" s="1180"/>
      <c r="AH600" s="1180"/>
      <c r="AI600" s="1180"/>
      <c r="AJ600" s="1180"/>
      <c r="AK600" s="1180"/>
      <c r="AM600" s="58"/>
      <c r="AN600" s="58"/>
      <c r="AO600" s="58"/>
      <c r="AP600" s="58"/>
      <c r="AQ600" s="58"/>
      <c r="AR600" s="1257">
        <f t="shared" si="0"/>
        <v>0</v>
      </c>
      <c r="AS600" s="1258"/>
      <c r="AT600" s="1296">
        <f t="shared" si="1"/>
        <v>0</v>
      </c>
      <c r="AU600" s="1297"/>
      <c r="AV600" s="1257">
        <f t="shared" si="2"/>
        <v>0</v>
      </c>
      <c r="AW600" s="1258"/>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73">
        <f t="shared" si="10"/>
        <v>0</v>
      </c>
      <c r="CF600" s="1573"/>
      <c r="CG600" s="1573"/>
      <c r="CH600" s="1573"/>
      <c r="CI600" s="1573"/>
      <c r="CJ600" s="1573">
        <f t="shared" si="11"/>
        <v>0</v>
      </c>
      <c r="CK600" s="1573"/>
      <c r="CL600" s="1573"/>
      <c r="CM600" s="1573"/>
      <c r="CN600" s="1573"/>
      <c r="CO600" s="1573">
        <f t="shared" si="12"/>
        <v>0</v>
      </c>
      <c r="CP600" s="1573"/>
      <c r="CQ600" s="1573"/>
      <c r="CR600" s="1573"/>
      <c r="CS600" s="1573"/>
      <c r="CT600" s="1573">
        <f t="shared" si="13"/>
        <v>0</v>
      </c>
      <c r="CU600" s="1573"/>
      <c r="CV600" s="1573"/>
      <c r="CW600" s="1573"/>
      <c r="CX600" s="1573"/>
      <c r="CY600" s="1573">
        <f t="shared" si="14"/>
        <v>0</v>
      </c>
      <c r="CZ600" s="1573"/>
      <c r="DA600" s="1573"/>
      <c r="DB600" s="1573"/>
      <c r="DC600" s="1573"/>
      <c r="DD600" s="1573">
        <f t="shared" si="15"/>
        <v>0</v>
      </c>
      <c r="DE600" s="1573"/>
      <c r="DF600" s="1573"/>
      <c r="DG600" s="1573"/>
      <c r="DH600" s="1573"/>
    </row>
    <row r="601" spans="1:112" ht="12.75">
      <c r="B601" s="12" t="s">
        <v>92</v>
      </c>
      <c r="G601" s="1091"/>
      <c r="H601" s="1091"/>
      <c r="I601" s="1091"/>
      <c r="J601" s="1091"/>
      <c r="K601" s="1091"/>
      <c r="L601" s="1091"/>
      <c r="M601" s="1091"/>
      <c r="N601" s="1091"/>
      <c r="O601" s="1091"/>
      <c r="P601" s="1091"/>
      <c r="Q601" s="1091"/>
      <c r="R601" s="1091"/>
      <c r="U601" s="12" t="s">
        <v>92</v>
      </c>
      <c r="Z601" s="1091"/>
      <c r="AA601" s="1091"/>
      <c r="AB601" s="1091"/>
      <c r="AC601" s="1091"/>
      <c r="AD601" s="1091"/>
      <c r="AE601" s="1091"/>
      <c r="AF601" s="1091"/>
      <c r="AG601" s="1091"/>
      <c r="AH601" s="1091"/>
      <c r="AI601" s="1091"/>
      <c r="AJ601" s="1091"/>
      <c r="AK601" s="1091"/>
      <c r="AM601" s="58"/>
      <c r="AN601" s="58"/>
      <c r="AO601" s="58"/>
      <c r="AP601" s="58"/>
      <c r="AQ601" s="58"/>
      <c r="AR601" s="1257">
        <f t="shared" si="0"/>
        <v>0</v>
      </c>
      <c r="AS601" s="1258"/>
      <c r="AT601" s="1296">
        <f t="shared" si="1"/>
        <v>0</v>
      </c>
      <c r="AU601" s="1297"/>
      <c r="AV601" s="1257">
        <f t="shared" si="2"/>
        <v>0</v>
      </c>
      <c r="AW601" s="1258"/>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73">
        <f t="shared" si="10"/>
        <v>0</v>
      </c>
      <c r="CF601" s="1573"/>
      <c r="CG601" s="1573"/>
      <c r="CH601" s="1573"/>
      <c r="CI601" s="1573"/>
      <c r="CJ601" s="1573">
        <f t="shared" si="11"/>
        <v>0</v>
      </c>
      <c r="CK601" s="1573"/>
      <c r="CL601" s="1573"/>
      <c r="CM601" s="1573"/>
      <c r="CN601" s="1573"/>
      <c r="CO601" s="1573">
        <f t="shared" si="12"/>
        <v>0</v>
      </c>
      <c r="CP601" s="1573"/>
      <c r="CQ601" s="1573"/>
      <c r="CR601" s="1573"/>
      <c r="CS601" s="1573"/>
      <c r="CT601" s="1573">
        <f t="shared" si="13"/>
        <v>0</v>
      </c>
      <c r="CU601" s="1573"/>
      <c r="CV601" s="1573"/>
      <c r="CW601" s="1573"/>
      <c r="CX601" s="1573"/>
      <c r="CY601" s="1573">
        <f t="shared" si="14"/>
        <v>0</v>
      </c>
      <c r="CZ601" s="1573"/>
      <c r="DA601" s="1573"/>
      <c r="DB601" s="1573"/>
      <c r="DC601" s="1573"/>
      <c r="DD601" s="1573">
        <f t="shared" si="15"/>
        <v>0</v>
      </c>
      <c r="DE601" s="1573"/>
      <c r="DF601" s="1573"/>
      <c r="DG601" s="1573"/>
      <c r="DH601" s="1573"/>
    </row>
    <row r="602" spans="1:112" ht="12.75">
      <c r="B602" s="12" t="s">
        <v>631</v>
      </c>
      <c r="G602" s="1091"/>
      <c r="H602" s="1091"/>
      <c r="I602" s="1091"/>
      <c r="J602" s="1091"/>
      <c r="K602" s="1091"/>
      <c r="L602" s="1091"/>
      <c r="M602" s="1091"/>
      <c r="N602" s="1091"/>
      <c r="O602" s="1091"/>
      <c r="P602" s="1091"/>
      <c r="Q602" s="1091"/>
      <c r="R602" s="1091"/>
      <c r="U602" s="12" t="s">
        <v>631</v>
      </c>
      <c r="Z602" s="1090"/>
      <c r="AA602" s="1090"/>
      <c r="AB602" s="1090"/>
      <c r="AC602" s="1090"/>
      <c r="AD602" s="1090"/>
      <c r="AE602" s="1090"/>
      <c r="AF602" s="1090"/>
      <c r="AG602" s="1090"/>
      <c r="AH602" s="1090"/>
      <c r="AI602" s="1090"/>
      <c r="AJ602" s="1090"/>
      <c r="AK602" s="1090"/>
      <c r="AM602" s="58"/>
      <c r="AN602" s="58"/>
      <c r="AO602" s="58"/>
      <c r="AP602" s="58"/>
      <c r="AQ602" s="58"/>
      <c r="AR602" s="1257">
        <f t="shared" si="0"/>
        <v>0</v>
      </c>
      <c r="AS602" s="1258"/>
      <c r="AT602" s="1296">
        <f t="shared" si="1"/>
        <v>0</v>
      </c>
      <c r="AU602" s="1297"/>
      <c r="AV602" s="1257">
        <f t="shared" si="2"/>
        <v>0</v>
      </c>
      <c r="AW602" s="1258"/>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73">
        <f t="shared" si="10"/>
        <v>0</v>
      </c>
      <c r="CF602" s="1573"/>
      <c r="CG602" s="1573"/>
      <c r="CH602" s="1573"/>
      <c r="CI602" s="1573"/>
      <c r="CJ602" s="1573">
        <f t="shared" si="11"/>
        <v>0</v>
      </c>
      <c r="CK602" s="1573"/>
      <c r="CL602" s="1573"/>
      <c r="CM602" s="1573"/>
      <c r="CN602" s="1573"/>
      <c r="CO602" s="1573">
        <f t="shared" si="12"/>
        <v>0</v>
      </c>
      <c r="CP602" s="1573"/>
      <c r="CQ602" s="1573"/>
      <c r="CR602" s="1573"/>
      <c r="CS602" s="1573"/>
      <c r="CT602" s="1573">
        <f t="shared" si="13"/>
        <v>0</v>
      </c>
      <c r="CU602" s="1573"/>
      <c r="CV602" s="1573"/>
      <c r="CW602" s="1573"/>
      <c r="CX602" s="1573"/>
      <c r="CY602" s="1573">
        <f t="shared" si="14"/>
        <v>0</v>
      </c>
      <c r="CZ602" s="1573"/>
      <c r="DA602" s="1573"/>
      <c r="DB602" s="1573"/>
      <c r="DC602" s="1573"/>
      <c r="DD602" s="1573">
        <f t="shared" si="15"/>
        <v>0</v>
      </c>
      <c r="DE602" s="1573"/>
      <c r="DF602" s="1573"/>
      <c r="DG602" s="1573"/>
      <c r="DH602" s="1573"/>
    </row>
    <row r="603" spans="1:112" ht="12.75">
      <c r="B603" s="12" t="s">
        <v>19</v>
      </c>
      <c r="G603" s="1091"/>
      <c r="H603" s="1091"/>
      <c r="I603" s="1091"/>
      <c r="J603" s="1091"/>
      <c r="K603" s="1091"/>
      <c r="L603" s="1091"/>
      <c r="M603" s="1091"/>
      <c r="N603" s="1091"/>
      <c r="O603" s="1091"/>
      <c r="P603" s="1091"/>
      <c r="Q603" s="1091"/>
      <c r="R603" s="1091"/>
      <c r="U603" s="12" t="s">
        <v>19</v>
      </c>
      <c r="Z603" s="1090"/>
      <c r="AA603" s="1090"/>
      <c r="AB603" s="1090"/>
      <c r="AC603" s="1090"/>
      <c r="AD603" s="1090"/>
      <c r="AE603" s="1090"/>
      <c r="AF603" s="1090"/>
      <c r="AG603" s="1090"/>
      <c r="AH603" s="1090"/>
      <c r="AI603" s="1090"/>
      <c r="AJ603" s="1090"/>
      <c r="AK603" s="1090"/>
      <c r="AM603" s="58"/>
      <c r="AN603" s="58"/>
      <c r="AO603" s="58"/>
      <c r="AP603" s="58"/>
      <c r="AQ603" s="58"/>
      <c r="AR603" s="1257">
        <f t="shared" si="0"/>
        <v>0</v>
      </c>
      <c r="AS603" s="1258"/>
      <c r="AT603" s="1296">
        <f t="shared" si="1"/>
        <v>0</v>
      </c>
      <c r="AU603" s="1297"/>
      <c r="AV603" s="1257">
        <f t="shared" si="2"/>
        <v>0</v>
      </c>
      <c r="AW603" s="1258"/>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73">
        <f t="shared" si="10"/>
        <v>0</v>
      </c>
      <c r="CF603" s="1573"/>
      <c r="CG603" s="1573"/>
      <c r="CH603" s="1573"/>
      <c r="CI603" s="1573"/>
      <c r="CJ603" s="1573">
        <f t="shared" si="11"/>
        <v>0</v>
      </c>
      <c r="CK603" s="1573"/>
      <c r="CL603" s="1573"/>
      <c r="CM603" s="1573"/>
      <c r="CN603" s="1573"/>
      <c r="CO603" s="1573">
        <f t="shared" si="12"/>
        <v>0</v>
      </c>
      <c r="CP603" s="1573"/>
      <c r="CQ603" s="1573"/>
      <c r="CR603" s="1573"/>
      <c r="CS603" s="1573"/>
      <c r="CT603" s="1573">
        <f t="shared" si="13"/>
        <v>0</v>
      </c>
      <c r="CU603" s="1573"/>
      <c r="CV603" s="1573"/>
      <c r="CW603" s="1573"/>
      <c r="CX603" s="1573"/>
      <c r="CY603" s="1573">
        <f t="shared" si="14"/>
        <v>0</v>
      </c>
      <c r="CZ603" s="1573"/>
      <c r="DA603" s="1573"/>
      <c r="DB603" s="1573"/>
      <c r="DC603" s="1573"/>
      <c r="DD603" s="1573">
        <f t="shared" si="15"/>
        <v>0</v>
      </c>
      <c r="DE603" s="1573"/>
      <c r="DF603" s="1573"/>
      <c r="DG603" s="1573"/>
      <c r="DH603" s="1573"/>
    </row>
    <row r="604" spans="1:112" ht="12.75">
      <c r="B604" s="12" t="s">
        <v>338</v>
      </c>
      <c r="G604" s="1127"/>
      <c r="H604" s="1127"/>
      <c r="I604" s="1127"/>
      <c r="J604" s="1127"/>
      <c r="K604" s="1127"/>
      <c r="L604" s="1127"/>
      <c r="O604" s="140" t="s">
        <v>220</v>
      </c>
      <c r="P604" s="1157"/>
      <c r="Q604" s="1157"/>
      <c r="R604" s="1157"/>
      <c r="U604" s="12" t="s">
        <v>338</v>
      </c>
      <c r="Z604" s="1127"/>
      <c r="AA604" s="1127"/>
      <c r="AB604" s="1127"/>
      <c r="AC604" s="1127"/>
      <c r="AD604" s="1127"/>
      <c r="AE604" s="1127"/>
      <c r="AH604" s="140" t="s">
        <v>220</v>
      </c>
      <c r="AI604" s="1157"/>
      <c r="AJ604" s="1157"/>
      <c r="AK604" s="1157"/>
      <c r="AM604" s="58"/>
      <c r="AN604" s="58"/>
      <c r="AO604" s="58"/>
      <c r="AP604" s="58"/>
      <c r="AQ604" s="58"/>
      <c r="AR604" s="1257">
        <f t="shared" si="0"/>
        <v>0</v>
      </c>
      <c r="AS604" s="1258"/>
      <c r="AT604" s="1296">
        <f t="shared" si="1"/>
        <v>0</v>
      </c>
      <c r="AU604" s="1297"/>
      <c r="AV604" s="1257">
        <f t="shared" si="2"/>
        <v>0</v>
      </c>
      <c r="AW604" s="1258"/>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73">
        <f t="shared" si="10"/>
        <v>0</v>
      </c>
      <c r="CF604" s="1573"/>
      <c r="CG604" s="1573"/>
      <c r="CH604" s="1573"/>
      <c r="CI604" s="1573"/>
      <c r="CJ604" s="1573">
        <f t="shared" si="11"/>
        <v>0</v>
      </c>
      <c r="CK604" s="1573"/>
      <c r="CL604" s="1573"/>
      <c r="CM604" s="1573"/>
      <c r="CN604" s="1573"/>
      <c r="CO604" s="1573">
        <f t="shared" si="12"/>
        <v>0</v>
      </c>
      <c r="CP604" s="1573"/>
      <c r="CQ604" s="1573"/>
      <c r="CR604" s="1573"/>
      <c r="CS604" s="1573"/>
      <c r="CT604" s="1573">
        <f t="shared" si="13"/>
        <v>0</v>
      </c>
      <c r="CU604" s="1573"/>
      <c r="CV604" s="1573"/>
      <c r="CW604" s="1573"/>
      <c r="CX604" s="1573"/>
      <c r="CY604" s="1573">
        <f t="shared" si="14"/>
        <v>0</v>
      </c>
      <c r="CZ604" s="1573"/>
      <c r="DA604" s="1573"/>
      <c r="DB604" s="1573"/>
      <c r="DC604" s="1573"/>
      <c r="DD604" s="1573">
        <f t="shared" si="15"/>
        <v>0</v>
      </c>
      <c r="DE604" s="1573"/>
      <c r="DF604" s="1573"/>
      <c r="DG604" s="1573"/>
      <c r="DH604" s="1573"/>
    </row>
    <row r="605" spans="1:112" ht="12.75">
      <c r="B605" s="12" t="s">
        <v>20</v>
      </c>
      <c r="H605" s="1091"/>
      <c r="I605" s="1091"/>
      <c r="J605" s="1091"/>
      <c r="K605" s="1091"/>
      <c r="L605" s="1091"/>
      <c r="M605" s="1091"/>
      <c r="N605" s="1091"/>
      <c r="O605" s="1091"/>
      <c r="P605" s="1091"/>
      <c r="Q605" s="1091"/>
      <c r="R605" s="1091"/>
      <c r="U605" s="12" t="s">
        <v>20</v>
      </c>
      <c r="AA605" s="1091"/>
      <c r="AB605" s="1091"/>
      <c r="AC605" s="1091"/>
      <c r="AD605" s="1091"/>
      <c r="AE605" s="1091"/>
      <c r="AF605" s="1091"/>
      <c r="AG605" s="1091"/>
      <c r="AH605" s="1091"/>
      <c r="AI605" s="1091"/>
      <c r="AJ605" s="1091"/>
      <c r="AK605" s="1091"/>
      <c r="AM605" s="58"/>
      <c r="AN605" s="58"/>
      <c r="AO605" s="58"/>
      <c r="AP605" s="58"/>
      <c r="AQ605" s="58"/>
      <c r="AR605" s="1257">
        <f t="shared" si="0"/>
        <v>0</v>
      </c>
      <c r="AS605" s="1258"/>
      <c r="AT605" s="1296">
        <f t="shared" si="1"/>
        <v>0</v>
      </c>
      <c r="AU605" s="1297"/>
      <c r="AV605" s="1257">
        <f t="shared" si="2"/>
        <v>0</v>
      </c>
      <c r="AW605" s="1258"/>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73">
        <f t="shared" si="10"/>
        <v>0</v>
      </c>
      <c r="CF605" s="1573"/>
      <c r="CG605" s="1573"/>
      <c r="CH605" s="1573"/>
      <c r="CI605" s="1573"/>
      <c r="CJ605" s="1573">
        <f t="shared" si="11"/>
        <v>0</v>
      </c>
      <c r="CK605" s="1573"/>
      <c r="CL605" s="1573"/>
      <c r="CM605" s="1573"/>
      <c r="CN605" s="1573"/>
      <c r="CO605" s="1573">
        <f t="shared" si="12"/>
        <v>0</v>
      </c>
      <c r="CP605" s="1573"/>
      <c r="CQ605" s="1573"/>
      <c r="CR605" s="1573"/>
      <c r="CS605" s="1573"/>
      <c r="CT605" s="1573">
        <f t="shared" si="13"/>
        <v>0</v>
      </c>
      <c r="CU605" s="1573"/>
      <c r="CV605" s="1573"/>
      <c r="CW605" s="1573"/>
      <c r="CX605" s="1573"/>
      <c r="CY605" s="1573">
        <f t="shared" si="14"/>
        <v>0</v>
      </c>
      <c r="CZ605" s="1573"/>
      <c r="DA605" s="1573"/>
      <c r="DB605" s="1573"/>
      <c r="DC605" s="1573"/>
      <c r="DD605" s="1573">
        <f t="shared" si="15"/>
        <v>0</v>
      </c>
      <c r="DE605" s="1573"/>
      <c r="DF605" s="1573"/>
      <c r="DG605" s="1573"/>
      <c r="DH605" s="1573"/>
    </row>
    <row r="606" spans="1:112" ht="12.75">
      <c r="B606" s="12" t="s">
        <v>22</v>
      </c>
      <c r="N606" s="1121" t="s">
        <v>723</v>
      </c>
      <c r="O606" s="1121"/>
      <c r="U606" s="12" t="s">
        <v>22</v>
      </c>
      <c r="AG606" s="1121" t="s">
        <v>723</v>
      </c>
      <c r="AH606" s="1121"/>
      <c r="AM606" s="58"/>
      <c r="AN606" s="58"/>
      <c r="AO606" s="58"/>
      <c r="AP606" s="58"/>
      <c r="AQ606" s="58"/>
      <c r="AR606" s="1257">
        <f t="shared" si="0"/>
        <v>0</v>
      </c>
      <c r="AS606" s="1258"/>
      <c r="AT606" s="1296">
        <f t="shared" si="1"/>
        <v>0</v>
      </c>
      <c r="AU606" s="1297"/>
      <c r="AV606" s="1257">
        <f t="shared" si="2"/>
        <v>0</v>
      </c>
      <c r="AW606" s="1258"/>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73">
        <f t="shared" si="10"/>
        <v>0</v>
      </c>
      <c r="CF606" s="1573"/>
      <c r="CG606" s="1573"/>
      <c r="CH606" s="1573"/>
      <c r="CI606" s="1573"/>
      <c r="CJ606" s="1573">
        <f t="shared" si="11"/>
        <v>0</v>
      </c>
      <c r="CK606" s="1573"/>
      <c r="CL606" s="1573"/>
      <c r="CM606" s="1573"/>
      <c r="CN606" s="1573"/>
      <c r="CO606" s="1573">
        <f t="shared" si="12"/>
        <v>0</v>
      </c>
      <c r="CP606" s="1573"/>
      <c r="CQ606" s="1573"/>
      <c r="CR606" s="1573"/>
      <c r="CS606" s="1573"/>
      <c r="CT606" s="1573">
        <f t="shared" si="13"/>
        <v>0</v>
      </c>
      <c r="CU606" s="1573"/>
      <c r="CV606" s="1573"/>
      <c r="CW606" s="1573"/>
      <c r="CX606" s="1573"/>
      <c r="CY606" s="1573">
        <f t="shared" si="14"/>
        <v>0</v>
      </c>
      <c r="CZ606" s="1573"/>
      <c r="DA606" s="1573"/>
      <c r="DB606" s="1573"/>
      <c r="DC606" s="1573"/>
      <c r="DD606" s="1573">
        <f t="shared" si="15"/>
        <v>0</v>
      </c>
      <c r="DE606" s="1573"/>
      <c r="DF606" s="1573"/>
      <c r="DG606" s="1573"/>
      <c r="DH606" s="1573"/>
    </row>
    <row r="607" spans="1:112" ht="12.75">
      <c r="AM607" s="58"/>
      <c r="AN607" s="58"/>
      <c r="AO607" s="58"/>
      <c r="AP607" s="58"/>
      <c r="AQ607" s="58"/>
      <c r="AR607" s="1257">
        <f t="shared" si="0"/>
        <v>0</v>
      </c>
      <c r="AS607" s="1258"/>
      <c r="AT607" s="1296">
        <f t="shared" si="1"/>
        <v>0</v>
      </c>
      <c r="AU607" s="1297"/>
      <c r="AV607" s="1257">
        <f t="shared" si="2"/>
        <v>0</v>
      </c>
      <c r="AW607" s="1258"/>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73">
        <f t="shared" si="10"/>
        <v>0</v>
      </c>
      <c r="CF607" s="1573"/>
      <c r="CG607" s="1573"/>
      <c r="CH607" s="1573"/>
      <c r="CI607" s="1573"/>
      <c r="CJ607" s="1573">
        <f t="shared" si="11"/>
        <v>0</v>
      </c>
      <c r="CK607" s="1573"/>
      <c r="CL607" s="1573"/>
      <c r="CM607" s="1573"/>
      <c r="CN607" s="1573"/>
      <c r="CO607" s="1573">
        <f t="shared" si="12"/>
        <v>0</v>
      </c>
      <c r="CP607" s="1573"/>
      <c r="CQ607" s="1573"/>
      <c r="CR607" s="1573"/>
      <c r="CS607" s="1573"/>
      <c r="CT607" s="1573">
        <f t="shared" si="13"/>
        <v>0</v>
      </c>
      <c r="CU607" s="1573"/>
      <c r="CV607" s="1573"/>
      <c r="CW607" s="1573"/>
      <c r="CX607" s="1573"/>
      <c r="CY607" s="1573">
        <f t="shared" si="14"/>
        <v>0</v>
      </c>
      <c r="CZ607" s="1573"/>
      <c r="DA607" s="1573"/>
      <c r="DB607" s="1573"/>
      <c r="DC607" s="1573"/>
      <c r="DD607" s="1573">
        <f t="shared" si="15"/>
        <v>0</v>
      </c>
      <c r="DE607" s="1573"/>
      <c r="DF607" s="1573"/>
      <c r="DG607" s="1573"/>
      <c r="DH607" s="1573"/>
    </row>
    <row r="608" spans="1:112" ht="12.75">
      <c r="A608" s="1309" t="s">
        <v>591</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7">
        <f t="shared" si="0"/>
        <v>0</v>
      </c>
      <c r="AS608" s="1258"/>
      <c r="AT608" s="1296">
        <f t="shared" si="1"/>
        <v>0</v>
      </c>
      <c r="AU608" s="1297"/>
      <c r="AV608" s="1257">
        <f t="shared" si="2"/>
        <v>0</v>
      </c>
      <c r="AW608" s="1258"/>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73">
        <f t="shared" si="10"/>
        <v>0</v>
      </c>
      <c r="CF608" s="1573"/>
      <c r="CG608" s="1573"/>
      <c r="CH608" s="1573"/>
      <c r="CI608" s="1573"/>
      <c r="CJ608" s="1573">
        <f t="shared" si="11"/>
        <v>0</v>
      </c>
      <c r="CK608" s="1573"/>
      <c r="CL608" s="1573"/>
      <c r="CM608" s="1573"/>
      <c r="CN608" s="1573"/>
      <c r="CO608" s="1573">
        <f t="shared" si="12"/>
        <v>0</v>
      </c>
      <c r="CP608" s="1573"/>
      <c r="CQ608" s="1573"/>
      <c r="CR608" s="1573"/>
      <c r="CS608" s="1573"/>
      <c r="CT608" s="1573">
        <f t="shared" si="13"/>
        <v>0</v>
      </c>
      <c r="CU608" s="1573"/>
      <c r="CV608" s="1573"/>
      <c r="CW608" s="1573"/>
      <c r="CX608" s="1573"/>
      <c r="CY608" s="1573">
        <f t="shared" si="14"/>
        <v>0</v>
      </c>
      <c r="CZ608" s="1573"/>
      <c r="DA608" s="1573"/>
      <c r="DB608" s="1573"/>
      <c r="DC608" s="1573"/>
      <c r="DD608" s="1573">
        <f t="shared" si="15"/>
        <v>0</v>
      </c>
      <c r="DE608" s="1573"/>
      <c r="DF608" s="1573"/>
      <c r="DG608" s="1573"/>
      <c r="DH608" s="1573"/>
    </row>
    <row r="609" spans="1:112" ht="13.5" thickBo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58"/>
      <c r="AN609" s="58"/>
      <c r="AO609" s="58"/>
      <c r="AP609" s="58"/>
      <c r="AQ609" s="58"/>
      <c r="AR609" s="1257">
        <f t="shared" si="0"/>
        <v>0</v>
      </c>
      <c r="AS609" s="1258"/>
      <c r="AT609" s="1296">
        <f t="shared" si="1"/>
        <v>0</v>
      </c>
      <c r="AU609" s="1297"/>
      <c r="AV609" s="1257">
        <f t="shared" si="2"/>
        <v>0</v>
      </c>
      <c r="AW609" s="1258"/>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73">
        <f t="shared" si="10"/>
        <v>0</v>
      </c>
      <c r="CF609" s="1573"/>
      <c r="CG609" s="1573"/>
      <c r="CH609" s="1573"/>
      <c r="CI609" s="1573"/>
      <c r="CJ609" s="1573">
        <f t="shared" si="11"/>
        <v>0</v>
      </c>
      <c r="CK609" s="1573"/>
      <c r="CL609" s="1573"/>
      <c r="CM609" s="1573"/>
      <c r="CN609" s="1573"/>
      <c r="CO609" s="1573">
        <f t="shared" si="12"/>
        <v>0</v>
      </c>
      <c r="CP609" s="1573"/>
      <c r="CQ609" s="1573"/>
      <c r="CR609" s="1573"/>
      <c r="CS609" s="1573"/>
      <c r="CT609" s="1573">
        <f t="shared" si="13"/>
        <v>0</v>
      </c>
      <c r="CU609" s="1573"/>
      <c r="CV609" s="1573"/>
      <c r="CW609" s="1573"/>
      <c r="CX609" s="1573"/>
      <c r="CY609" s="1573">
        <f t="shared" si="14"/>
        <v>0</v>
      </c>
      <c r="CZ609" s="1573"/>
      <c r="DA609" s="1573"/>
      <c r="DB609" s="1573"/>
      <c r="DC609" s="1573"/>
      <c r="DD609" s="1573">
        <f t="shared" si="15"/>
        <v>0</v>
      </c>
      <c r="DE609" s="1573"/>
      <c r="DF609" s="1573"/>
      <c r="DG609" s="1573"/>
      <c r="DH609" s="1573"/>
    </row>
    <row r="610" spans="1:112" ht="13.5" thickTop="1">
      <c r="A610" s="25"/>
      <c r="B610" s="25"/>
      <c r="C610" s="25"/>
      <c r="D610" s="25"/>
      <c r="E610" s="25"/>
      <c r="F610" s="25"/>
      <c r="G610" s="3"/>
      <c r="H610" s="25"/>
      <c r="AM610" s="58"/>
      <c r="AN610" s="58"/>
      <c r="AO610" s="58"/>
      <c r="AP610" s="58"/>
      <c r="AQ610" s="58"/>
      <c r="AR610" s="1257">
        <f t="shared" si="0"/>
        <v>0</v>
      </c>
      <c r="AS610" s="1258"/>
      <c r="AT610" s="1296">
        <f t="shared" si="1"/>
        <v>0</v>
      </c>
      <c r="AU610" s="1297"/>
      <c r="AV610" s="1257">
        <f t="shared" si="2"/>
        <v>0</v>
      </c>
      <c r="AW610" s="1258"/>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73">
        <f t="shared" si="10"/>
        <v>0</v>
      </c>
      <c r="CF610" s="1573"/>
      <c r="CG610" s="1573"/>
      <c r="CH610" s="1573"/>
      <c r="CI610" s="1573"/>
      <c r="CJ610" s="1573">
        <f t="shared" si="11"/>
        <v>0</v>
      </c>
      <c r="CK610" s="1573"/>
      <c r="CL610" s="1573"/>
      <c r="CM610" s="1573"/>
      <c r="CN610" s="1573"/>
      <c r="CO610" s="1573">
        <f t="shared" si="12"/>
        <v>0</v>
      </c>
      <c r="CP610" s="1573"/>
      <c r="CQ610" s="1573"/>
      <c r="CR610" s="1573"/>
      <c r="CS610" s="1573"/>
      <c r="CT610" s="1573">
        <f t="shared" si="13"/>
        <v>0</v>
      </c>
      <c r="CU610" s="1573"/>
      <c r="CV610" s="1573"/>
      <c r="CW610" s="1573"/>
      <c r="CX610" s="1573"/>
      <c r="CY610" s="1573">
        <f t="shared" si="14"/>
        <v>0</v>
      </c>
      <c r="CZ610" s="1573"/>
      <c r="DA610" s="1573"/>
      <c r="DB610" s="1573"/>
      <c r="DC610" s="1573"/>
      <c r="DD610" s="1573">
        <f t="shared" si="15"/>
        <v>0</v>
      </c>
      <c r="DE610" s="1573"/>
      <c r="DF610" s="1573"/>
      <c r="DG610" s="1573"/>
      <c r="DH610" s="1573"/>
    </row>
    <row r="611" spans="1:112" ht="12.75">
      <c r="A611" s="50" t="s">
        <v>341</v>
      </c>
      <c r="B611" s="50"/>
      <c r="C611" s="50" t="s">
        <v>23</v>
      </c>
      <c r="AM611" s="58"/>
      <c r="AN611" s="58"/>
      <c r="AO611" s="58"/>
      <c r="AP611" s="58"/>
      <c r="AQ611" s="58"/>
      <c r="AR611" s="1257">
        <f t="shared" si="0"/>
        <v>0</v>
      </c>
      <c r="AS611" s="1258"/>
      <c r="AT611" s="1296">
        <f t="shared" si="1"/>
        <v>0</v>
      </c>
      <c r="AU611" s="1297"/>
      <c r="AV611" s="1257">
        <f t="shared" si="2"/>
        <v>0</v>
      </c>
      <c r="AW611" s="1258"/>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73">
        <f t="shared" si="10"/>
        <v>0</v>
      </c>
      <c r="CF611" s="1573"/>
      <c r="CG611" s="1573"/>
      <c r="CH611" s="1573"/>
      <c r="CI611" s="1573"/>
      <c r="CJ611" s="1573">
        <f t="shared" si="11"/>
        <v>0</v>
      </c>
      <c r="CK611" s="1573"/>
      <c r="CL611" s="1573"/>
      <c r="CM611" s="1573"/>
      <c r="CN611" s="1573"/>
      <c r="CO611" s="1573">
        <f t="shared" si="12"/>
        <v>0</v>
      </c>
      <c r="CP611" s="1573"/>
      <c r="CQ611" s="1573"/>
      <c r="CR611" s="1573"/>
      <c r="CS611" s="1573"/>
      <c r="CT611" s="1573">
        <f t="shared" si="13"/>
        <v>0</v>
      </c>
      <c r="CU611" s="1573"/>
      <c r="CV611" s="1573"/>
      <c r="CW611" s="1573"/>
      <c r="CX611" s="1573"/>
      <c r="CY611" s="1573">
        <f t="shared" si="14"/>
        <v>0</v>
      </c>
      <c r="CZ611" s="1573"/>
      <c r="DA611" s="1573"/>
      <c r="DB611" s="1573"/>
      <c r="DC611" s="1573"/>
      <c r="DD611" s="1573">
        <f t="shared" si="15"/>
        <v>0</v>
      </c>
      <c r="DE611" s="1573"/>
      <c r="DF611" s="1573"/>
      <c r="DG611" s="1573"/>
      <c r="DH611" s="1573"/>
    </row>
    <row r="612" spans="1:112" ht="12.75">
      <c r="A612" s="50"/>
      <c r="B612" s="50"/>
      <c r="C612" s="50"/>
      <c r="AM612" s="58"/>
      <c r="AN612" s="58"/>
      <c r="AO612" s="58"/>
      <c r="AP612" s="58"/>
      <c r="AQ612" s="58"/>
      <c r="AR612" s="1257">
        <f t="shared" si="0"/>
        <v>0</v>
      </c>
      <c r="AS612" s="1258"/>
      <c r="AT612" s="1296">
        <f t="shared" si="1"/>
        <v>0</v>
      </c>
      <c r="AU612" s="1297"/>
      <c r="AV612" s="1257">
        <f t="shared" si="2"/>
        <v>0</v>
      </c>
      <c r="AW612" s="1258"/>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73">
        <f t="shared" si="10"/>
        <v>0</v>
      </c>
      <c r="CF612" s="1573"/>
      <c r="CG612" s="1573"/>
      <c r="CH612" s="1573"/>
      <c r="CI612" s="1573"/>
      <c r="CJ612" s="1573">
        <f t="shared" si="11"/>
        <v>0</v>
      </c>
      <c r="CK612" s="1573"/>
      <c r="CL612" s="1573"/>
      <c r="CM612" s="1573"/>
      <c r="CN612" s="1573"/>
      <c r="CO612" s="1573">
        <f t="shared" si="12"/>
        <v>0</v>
      </c>
      <c r="CP612" s="1573"/>
      <c r="CQ612" s="1573"/>
      <c r="CR612" s="1573"/>
      <c r="CS612" s="1573"/>
      <c r="CT612" s="1573">
        <f t="shared" si="13"/>
        <v>0</v>
      </c>
      <c r="CU612" s="1573"/>
      <c r="CV612" s="1573"/>
      <c r="CW612" s="1573"/>
      <c r="CX612" s="1573"/>
      <c r="CY612" s="1573">
        <f t="shared" si="14"/>
        <v>0</v>
      </c>
      <c r="CZ612" s="1573"/>
      <c r="DA612" s="1573"/>
      <c r="DB612" s="1573"/>
      <c r="DC612" s="1573"/>
      <c r="DD612" s="1573">
        <f t="shared" si="15"/>
        <v>0</v>
      </c>
      <c r="DE612" s="1573"/>
      <c r="DF612" s="1573"/>
      <c r="DG612" s="1573"/>
      <c r="DH612" s="157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7">
        <f t="shared" si="0"/>
        <v>0</v>
      </c>
      <c r="AS613" s="1258"/>
      <c r="AT613" s="1296">
        <f t="shared" si="1"/>
        <v>0</v>
      </c>
      <c r="AU613" s="1297"/>
      <c r="AV613" s="1257">
        <f t="shared" si="2"/>
        <v>0</v>
      </c>
      <c r="AW613" s="1258"/>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73">
        <f t="shared" si="10"/>
        <v>0</v>
      </c>
      <c r="CF613" s="1573"/>
      <c r="CG613" s="1573"/>
      <c r="CH613" s="1573"/>
      <c r="CI613" s="1573"/>
      <c r="CJ613" s="1573">
        <f t="shared" si="11"/>
        <v>0</v>
      </c>
      <c r="CK613" s="1573"/>
      <c r="CL613" s="1573"/>
      <c r="CM613" s="1573"/>
      <c r="CN613" s="1573"/>
      <c r="CO613" s="1573">
        <f t="shared" si="12"/>
        <v>0</v>
      </c>
      <c r="CP613" s="1573"/>
      <c r="CQ613" s="1573"/>
      <c r="CR613" s="1573"/>
      <c r="CS613" s="1573"/>
      <c r="CT613" s="1573">
        <f t="shared" si="13"/>
        <v>0</v>
      </c>
      <c r="CU613" s="1573"/>
      <c r="CV613" s="1573"/>
      <c r="CW613" s="1573"/>
      <c r="CX613" s="1573"/>
      <c r="CY613" s="1573">
        <f t="shared" si="14"/>
        <v>0</v>
      </c>
      <c r="CZ613" s="1573"/>
      <c r="DA613" s="1573"/>
      <c r="DB613" s="1573"/>
      <c r="DC613" s="1573"/>
      <c r="DD613" s="1573">
        <f t="shared" si="15"/>
        <v>0</v>
      </c>
      <c r="DE613" s="1573"/>
      <c r="DF613" s="1573"/>
      <c r="DG613" s="1573"/>
      <c r="DH613" s="157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7">
        <f>SUM(AT589:AU613)</f>
        <v>27</v>
      </c>
      <c r="AU614" s="1258"/>
      <c r="AV614" s="58"/>
      <c r="AW614" s="58"/>
      <c r="AX614" s="1257">
        <f>SUM(AX589:AY613)</f>
        <v>0</v>
      </c>
      <c r="AY614" s="1258"/>
      <c r="AZ614" s="58"/>
      <c r="BA614" s="1257">
        <f>SUM(BA589:BE613)</f>
        <v>0</v>
      </c>
      <c r="BB614" s="1294"/>
      <c r="BC614" s="1294"/>
      <c r="BD614" s="1294"/>
      <c r="BE614" s="1258"/>
      <c r="BF614" s="1295">
        <f>SUM(BF589:BJ613)</f>
        <v>58</v>
      </c>
      <c r="BG614" s="1295"/>
      <c r="BH614" s="1295"/>
      <c r="BI614" s="1295"/>
      <c r="BJ614" s="1295"/>
      <c r="BK614" s="1295">
        <f>SUM(BK589:BO613)</f>
        <v>31</v>
      </c>
      <c r="BL614" s="1295"/>
      <c r="BM614" s="1295"/>
      <c r="BN614" s="1295"/>
      <c r="BO614" s="1295"/>
      <c r="BP614" s="1295">
        <f>SUM(BP589:BT613)</f>
        <v>0</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0</v>
      </c>
      <c r="CF614" s="1295"/>
      <c r="CG614" s="1295"/>
      <c r="CH614" s="1295"/>
      <c r="CI614" s="1295"/>
      <c r="CJ614" s="1295">
        <f>SUM(CJ589:CN613)</f>
        <v>0</v>
      </c>
      <c r="CK614" s="1295"/>
      <c r="CL614" s="1295"/>
      <c r="CM614" s="1295"/>
      <c r="CN614" s="1295"/>
      <c r="CO614" s="1295">
        <f>SUM(CO589:CS613)</f>
        <v>0</v>
      </c>
      <c r="CP614" s="1295"/>
      <c r="CQ614" s="1295"/>
      <c r="CR614" s="1295"/>
      <c r="CS614" s="1295"/>
      <c r="CT614" s="1295">
        <f>SUM(CT589:CX613)</f>
        <v>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4" t="s">
        <v>498</v>
      </c>
      <c r="C615" s="1365"/>
      <c r="D615" s="1365"/>
      <c r="E615" s="1365"/>
      <c r="F615" s="1365"/>
      <c r="G615" s="1365"/>
      <c r="H615" s="1365"/>
      <c r="I615" s="1365"/>
      <c r="J615" s="1365"/>
      <c r="K615" s="1365"/>
      <c r="L615" s="1365"/>
      <c r="M615" s="1365"/>
      <c r="N615" s="1365"/>
      <c r="O615" s="1366"/>
      <c r="P615" s="1373" t="s">
        <v>346</v>
      </c>
      <c r="Q615" s="1374"/>
      <c r="R615" s="1375"/>
      <c r="S615" s="1284" t="s">
        <v>499</v>
      </c>
      <c r="T615" s="1285"/>
      <c r="U615" s="1286"/>
      <c r="V615" s="1149" t="s">
        <v>18</v>
      </c>
      <c r="W615" s="1149"/>
      <c r="X615" s="1149"/>
      <c r="Y615" s="1149"/>
      <c r="Z615" s="1149"/>
      <c r="AA615" s="1149"/>
      <c r="AB615" s="1149" t="s">
        <v>17</v>
      </c>
      <c r="AC615" s="1149"/>
      <c r="AD615" s="1149"/>
      <c r="AE615" s="1149"/>
      <c r="AF615" s="1149"/>
      <c r="AG615" s="1149" t="s">
        <v>500</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7"/>
      <c r="C616" s="1368"/>
      <c r="D616" s="1368"/>
      <c r="E616" s="1368"/>
      <c r="F616" s="1368"/>
      <c r="G616" s="1368"/>
      <c r="H616" s="1368"/>
      <c r="I616" s="1368"/>
      <c r="J616" s="1368"/>
      <c r="K616" s="1368"/>
      <c r="L616" s="1368"/>
      <c r="M616" s="1368"/>
      <c r="N616" s="1368"/>
      <c r="O616" s="1369"/>
      <c r="P616" s="1376"/>
      <c r="Q616" s="1377"/>
      <c r="R616" s="1378"/>
      <c r="S616" s="1287"/>
      <c r="T616" s="1288"/>
      <c r="U616" s="1289"/>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0"/>
      <c r="C617" s="1371"/>
      <c r="D617" s="1371"/>
      <c r="E617" s="1371"/>
      <c r="F617" s="1371"/>
      <c r="G617" s="1371"/>
      <c r="H617" s="1371"/>
      <c r="I617" s="1371"/>
      <c r="J617" s="1371"/>
      <c r="K617" s="1371"/>
      <c r="L617" s="1371"/>
      <c r="M617" s="1371"/>
      <c r="N617" s="1371"/>
      <c r="O617" s="1372"/>
      <c r="P617" s="1379"/>
      <c r="Q617" s="1380"/>
      <c r="R617" s="1381"/>
      <c r="S617" s="1290"/>
      <c r="T617" s="1291"/>
      <c r="U617" s="1292"/>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2</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81" t="str">
        <f>C545</f>
        <v>US Bank, N.A.</v>
      </c>
      <c r="D618" s="1362"/>
      <c r="E618" s="1362"/>
      <c r="F618" s="1362"/>
      <c r="G618" s="1362"/>
      <c r="H618" s="1362"/>
      <c r="I618" s="1362"/>
      <c r="J618" s="1362"/>
      <c r="K618" s="1362"/>
      <c r="L618" s="1362"/>
      <c r="M618" s="1362"/>
      <c r="N618" s="1362"/>
      <c r="O618" s="1363"/>
      <c r="P618" s="1123">
        <v>240</v>
      </c>
      <c r="Q618" s="1124"/>
      <c r="R618" s="1125"/>
      <c r="S618" s="1274">
        <v>4.9000000000000002E-2</v>
      </c>
      <c r="T618" s="1135"/>
      <c r="U618" s="1136"/>
      <c r="V618" s="1123"/>
      <c r="W618" s="1124"/>
      <c r="X618" s="1124"/>
      <c r="Y618" s="1124"/>
      <c r="Z618" s="1124"/>
      <c r="AA618" s="1125"/>
      <c r="AB618" s="1148">
        <v>337693</v>
      </c>
      <c r="AC618" s="1148"/>
      <c r="AD618" s="1148"/>
      <c r="AE618" s="1148"/>
      <c r="AF618" s="1148"/>
      <c r="AG618" s="1148">
        <v>4300000</v>
      </c>
      <c r="AH618" s="1148"/>
      <c r="AI618" s="1148"/>
      <c r="AJ618" s="1148"/>
      <c r="AK618" s="1148"/>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81" t="s">
        <v>1735</v>
      </c>
      <c r="D619" s="1157"/>
      <c r="E619" s="1157"/>
      <c r="F619" s="1157"/>
      <c r="G619" s="1157"/>
      <c r="H619" s="1157"/>
      <c r="I619" s="1157"/>
      <c r="J619" s="1157"/>
      <c r="K619" s="1157"/>
      <c r="L619" s="1157"/>
      <c r="M619" s="1157"/>
      <c r="N619" s="1157"/>
      <c r="O619" s="1182"/>
      <c r="P619" s="1123">
        <v>660</v>
      </c>
      <c r="Q619" s="1124"/>
      <c r="R619" s="1125"/>
      <c r="S619" s="1274">
        <v>0.03</v>
      </c>
      <c r="T619" s="1135"/>
      <c r="U619" s="1136"/>
      <c r="V619" s="1123" t="s">
        <v>504</v>
      </c>
      <c r="W619" s="1124"/>
      <c r="X619" s="1124"/>
      <c r="Y619" s="1124"/>
      <c r="Z619" s="1124"/>
      <c r="AA619" s="1125"/>
      <c r="AB619" s="1148">
        <v>68509</v>
      </c>
      <c r="AC619" s="1148"/>
      <c r="AD619" s="1148"/>
      <c r="AE619" s="1148"/>
      <c r="AF619" s="1148"/>
      <c r="AG619" s="1148">
        <v>16311615</v>
      </c>
      <c r="AH619" s="1148"/>
      <c r="AI619" s="1148"/>
      <c r="AJ619" s="1148"/>
      <c r="AK619" s="1148"/>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81" t="s">
        <v>1723</v>
      </c>
      <c r="D620" s="1157"/>
      <c r="E620" s="1157"/>
      <c r="F620" s="1157"/>
      <c r="G620" s="1157"/>
      <c r="H620" s="1157"/>
      <c r="I620" s="1157"/>
      <c r="J620" s="1157"/>
      <c r="K620" s="1157"/>
      <c r="L620" s="1157"/>
      <c r="M620" s="1157"/>
      <c r="N620" s="1157"/>
      <c r="O620" s="1182"/>
      <c r="P620" s="1123">
        <v>660</v>
      </c>
      <c r="Q620" s="1124"/>
      <c r="R620" s="1125"/>
      <c r="S620" s="1274"/>
      <c r="T620" s="1135"/>
      <c r="U620" s="1136"/>
      <c r="V620" s="1123" t="s">
        <v>504</v>
      </c>
      <c r="W620" s="1124"/>
      <c r="X620" s="1124"/>
      <c r="Y620" s="1124"/>
      <c r="Z620" s="1124"/>
      <c r="AA620" s="1125"/>
      <c r="AB620" s="1148"/>
      <c r="AC620" s="1148"/>
      <c r="AD620" s="1148"/>
      <c r="AE620" s="1148"/>
      <c r="AF620" s="1148"/>
      <c r="AG620" s="1148">
        <v>6440000</v>
      </c>
      <c r="AH620" s="1148"/>
      <c r="AI620" s="1148"/>
      <c r="AJ620" s="1148"/>
      <c r="AK620" s="1148"/>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632</v>
      </c>
      <c r="C621" s="1181" t="s">
        <v>1724</v>
      </c>
      <c r="D621" s="1157"/>
      <c r="E621" s="1157"/>
      <c r="F621" s="1157"/>
      <c r="G621" s="1157"/>
      <c r="H621" s="1157"/>
      <c r="I621" s="1157"/>
      <c r="J621" s="1157"/>
      <c r="K621" s="1157"/>
      <c r="L621" s="1157"/>
      <c r="M621" s="1157"/>
      <c r="N621" s="1157"/>
      <c r="O621" s="1182"/>
      <c r="P621" s="1123">
        <v>660</v>
      </c>
      <c r="Q621" s="1124"/>
      <c r="R621" s="1125"/>
      <c r="S621" s="1274"/>
      <c r="T621" s="1135"/>
      <c r="U621" s="1136"/>
      <c r="V621" s="1123" t="s">
        <v>504</v>
      </c>
      <c r="W621" s="1124"/>
      <c r="X621" s="1124"/>
      <c r="Y621" s="1124"/>
      <c r="Z621" s="1124"/>
      <c r="AA621" s="1125"/>
      <c r="AB621" s="1148"/>
      <c r="AC621" s="1148"/>
      <c r="AD621" s="1148"/>
      <c r="AE621" s="1148"/>
      <c r="AF621" s="1148"/>
      <c r="AG621" s="1148">
        <v>2000000</v>
      </c>
      <c r="AH621" s="1148"/>
      <c r="AI621" s="1148"/>
      <c r="AJ621" s="1148"/>
      <c r="AK621" s="1148"/>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2</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842</v>
      </c>
      <c r="C622" s="1181" t="s">
        <v>1725</v>
      </c>
      <c r="D622" s="1157"/>
      <c r="E622" s="1157"/>
      <c r="F622" s="1157"/>
      <c r="G622" s="1157"/>
      <c r="H622" s="1157"/>
      <c r="I622" s="1157"/>
      <c r="J622" s="1157"/>
      <c r="K622" s="1157"/>
      <c r="L622" s="1157"/>
      <c r="M622" s="1157"/>
      <c r="N622" s="1157"/>
      <c r="O622" s="1182"/>
      <c r="P622" s="1123">
        <v>660</v>
      </c>
      <c r="Q622" s="1124"/>
      <c r="R622" s="1125"/>
      <c r="S622" s="1274"/>
      <c r="T622" s="1135"/>
      <c r="U622" s="1136"/>
      <c r="V622" s="1123"/>
      <c r="W622" s="1124"/>
      <c r="X622" s="1124"/>
      <c r="Y622" s="1124"/>
      <c r="Z622" s="1124"/>
      <c r="AA622" s="1125"/>
      <c r="AB622" s="1148"/>
      <c r="AC622" s="1148"/>
      <c r="AD622" s="1148"/>
      <c r="AE622" s="1148"/>
      <c r="AF622" s="1148"/>
      <c r="AG622" s="1148">
        <v>890000</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81" t="s">
        <v>1726</v>
      </c>
      <c r="D623" s="1157"/>
      <c r="E623" s="1157"/>
      <c r="F623" s="1157"/>
      <c r="G623" s="1157"/>
      <c r="H623" s="1157"/>
      <c r="I623" s="1157"/>
      <c r="J623" s="1157"/>
      <c r="K623" s="1157"/>
      <c r="L623" s="1157"/>
      <c r="M623" s="1157"/>
      <c r="N623" s="1157"/>
      <c r="O623" s="1182"/>
      <c r="P623" s="1123"/>
      <c r="Q623" s="1124"/>
      <c r="R623" s="1125"/>
      <c r="S623" s="1274"/>
      <c r="T623" s="1135"/>
      <c r="U623" s="1136"/>
      <c r="V623" s="1123"/>
      <c r="W623" s="1124"/>
      <c r="X623" s="1124"/>
      <c r="Y623" s="1124"/>
      <c r="Z623" s="1124"/>
      <c r="AA623" s="1125"/>
      <c r="AB623" s="1148"/>
      <c r="AC623" s="1148"/>
      <c r="AD623" s="1148"/>
      <c r="AE623" s="1148"/>
      <c r="AF623" s="1148"/>
      <c r="AG623" s="1148">
        <v>2509656</v>
      </c>
      <c r="AH623" s="1148"/>
      <c r="AI623" s="1148"/>
      <c r="AJ623" s="1148"/>
      <c r="AK623" s="1148"/>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501</v>
      </c>
      <c r="C624" s="1181" t="s">
        <v>1736</v>
      </c>
      <c r="D624" s="1157"/>
      <c r="E624" s="1157"/>
      <c r="F624" s="1157"/>
      <c r="G624" s="1157"/>
      <c r="H624" s="1157"/>
      <c r="I624" s="1157"/>
      <c r="J624" s="1157"/>
      <c r="K624" s="1157"/>
      <c r="L624" s="1157"/>
      <c r="M624" s="1157"/>
      <c r="N624" s="1157"/>
      <c r="O624" s="1182"/>
      <c r="P624" s="1123"/>
      <c r="Q624" s="1124"/>
      <c r="R624" s="1125"/>
      <c r="S624" s="1274"/>
      <c r="T624" s="1135"/>
      <c r="U624" s="1136"/>
      <c r="V624" s="1123" t="s">
        <v>505</v>
      </c>
      <c r="W624" s="1124"/>
      <c r="X624" s="1124"/>
      <c r="Y624" s="1124"/>
      <c r="Z624" s="1124"/>
      <c r="AA624" s="1125"/>
      <c r="AB624" s="1148"/>
      <c r="AC624" s="1148"/>
      <c r="AD624" s="1148"/>
      <c r="AE624" s="1148"/>
      <c r="AF624" s="1148"/>
      <c r="AG624" s="1148">
        <v>204482</v>
      </c>
      <c r="AH624" s="1148"/>
      <c r="AI624" s="1148"/>
      <c r="AJ624" s="1148"/>
      <c r="AK624" s="1148"/>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502</v>
      </c>
      <c r="C625" s="1157"/>
      <c r="D625" s="1157"/>
      <c r="E625" s="1157"/>
      <c r="F625" s="1157"/>
      <c r="G625" s="1157"/>
      <c r="H625" s="1157"/>
      <c r="I625" s="1157"/>
      <c r="J625" s="1157"/>
      <c r="K625" s="1157"/>
      <c r="L625" s="1157"/>
      <c r="M625" s="1157"/>
      <c r="N625" s="1157"/>
      <c r="O625" s="1182"/>
      <c r="P625" s="1123"/>
      <c r="Q625" s="1124"/>
      <c r="R625" s="1125"/>
      <c r="S625" s="1274"/>
      <c r="T625" s="1135"/>
      <c r="U625" s="1136"/>
      <c r="V625" s="1123"/>
      <c r="W625" s="1124"/>
      <c r="X625" s="1124"/>
      <c r="Y625" s="1124"/>
      <c r="Z625" s="1124"/>
      <c r="AA625" s="1125"/>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508</v>
      </c>
      <c r="C626" s="1157"/>
      <c r="D626" s="1157"/>
      <c r="E626" s="1157"/>
      <c r="F626" s="1157"/>
      <c r="G626" s="1157"/>
      <c r="H626" s="1157"/>
      <c r="I626" s="1157"/>
      <c r="J626" s="1157"/>
      <c r="K626" s="1157"/>
      <c r="L626" s="1157"/>
      <c r="M626" s="1157"/>
      <c r="N626" s="1157"/>
      <c r="O626" s="1182"/>
      <c r="P626" s="1123"/>
      <c r="Q626" s="1124"/>
      <c r="R626" s="1125"/>
      <c r="S626" s="1274"/>
      <c r="T626" s="1135"/>
      <c r="U626" s="1136"/>
      <c r="V626" s="1123"/>
      <c r="W626" s="1124"/>
      <c r="X626" s="1124"/>
      <c r="Y626" s="1124"/>
      <c r="Z626" s="1124"/>
      <c r="AA626" s="1125"/>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697</v>
      </c>
      <c r="C627" s="1157"/>
      <c r="D627" s="1157"/>
      <c r="E627" s="1157"/>
      <c r="F627" s="1157"/>
      <c r="G627" s="1157"/>
      <c r="H627" s="1157"/>
      <c r="I627" s="1157"/>
      <c r="J627" s="1157"/>
      <c r="K627" s="1157"/>
      <c r="L627" s="1157"/>
      <c r="M627" s="1157"/>
      <c r="N627" s="1157"/>
      <c r="O627" s="1182"/>
      <c r="P627" s="1123"/>
      <c r="Q627" s="1124"/>
      <c r="R627" s="1125"/>
      <c r="S627" s="1274"/>
      <c r="T627" s="1135"/>
      <c r="U627" s="1136"/>
      <c r="V627" s="1123"/>
      <c r="W627" s="1124"/>
      <c r="X627" s="1124"/>
      <c r="Y627" s="1124"/>
      <c r="Z627" s="1124"/>
      <c r="AA627" s="1125"/>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386</v>
      </c>
      <c r="C628" s="1157"/>
      <c r="D628" s="1157"/>
      <c r="E628" s="1157"/>
      <c r="F628" s="1157"/>
      <c r="G628" s="1157"/>
      <c r="H628" s="1157"/>
      <c r="I628" s="1157"/>
      <c r="J628" s="1157"/>
      <c r="K628" s="1157"/>
      <c r="L628" s="1157"/>
      <c r="M628" s="1157"/>
      <c r="N628" s="1157"/>
      <c r="O628" s="1182"/>
      <c r="P628" s="1123"/>
      <c r="Q628" s="1124"/>
      <c r="R628" s="1125"/>
      <c r="S628" s="1274"/>
      <c r="T628" s="1135"/>
      <c r="U628" s="1136"/>
      <c r="V628" s="1123"/>
      <c r="W628" s="1124"/>
      <c r="X628" s="1124"/>
      <c r="Y628" s="1124"/>
      <c r="Z628" s="1124"/>
      <c r="AA628" s="1125"/>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387</v>
      </c>
      <c r="C629" s="1181"/>
      <c r="D629" s="1157"/>
      <c r="E629" s="1157"/>
      <c r="F629" s="1157"/>
      <c r="G629" s="1157"/>
      <c r="H629" s="1157"/>
      <c r="I629" s="1157"/>
      <c r="J629" s="1157"/>
      <c r="K629" s="1157"/>
      <c r="L629" s="1157"/>
      <c r="M629" s="1157"/>
      <c r="N629" s="1157"/>
      <c r="O629" s="1182"/>
      <c r="P629" s="1123"/>
      <c r="Q629" s="1124"/>
      <c r="R629" s="1125"/>
      <c r="S629" s="1274"/>
      <c r="T629" s="1135"/>
      <c r="U629" s="1136"/>
      <c r="V629" s="1123"/>
      <c r="W629" s="1124"/>
      <c r="X629" s="1124"/>
      <c r="Y629" s="1124"/>
      <c r="Z629" s="1124"/>
      <c r="AA629" s="1125"/>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7" t="s">
        <v>135</v>
      </c>
      <c r="C630" s="1387"/>
      <c r="D630" s="1387"/>
      <c r="E630" s="1387"/>
      <c r="F630" s="1387"/>
      <c r="G630" s="1387"/>
      <c r="H630" s="1387"/>
      <c r="I630" s="1387"/>
      <c r="J630" s="1387"/>
      <c r="K630" s="1387"/>
      <c r="L630" s="1387"/>
      <c r="M630" s="1387"/>
      <c r="N630" s="1387"/>
      <c r="O630" s="1387"/>
      <c r="P630" s="1387"/>
      <c r="Q630" s="1387"/>
      <c r="R630" s="1387"/>
      <c r="S630" s="1387"/>
      <c r="T630" s="1387"/>
      <c r="U630" s="1387"/>
      <c r="V630" s="1387"/>
      <c r="W630" s="1387"/>
      <c r="X630" s="1387"/>
      <c r="Y630" s="1387"/>
      <c r="Z630" s="1387"/>
      <c r="AA630" s="1387"/>
      <c r="AB630" s="1387"/>
      <c r="AC630" s="1387"/>
      <c r="AD630" s="1387"/>
      <c r="AE630" s="1387"/>
      <c r="AF630" s="1387"/>
      <c r="AG630" s="1218">
        <f>SUM(AG618:AJ629)</f>
        <v>32655753</v>
      </c>
      <c r="AH630" s="1219"/>
      <c r="AI630" s="1219"/>
      <c r="AJ630" s="1219"/>
      <c r="AK630" s="1220"/>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7" t="s">
        <v>283</v>
      </c>
      <c r="C631" s="1387"/>
      <c r="D631" s="1387"/>
      <c r="E631" s="1387"/>
      <c r="F631" s="1387"/>
      <c r="G631" s="1387"/>
      <c r="H631" s="1387"/>
      <c r="I631" s="1387"/>
      <c r="J631" s="1387"/>
      <c r="K631" s="1387"/>
      <c r="L631" s="1387"/>
      <c r="M631" s="1387"/>
      <c r="N631" s="1387"/>
      <c r="O631" s="1387"/>
      <c r="P631" s="1387"/>
      <c r="Q631" s="1387"/>
      <c r="R631" s="1387"/>
      <c r="S631" s="1387"/>
      <c r="T631" s="1387"/>
      <c r="U631" s="1387"/>
      <c r="V631" s="1387"/>
      <c r="W631" s="1387"/>
      <c r="X631" s="1387"/>
      <c r="Y631" s="1387"/>
      <c r="Z631" s="1387"/>
      <c r="AA631" s="1387"/>
      <c r="AB631" s="1387"/>
      <c r="AC631" s="1387"/>
      <c r="AD631" s="1387"/>
      <c r="AE631" s="1387"/>
      <c r="AF631" s="1387"/>
      <c r="AG631" s="1206">
        <f>16038463-202500</f>
        <v>15835963</v>
      </c>
      <c r="AH631" s="1207"/>
      <c r="AI631" s="1207"/>
      <c r="AJ631" s="1207"/>
      <c r="AK631" s="1208"/>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7" t="s">
        <v>284</v>
      </c>
      <c r="C632" s="1387"/>
      <c r="D632" s="1387"/>
      <c r="E632" s="1387"/>
      <c r="F632" s="1387"/>
      <c r="G632" s="1387"/>
      <c r="H632" s="1387"/>
      <c r="I632" s="1387"/>
      <c r="J632" s="1387"/>
      <c r="K632" s="1387"/>
      <c r="L632" s="1387"/>
      <c r="M632" s="1387"/>
      <c r="N632" s="1387"/>
      <c r="O632" s="1387"/>
      <c r="P632" s="1387"/>
      <c r="Q632" s="1387"/>
      <c r="R632" s="1387"/>
      <c r="S632" s="1387"/>
      <c r="T632" s="1387"/>
      <c r="U632" s="1387"/>
      <c r="V632" s="1387"/>
      <c r="W632" s="1387"/>
      <c r="X632" s="1387"/>
      <c r="Y632" s="1387"/>
      <c r="Z632" s="1387"/>
      <c r="AA632" s="1387"/>
      <c r="AB632" s="1387"/>
      <c r="AC632" s="1387"/>
      <c r="AD632" s="1387"/>
      <c r="AE632" s="1387"/>
      <c r="AF632" s="1387"/>
      <c r="AG632" s="1218">
        <f>AG630+AG631</f>
        <v>48491716</v>
      </c>
      <c r="AH632" s="1219"/>
      <c r="AI632" s="1219"/>
      <c r="AJ632" s="1219"/>
      <c r="AK632" s="1220"/>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510</v>
      </c>
      <c r="G634" s="1180" t="str">
        <f>C618</f>
        <v>US Bank, N.A.</v>
      </c>
      <c r="H634" s="1180"/>
      <c r="I634" s="1180"/>
      <c r="J634" s="1180"/>
      <c r="K634" s="1180"/>
      <c r="L634" s="1180"/>
      <c r="M634" s="1180"/>
      <c r="N634" s="1180"/>
      <c r="O634" s="1180"/>
      <c r="P634" s="1180"/>
      <c r="Q634" s="1180"/>
      <c r="R634" s="1180"/>
      <c r="S634" s="14"/>
      <c r="T634" s="87" t="s">
        <v>120</v>
      </c>
      <c r="U634" s="12" t="s">
        <v>510</v>
      </c>
      <c r="Z634" s="1180" t="str">
        <f>C619</f>
        <v>HCD- MHP</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1" t="str">
        <f>G560</f>
        <v>1307 Washington Ave., Suite 300</v>
      </c>
      <c r="H635" s="1091"/>
      <c r="I635" s="1091"/>
      <c r="J635" s="1091"/>
      <c r="K635" s="1091"/>
      <c r="L635" s="1091"/>
      <c r="M635" s="1091"/>
      <c r="N635" s="1091"/>
      <c r="O635" s="1091"/>
      <c r="P635" s="1091"/>
      <c r="Q635" s="1091"/>
      <c r="R635" s="1091"/>
      <c r="S635" s="14"/>
      <c r="T635" s="35"/>
      <c r="U635" s="12" t="s">
        <v>92</v>
      </c>
      <c r="Z635" s="1091" t="s">
        <v>1737</v>
      </c>
      <c r="AA635" s="1091"/>
      <c r="AB635" s="1091"/>
      <c r="AC635" s="1091"/>
      <c r="AD635" s="1091"/>
      <c r="AE635" s="1091"/>
      <c r="AF635" s="1091"/>
      <c r="AG635" s="1091"/>
      <c r="AH635" s="1091"/>
      <c r="AI635" s="1091"/>
      <c r="AJ635" s="1091"/>
      <c r="AK635" s="1091"/>
      <c r="AM635" s="61"/>
      <c r="AN635" s="61"/>
      <c r="AO635" s="61"/>
      <c r="AP635" s="61"/>
      <c r="AQ635" s="61"/>
      <c r="AR635" s="61"/>
      <c r="AS635" s="61"/>
      <c r="AT635" s="61"/>
      <c r="AU635" s="61"/>
      <c r="AV635" s="61"/>
      <c r="AW635" s="61"/>
      <c r="AX635" s="61"/>
      <c r="AY635" s="61"/>
      <c r="AZ635" s="61"/>
      <c r="BA635" s="1299">
        <f>BA614+BA621+BA633</f>
        <v>0</v>
      </c>
      <c r="BB635" s="1300"/>
      <c r="BC635" s="1300"/>
      <c r="BD635" s="1300"/>
      <c r="BE635" s="1301"/>
      <c r="BF635" s="1299">
        <f>BF614+BF621+BF633</f>
        <v>58</v>
      </c>
      <c r="BG635" s="1300"/>
      <c r="BH635" s="1300"/>
      <c r="BI635" s="1300"/>
      <c r="BJ635" s="1301"/>
      <c r="BK635" s="1299">
        <f>BK614+BK621+BK633</f>
        <v>33</v>
      </c>
      <c r="BL635" s="1300"/>
      <c r="BM635" s="1300"/>
      <c r="BN635" s="1300"/>
      <c r="BO635" s="1301"/>
      <c r="BP635" s="1299">
        <f>BP614+BP621+BP633</f>
        <v>0</v>
      </c>
      <c r="BQ635" s="1300"/>
      <c r="BR635" s="1300"/>
      <c r="BS635" s="1300"/>
      <c r="BT635" s="1301"/>
      <c r="BU635" s="1299">
        <f>BU614+BU621+BU633</f>
        <v>0</v>
      </c>
      <c r="BV635" s="1300"/>
      <c r="BW635" s="1300"/>
      <c r="BX635" s="1300"/>
      <c r="BY635" s="1301"/>
      <c r="BZ635" s="1257">
        <f>BZ633+BZ621+BZ614</f>
        <v>0</v>
      </c>
      <c r="CA635" s="1294"/>
      <c r="CB635" s="1294"/>
      <c r="CC635" s="1294"/>
      <c r="CD635" s="1258"/>
      <c r="CE635" s="58"/>
      <c r="CF635" s="58"/>
      <c r="CG635" s="58"/>
      <c r="CH635" s="58"/>
      <c r="CI635" s="58"/>
      <c r="CJ635" s="58"/>
      <c r="CK635" s="58"/>
      <c r="CL635" s="58"/>
      <c r="CM635" s="58"/>
      <c r="CN635" s="58"/>
      <c r="CO635" s="58"/>
      <c r="CP635" s="58"/>
      <c r="CQ635" s="58"/>
      <c r="CR635" s="58"/>
    </row>
    <row r="636" spans="1:96" ht="12.75">
      <c r="A636" s="35"/>
      <c r="B636" s="12" t="s">
        <v>631</v>
      </c>
      <c r="G636" s="1091" t="str">
        <f t="shared" ref="G636:G637" si="22">G561</f>
        <v>St. Louis, MO 63103</v>
      </c>
      <c r="H636" s="1091"/>
      <c r="I636" s="1091"/>
      <c r="J636" s="1091"/>
      <c r="K636" s="1091"/>
      <c r="L636" s="1091"/>
      <c r="M636" s="1091"/>
      <c r="N636" s="1091"/>
      <c r="O636" s="1091"/>
      <c r="P636" s="1091"/>
      <c r="Q636" s="1091"/>
      <c r="R636" s="1091"/>
      <c r="S636" s="88"/>
      <c r="T636" s="35"/>
      <c r="U636" s="12" t="s">
        <v>631</v>
      </c>
      <c r="Z636" s="1090" t="s">
        <v>73</v>
      </c>
      <c r="AA636" s="1090"/>
      <c r="AB636" s="1090"/>
      <c r="AC636" s="1090"/>
      <c r="AD636" s="1090"/>
      <c r="AE636" s="1090"/>
      <c r="AF636" s="1090"/>
      <c r="AG636" s="1090"/>
      <c r="AH636" s="1090"/>
      <c r="AI636" s="1090"/>
      <c r="AJ636" s="1090"/>
      <c r="AK636" s="109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1" t="str">
        <f t="shared" si="22"/>
        <v>Jennifer Craig</v>
      </c>
      <c r="H637" s="1091"/>
      <c r="I637" s="1091"/>
      <c r="J637" s="1091"/>
      <c r="K637" s="1091"/>
      <c r="L637" s="1091"/>
      <c r="M637" s="1091"/>
      <c r="N637" s="1091"/>
      <c r="O637" s="1091"/>
      <c r="P637" s="1091"/>
      <c r="Q637" s="1091"/>
      <c r="R637" s="1091"/>
      <c r="S637" s="14"/>
      <c r="T637" s="35"/>
      <c r="U637" s="12" t="s">
        <v>19</v>
      </c>
      <c r="Z637" s="1090" t="s">
        <v>1738</v>
      </c>
      <c r="AA637" s="1090"/>
      <c r="AB637" s="1090"/>
      <c r="AC637" s="1090"/>
      <c r="AD637" s="1090"/>
      <c r="AE637" s="1090"/>
      <c r="AF637" s="1090"/>
      <c r="AG637" s="1090"/>
      <c r="AH637" s="1090"/>
      <c r="AI637" s="1090"/>
      <c r="AJ637" s="1090"/>
      <c r="AK637" s="109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7" t="str">
        <f>G563</f>
        <v>314-335-1422</v>
      </c>
      <c r="H638" s="1127"/>
      <c r="I638" s="1127"/>
      <c r="J638" s="1127"/>
      <c r="K638" s="1127"/>
      <c r="L638" s="1127"/>
      <c r="O638" s="140" t="s">
        <v>220</v>
      </c>
      <c r="P638" s="1157"/>
      <c r="Q638" s="1157"/>
      <c r="R638" s="1157"/>
      <c r="S638" s="16"/>
      <c r="T638" s="35"/>
      <c r="U638" s="12" t="s">
        <v>338</v>
      </c>
      <c r="Z638" s="1260" t="s">
        <v>1739</v>
      </c>
      <c r="AA638" s="1127"/>
      <c r="AB638" s="1127"/>
      <c r="AC638" s="1127"/>
      <c r="AD638" s="1127"/>
      <c r="AE638" s="1127"/>
      <c r="AH638" s="140" t="s">
        <v>220</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1" t="s">
        <v>1790</v>
      </c>
      <c r="I639" s="1091"/>
      <c r="J639" s="1091"/>
      <c r="K639" s="1091"/>
      <c r="L639" s="1091"/>
      <c r="M639" s="1091"/>
      <c r="N639" s="1091"/>
      <c r="O639" s="1091"/>
      <c r="P639" s="1091"/>
      <c r="Q639" s="1091"/>
      <c r="R639" s="1091"/>
      <c r="S639" s="14"/>
      <c r="T639" s="35"/>
      <c r="U639" s="12" t="s">
        <v>20</v>
      </c>
      <c r="AA639" s="1091" t="s">
        <v>1732</v>
      </c>
      <c r="AB639" s="1091"/>
      <c r="AC639" s="1091"/>
      <c r="AD639" s="1091"/>
      <c r="AE639" s="1091"/>
      <c r="AF639" s="1091"/>
      <c r="AG639" s="1091"/>
      <c r="AH639" s="1091"/>
      <c r="AI639" s="1091"/>
      <c r="AJ639" s="1091"/>
      <c r="AK639" s="109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592</v>
      </c>
      <c r="O640" s="1121"/>
      <c r="T640" s="35"/>
      <c r="U640" s="12" t="s">
        <v>22</v>
      </c>
      <c r="AG640" s="1121" t="s">
        <v>592</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0" t="str">
        <f>C620</f>
        <v>LACDA - NPLH</v>
      </c>
      <c r="H642" s="1180"/>
      <c r="I642" s="1180"/>
      <c r="J642" s="1180"/>
      <c r="K642" s="1180"/>
      <c r="L642" s="1180"/>
      <c r="M642" s="1180"/>
      <c r="N642" s="1180"/>
      <c r="O642" s="1180"/>
      <c r="P642" s="1180"/>
      <c r="Q642" s="1180"/>
      <c r="R642" s="1180"/>
      <c r="T642" s="87" t="s">
        <v>632</v>
      </c>
      <c r="U642" s="12" t="s">
        <v>510</v>
      </c>
      <c r="Z642" s="1180" t="str">
        <f>C621</f>
        <v>LACDA - AHTF</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1" t="s">
        <v>1728</v>
      </c>
      <c r="H643" s="1091"/>
      <c r="I643" s="1091"/>
      <c r="J643" s="1091"/>
      <c r="K643" s="1091"/>
      <c r="L643" s="1091"/>
      <c r="M643" s="1091"/>
      <c r="N643" s="1091"/>
      <c r="O643" s="1091"/>
      <c r="P643" s="1091"/>
      <c r="Q643" s="1091"/>
      <c r="R643" s="1091"/>
      <c r="T643" s="35"/>
      <c r="U643" s="12" t="s">
        <v>92</v>
      </c>
      <c r="Z643" s="1091" t="s">
        <v>1728</v>
      </c>
      <c r="AA643" s="1091"/>
      <c r="AB643" s="1091"/>
      <c r="AC643" s="1091"/>
      <c r="AD643" s="1091"/>
      <c r="AE643" s="1091"/>
      <c r="AF643" s="1091"/>
      <c r="AG643" s="1091"/>
      <c r="AH643" s="1091"/>
      <c r="AI643" s="1091"/>
      <c r="AJ643" s="1091"/>
      <c r="AK643" s="109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0" t="s">
        <v>1729</v>
      </c>
      <c r="H644" s="1090"/>
      <c r="I644" s="1090"/>
      <c r="J644" s="1090"/>
      <c r="K644" s="1090"/>
      <c r="L644" s="1090"/>
      <c r="M644" s="1090"/>
      <c r="N644" s="1090"/>
      <c r="O644" s="1090"/>
      <c r="P644" s="1090"/>
      <c r="Q644" s="1090"/>
      <c r="R644" s="1090"/>
      <c r="T644" s="35"/>
      <c r="U644" s="12" t="s">
        <v>631</v>
      </c>
      <c r="Z644" s="1090" t="s">
        <v>1729</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0" t="s">
        <v>1730</v>
      </c>
      <c r="H645" s="1090"/>
      <c r="I645" s="1090"/>
      <c r="J645" s="1090"/>
      <c r="K645" s="1090"/>
      <c r="L645" s="1090"/>
      <c r="M645" s="1090"/>
      <c r="N645" s="1090"/>
      <c r="O645" s="1090"/>
      <c r="P645" s="1090"/>
      <c r="Q645" s="1090"/>
      <c r="R645" s="1090"/>
      <c r="T645" s="35"/>
      <c r="U645" s="12" t="s">
        <v>19</v>
      </c>
      <c r="Z645" s="1090" t="s">
        <v>1730</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60" t="s">
        <v>1731</v>
      </c>
      <c r="H646" s="1127"/>
      <c r="I646" s="1127"/>
      <c r="J646" s="1127"/>
      <c r="K646" s="1127"/>
      <c r="L646" s="1127"/>
      <c r="O646" s="140" t="s">
        <v>220</v>
      </c>
      <c r="P646" s="1157"/>
      <c r="Q646" s="1157"/>
      <c r="R646" s="1157"/>
      <c r="T646" s="35"/>
      <c r="U646" s="12" t="s">
        <v>338</v>
      </c>
      <c r="Z646" s="1260" t="s">
        <v>1731</v>
      </c>
      <c r="AA646" s="1127"/>
      <c r="AB646" s="1127"/>
      <c r="AC646" s="1127"/>
      <c r="AD646" s="1127"/>
      <c r="AE646" s="1127"/>
      <c r="AH646" s="140" t="s">
        <v>220</v>
      </c>
      <c r="AI646" s="1157"/>
      <c r="AJ646" s="1157"/>
      <c r="AK646" s="115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1" t="s">
        <v>1732</v>
      </c>
      <c r="I647" s="1091"/>
      <c r="J647" s="1091"/>
      <c r="K647" s="1091"/>
      <c r="L647" s="1091"/>
      <c r="M647" s="1091"/>
      <c r="N647" s="1091"/>
      <c r="O647" s="1091"/>
      <c r="P647" s="1091"/>
      <c r="Q647" s="1091"/>
      <c r="R647" s="1091"/>
      <c r="T647" s="35"/>
      <c r="U647" s="12" t="s">
        <v>20</v>
      </c>
      <c r="AA647" s="1091" t="s">
        <v>1732</v>
      </c>
      <c r="AB647" s="1091"/>
      <c r="AC647" s="1091"/>
      <c r="AD647" s="1091"/>
      <c r="AE647" s="1091"/>
      <c r="AF647" s="1091"/>
      <c r="AG647" s="1091"/>
      <c r="AH647" s="1091"/>
      <c r="AI647" s="1091"/>
      <c r="AJ647" s="1091"/>
      <c r="AK647" s="109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592</v>
      </c>
      <c r="O648" s="1121"/>
      <c r="T648" s="35"/>
      <c r="U648" s="12" t="s">
        <v>22</v>
      </c>
      <c r="AG648" s="1121" t="s">
        <v>592</v>
      </c>
      <c r="AH648" s="112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1958</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0" t="str">
        <f>C622</f>
        <v>FHLB SF AHP</v>
      </c>
      <c r="H650" s="1180"/>
      <c r="I650" s="1180"/>
      <c r="J650" s="1180"/>
      <c r="K650" s="1180"/>
      <c r="L650" s="1180"/>
      <c r="M650" s="1180"/>
      <c r="N650" s="1180"/>
      <c r="O650" s="1180"/>
      <c r="P650" s="1180"/>
      <c r="Q650" s="1180"/>
      <c r="R650" s="1180"/>
      <c r="T650" s="87" t="s">
        <v>635</v>
      </c>
      <c r="U650" s="12" t="s">
        <v>510</v>
      </c>
      <c r="Z650" s="1180" t="str">
        <f>C623</f>
        <v>GP Equity</v>
      </c>
      <c r="AA650" s="1180"/>
      <c r="AB650" s="1180"/>
      <c r="AC650" s="1180"/>
      <c r="AD650" s="1180"/>
      <c r="AE650" s="1180"/>
      <c r="AF650" s="1180"/>
      <c r="AG650" s="1180"/>
      <c r="AH650" s="1180"/>
      <c r="AI650" s="1180"/>
      <c r="AJ650" s="1180"/>
      <c r="AK650" s="1180"/>
      <c r="AM650" s="58"/>
      <c r="AN650" s="463">
        <f t="shared" si="23"/>
        <v>1958</v>
      </c>
      <c r="AO650" s="58"/>
      <c r="AP650" s="58"/>
      <c r="AQ650" s="58"/>
      <c r="AR650" s="58"/>
      <c r="AS650" s="399"/>
      <c r="AT650" s="473">
        <f t="shared" ref="AT650:AT674" si="24">G709</f>
        <v>27</v>
      </c>
      <c r="AU650" s="477">
        <f>AT650/$AT$675</f>
        <v>0.30337078651685395</v>
      </c>
      <c r="AV650" s="478">
        <f t="shared" ref="AV650:AV674" si="25">IF(AU650=0," ",AU650*AD709)</f>
        <v>0.15168539325842698</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1" t="str">
        <f>Z569</f>
        <v>600 California St</v>
      </c>
      <c r="H651" s="1091"/>
      <c r="I651" s="1091"/>
      <c r="J651" s="1091"/>
      <c r="K651" s="1091"/>
      <c r="L651" s="1091"/>
      <c r="M651" s="1091"/>
      <c r="N651" s="1091"/>
      <c r="O651" s="1091"/>
      <c r="P651" s="1091"/>
      <c r="Q651" s="1091"/>
      <c r="R651" s="1091"/>
      <c r="T651" s="35"/>
      <c r="U651" s="12" t="s">
        <v>92</v>
      </c>
      <c r="Z651" s="1091" t="s">
        <v>1655</v>
      </c>
      <c r="AA651" s="1091"/>
      <c r="AB651" s="1091"/>
      <c r="AC651" s="1091"/>
      <c r="AD651" s="1091"/>
      <c r="AE651" s="1091"/>
      <c r="AF651" s="1091"/>
      <c r="AG651" s="1091"/>
      <c r="AH651" s="1091"/>
      <c r="AI651" s="1091"/>
      <c r="AJ651" s="1091"/>
      <c r="AK651" s="1091"/>
      <c r="AM651" s="58"/>
      <c r="AN651" s="463">
        <f t="shared" si="23"/>
        <v>2350</v>
      </c>
      <c r="AO651" s="58"/>
      <c r="AP651" s="58"/>
      <c r="AQ651" s="58"/>
      <c r="AR651" s="58"/>
      <c r="AS651" s="399"/>
      <c r="AT651" s="474">
        <f t="shared" si="24"/>
        <v>13</v>
      </c>
      <c r="AU651" s="477">
        <f t="shared" ref="AU651:AU674" si="26">AT651/$AT$675</f>
        <v>0.14606741573033707</v>
      </c>
      <c r="AV651" s="478">
        <f t="shared" si="25"/>
        <v>8.7640449438202248E-2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1" t="str">
        <f t="shared" ref="G652:G653" si="27">Z570</f>
        <v>San Francisco, CA 94108</v>
      </c>
      <c r="H652" s="1091"/>
      <c r="I652" s="1091"/>
      <c r="J652" s="1091"/>
      <c r="K652" s="1091"/>
      <c r="L652" s="1091"/>
      <c r="M652" s="1091"/>
      <c r="N652" s="1091"/>
      <c r="O652" s="1091"/>
      <c r="P652" s="1091"/>
      <c r="Q652" s="1091"/>
      <c r="R652" s="1091"/>
      <c r="T652" s="35"/>
      <c r="U652" s="12" t="s">
        <v>631</v>
      </c>
      <c r="Z652" s="1090" t="s">
        <v>541</v>
      </c>
      <c r="AA652" s="1090"/>
      <c r="AB652" s="1090"/>
      <c r="AC652" s="1090"/>
      <c r="AD652" s="1090"/>
      <c r="AE652" s="1090"/>
      <c r="AF652" s="1090"/>
      <c r="AG652" s="1090"/>
      <c r="AH652" s="1090"/>
      <c r="AI652" s="1090"/>
      <c r="AJ652" s="1090"/>
      <c r="AK652" s="1090"/>
      <c r="AM652" s="58"/>
      <c r="AN652" s="463">
        <f t="shared" si="23"/>
        <v>2350</v>
      </c>
      <c r="AO652" s="58"/>
      <c r="AP652" s="58"/>
      <c r="AQ652" s="58"/>
      <c r="AR652" s="58"/>
      <c r="AS652" s="399"/>
      <c r="AT652" s="474">
        <f t="shared" si="24"/>
        <v>4</v>
      </c>
      <c r="AU652" s="477">
        <f t="shared" si="26"/>
        <v>4.49438202247191E-2</v>
      </c>
      <c r="AV652" s="478">
        <f t="shared" si="25"/>
        <v>2.6966292134831458E-2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1" t="str">
        <f t="shared" si="27"/>
        <v>Kirby Ung</v>
      </c>
      <c r="H653" s="1091"/>
      <c r="I653" s="1091"/>
      <c r="J653" s="1091"/>
      <c r="K653" s="1091"/>
      <c r="L653" s="1091"/>
      <c r="M653" s="1091"/>
      <c r="N653" s="1091"/>
      <c r="O653" s="1091"/>
      <c r="P653" s="1091"/>
      <c r="Q653" s="1091"/>
      <c r="R653" s="1091"/>
      <c r="T653" s="35"/>
      <c r="U653" s="12" t="s">
        <v>19</v>
      </c>
      <c r="Z653" s="1090" t="s">
        <v>1657</v>
      </c>
      <c r="AA653" s="1090"/>
      <c r="AB653" s="1090"/>
      <c r="AC653" s="1090"/>
      <c r="AD653" s="1090"/>
      <c r="AE653" s="1090"/>
      <c r="AF653" s="1090"/>
      <c r="AG653" s="1090"/>
      <c r="AH653" s="1090"/>
      <c r="AI653" s="1090"/>
      <c r="AJ653" s="1090"/>
      <c r="AK653" s="1090"/>
      <c r="AM653" s="58"/>
      <c r="AN653" s="463">
        <f t="shared" si="23"/>
        <v>1958</v>
      </c>
      <c r="AO653" s="58"/>
      <c r="AP653" s="58"/>
      <c r="AQ653" s="58"/>
      <c r="AR653" s="58"/>
      <c r="AS653" s="399"/>
      <c r="AT653" s="474">
        <f t="shared" si="24"/>
        <v>2</v>
      </c>
      <c r="AU653" s="477">
        <f t="shared" si="26"/>
        <v>2.247191011235955E-2</v>
      </c>
      <c r="AV653" s="478">
        <f t="shared" si="25"/>
        <v>1.3483146067415729E-2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7" t="str">
        <f>Z572</f>
        <v xml:space="preserve">415-616-2640 </v>
      </c>
      <c r="H654" s="1127"/>
      <c r="I654" s="1127"/>
      <c r="J654" s="1127"/>
      <c r="K654" s="1127"/>
      <c r="L654" s="1127"/>
      <c r="O654" s="140" t="s">
        <v>220</v>
      </c>
      <c r="P654" s="1157"/>
      <c r="Q654" s="1157"/>
      <c r="R654" s="1157"/>
      <c r="T654" s="35"/>
      <c r="U654" s="12" t="s">
        <v>338</v>
      </c>
      <c r="Z654" s="1260" t="s">
        <v>1796</v>
      </c>
      <c r="AA654" s="1127"/>
      <c r="AB654" s="1127"/>
      <c r="AC654" s="1127"/>
      <c r="AD654" s="1127"/>
      <c r="AE654" s="1127"/>
      <c r="AH654" s="140" t="s">
        <v>220</v>
      </c>
      <c r="AI654" s="1157"/>
      <c r="AJ654" s="1157"/>
      <c r="AK654" s="1157"/>
      <c r="AM654" s="58"/>
      <c r="AN654" s="463">
        <f t="shared" si="23"/>
        <v>2350</v>
      </c>
      <c r="AO654" s="58"/>
      <c r="AP654" s="58"/>
      <c r="AQ654" s="58"/>
      <c r="AR654" s="58"/>
      <c r="AS654" s="399"/>
      <c r="AT654" s="474">
        <f t="shared" si="24"/>
        <v>18</v>
      </c>
      <c r="AU654" s="477">
        <f t="shared" si="26"/>
        <v>0.20224719101123595</v>
      </c>
      <c r="AV654" s="478">
        <f t="shared" si="25"/>
        <v>0.12134831460674156</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1" t="s">
        <v>1757</v>
      </c>
      <c r="I655" s="1091"/>
      <c r="J655" s="1091"/>
      <c r="K655" s="1091"/>
      <c r="L655" s="1091"/>
      <c r="M655" s="1091"/>
      <c r="N655" s="1091"/>
      <c r="O655" s="1091"/>
      <c r="P655" s="1091"/>
      <c r="Q655" s="1091"/>
      <c r="R655" s="1091"/>
      <c r="T655" s="35"/>
      <c r="U655" s="12" t="s">
        <v>20</v>
      </c>
      <c r="AA655" s="1091" t="s">
        <v>1797</v>
      </c>
      <c r="AB655" s="1091"/>
      <c r="AC655" s="1091"/>
      <c r="AD655" s="1091"/>
      <c r="AE655" s="1091"/>
      <c r="AF655" s="1091"/>
      <c r="AG655" s="1091"/>
      <c r="AH655" s="1091"/>
      <c r="AI655" s="1091"/>
      <c r="AJ655" s="1091"/>
      <c r="AK655" s="1091"/>
      <c r="AM655" s="58"/>
      <c r="AN655" s="463" t="str">
        <f t="shared" si="23"/>
        <v>N/A</v>
      </c>
      <c r="AO655" s="58"/>
      <c r="AP655" s="58"/>
      <c r="AQ655" s="58"/>
      <c r="AR655" s="58"/>
      <c r="AS655" s="399"/>
      <c r="AT655" s="474">
        <f t="shared" si="24"/>
        <v>25</v>
      </c>
      <c r="AU655" s="477">
        <f t="shared" si="26"/>
        <v>0.2808988764044944</v>
      </c>
      <c r="AV655" s="478">
        <f t="shared" si="25"/>
        <v>0.16853932584269662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1" t="s">
        <v>723</v>
      </c>
      <c r="O656" s="1121"/>
      <c r="T656" s="35"/>
      <c r="U656" s="12" t="s">
        <v>22</v>
      </c>
      <c r="AG656" s="1121" t="s">
        <v>592</v>
      </c>
      <c r="AH656" s="1121"/>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0" t="str">
        <f>C624</f>
        <v>Deferred Developer Fee</v>
      </c>
      <c r="H658" s="1180"/>
      <c r="I658" s="1180"/>
      <c r="J658" s="1180"/>
      <c r="K658" s="1180"/>
      <c r="L658" s="1180"/>
      <c r="M658" s="1180"/>
      <c r="N658" s="1180"/>
      <c r="O658" s="1180"/>
      <c r="P658" s="1180"/>
      <c r="Q658" s="1180"/>
      <c r="R658" s="1180"/>
      <c r="T658" s="87" t="s">
        <v>502</v>
      </c>
      <c r="U658" s="12" t="s">
        <v>510</v>
      </c>
      <c r="Z658" s="1180">
        <f>C625</f>
        <v>0</v>
      </c>
      <c r="AA658" s="1180"/>
      <c r="AB658" s="1180"/>
      <c r="AC658" s="1180"/>
      <c r="AD658" s="1180"/>
      <c r="AE658" s="1180"/>
      <c r="AF658" s="1180"/>
      <c r="AG658" s="1180"/>
      <c r="AH658" s="1180"/>
      <c r="AI658" s="1180"/>
      <c r="AJ658" s="1180"/>
      <c r="AK658" s="1180"/>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1" t="s">
        <v>1655</v>
      </c>
      <c r="H659" s="1091"/>
      <c r="I659" s="1091"/>
      <c r="J659" s="1091"/>
      <c r="K659" s="1091"/>
      <c r="L659" s="1091"/>
      <c r="M659" s="1091"/>
      <c r="N659" s="1091"/>
      <c r="O659" s="1091"/>
      <c r="P659" s="1091"/>
      <c r="Q659" s="1091"/>
      <c r="R659" s="1091"/>
      <c r="T659" s="35"/>
      <c r="U659" s="12" t="s">
        <v>92</v>
      </c>
      <c r="Z659" s="1091"/>
      <c r="AA659" s="1091"/>
      <c r="AB659" s="1091"/>
      <c r="AC659" s="1091"/>
      <c r="AD659" s="1091"/>
      <c r="AE659" s="1091"/>
      <c r="AF659" s="1091"/>
      <c r="AG659" s="1091"/>
      <c r="AH659" s="1091"/>
      <c r="AI659" s="1091"/>
      <c r="AJ659" s="1091"/>
      <c r="AK659" s="1091"/>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0" t="s">
        <v>541</v>
      </c>
      <c r="H660" s="1090"/>
      <c r="I660" s="1090"/>
      <c r="J660" s="1090"/>
      <c r="K660" s="1090"/>
      <c r="L660" s="1090"/>
      <c r="M660" s="1090"/>
      <c r="N660" s="1090"/>
      <c r="O660" s="1090"/>
      <c r="P660" s="1090"/>
      <c r="Q660" s="1090"/>
      <c r="R660" s="1090"/>
      <c r="T660" s="35"/>
      <c r="U660" s="12" t="s">
        <v>631</v>
      </c>
      <c r="Z660" s="1090"/>
      <c r="AA660" s="1090"/>
      <c r="AB660" s="1090"/>
      <c r="AC660" s="1090"/>
      <c r="AD660" s="1090"/>
      <c r="AE660" s="1090"/>
      <c r="AF660" s="1090"/>
      <c r="AG660" s="1090"/>
      <c r="AH660" s="1090"/>
      <c r="AI660" s="1090"/>
      <c r="AJ660" s="1090"/>
      <c r="AK660" s="1090"/>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0" t="s">
        <v>1657</v>
      </c>
      <c r="H661" s="1090"/>
      <c r="I661" s="1090"/>
      <c r="J661" s="1090"/>
      <c r="K661" s="1090"/>
      <c r="L661" s="1090"/>
      <c r="M661" s="1090"/>
      <c r="N661" s="1090"/>
      <c r="O661" s="1090"/>
      <c r="P661" s="1090"/>
      <c r="Q661" s="1090"/>
      <c r="R661" s="1090"/>
      <c r="T661" s="35"/>
      <c r="U661" s="12" t="s">
        <v>19</v>
      </c>
      <c r="Z661" s="1090"/>
      <c r="AA661" s="1090"/>
      <c r="AB661" s="1090"/>
      <c r="AC661" s="1090"/>
      <c r="AD661" s="1090"/>
      <c r="AE661" s="1090"/>
      <c r="AF661" s="1090"/>
      <c r="AG661" s="1090"/>
      <c r="AH661" s="1090"/>
      <c r="AI661" s="1090"/>
      <c r="AJ661" s="1090"/>
      <c r="AK661" s="1090"/>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60" t="s">
        <v>1796</v>
      </c>
      <c r="H662" s="1127"/>
      <c r="I662" s="1127"/>
      <c r="J662" s="1127"/>
      <c r="K662" s="1127"/>
      <c r="L662" s="1127"/>
      <c r="O662" s="140" t="s">
        <v>220</v>
      </c>
      <c r="P662" s="1157"/>
      <c r="Q662" s="1157"/>
      <c r="R662" s="1157"/>
      <c r="T662" s="35"/>
      <c r="U662" s="12" t="s">
        <v>338</v>
      </c>
      <c r="Z662" s="1127"/>
      <c r="AA662" s="1127"/>
      <c r="AB662" s="1127"/>
      <c r="AC662" s="1127"/>
      <c r="AD662" s="1127"/>
      <c r="AE662" s="1127"/>
      <c r="AH662" s="140" t="s">
        <v>220</v>
      </c>
      <c r="AI662" s="1157"/>
      <c r="AJ662" s="1157"/>
      <c r="AK662" s="1157"/>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1" t="s">
        <v>505</v>
      </c>
      <c r="I663" s="1091"/>
      <c r="J663" s="1091"/>
      <c r="K663" s="1091"/>
      <c r="L663" s="1091"/>
      <c r="M663" s="1091"/>
      <c r="N663" s="1091"/>
      <c r="O663" s="1091"/>
      <c r="P663" s="1091"/>
      <c r="Q663" s="1091"/>
      <c r="R663" s="1091"/>
      <c r="T663" s="35"/>
      <c r="U663" s="12" t="s">
        <v>20</v>
      </c>
      <c r="AA663" s="1091"/>
      <c r="AB663" s="1091"/>
      <c r="AC663" s="1091"/>
      <c r="AD663" s="1091"/>
      <c r="AE663" s="1091"/>
      <c r="AF663" s="1091"/>
      <c r="AG663" s="1091"/>
      <c r="AH663" s="1091"/>
      <c r="AI663" s="1091"/>
      <c r="AJ663" s="1091"/>
      <c r="AK663" s="1091"/>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592</v>
      </c>
      <c r="O664" s="1121"/>
      <c r="T664" s="35"/>
      <c r="U664" s="12" t="s">
        <v>22</v>
      </c>
      <c r="AG664" s="1121" t="s">
        <v>723</v>
      </c>
      <c r="AH664" s="1121"/>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0">
        <f>C626</f>
        <v>0</v>
      </c>
      <c r="H666" s="1180"/>
      <c r="I666" s="1180"/>
      <c r="J666" s="1180"/>
      <c r="K666" s="1180"/>
      <c r="L666" s="1180"/>
      <c r="M666" s="1180"/>
      <c r="N666" s="1180"/>
      <c r="O666" s="1180"/>
      <c r="P666" s="1180"/>
      <c r="Q666" s="1180"/>
      <c r="R666" s="1180"/>
      <c r="T666" s="87" t="s">
        <v>697</v>
      </c>
      <c r="U666" s="12" t="s">
        <v>510</v>
      </c>
      <c r="Z666" s="1180">
        <f>C627</f>
        <v>0</v>
      </c>
      <c r="AA666" s="1180"/>
      <c r="AB666" s="1180"/>
      <c r="AC666" s="1180"/>
      <c r="AD666" s="1180"/>
      <c r="AE666" s="1180"/>
      <c r="AF666" s="1180"/>
      <c r="AG666" s="1180"/>
      <c r="AH666" s="1180"/>
      <c r="AI666" s="1180"/>
      <c r="AJ666" s="1180"/>
      <c r="AK666" s="1180"/>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1"/>
      <c r="H667" s="1091"/>
      <c r="I667" s="1091"/>
      <c r="J667" s="1091"/>
      <c r="K667" s="1091"/>
      <c r="L667" s="1091"/>
      <c r="M667" s="1091"/>
      <c r="N667" s="1091"/>
      <c r="O667" s="1091"/>
      <c r="P667" s="1091"/>
      <c r="Q667" s="1091"/>
      <c r="R667" s="1091"/>
      <c r="T667" s="35"/>
      <c r="U667" s="12" t="s">
        <v>92</v>
      </c>
      <c r="Z667" s="1091"/>
      <c r="AA667" s="1091"/>
      <c r="AB667" s="1091"/>
      <c r="AC667" s="1091"/>
      <c r="AD667" s="1091"/>
      <c r="AE667" s="1091"/>
      <c r="AF667" s="1091"/>
      <c r="AG667" s="1091"/>
      <c r="AH667" s="1091"/>
      <c r="AI667" s="1091"/>
      <c r="AJ667" s="1091"/>
      <c r="AK667" s="1091"/>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1"/>
      <c r="H668" s="1091"/>
      <c r="I668" s="1091"/>
      <c r="J668" s="1091"/>
      <c r="K668" s="1091"/>
      <c r="L668" s="1091"/>
      <c r="M668" s="1091"/>
      <c r="N668" s="1091"/>
      <c r="O668" s="1091"/>
      <c r="P668" s="1091"/>
      <c r="Q668" s="1091"/>
      <c r="R668" s="1091"/>
      <c r="T668" s="35"/>
      <c r="U668" s="12" t="s">
        <v>631</v>
      </c>
      <c r="Z668" s="1090"/>
      <c r="AA668" s="1090"/>
      <c r="AB668" s="1090"/>
      <c r="AC668" s="1090"/>
      <c r="AD668" s="1090"/>
      <c r="AE668" s="1090"/>
      <c r="AF668" s="1090"/>
      <c r="AG668" s="1090"/>
      <c r="AH668" s="1090"/>
      <c r="AI668" s="1090"/>
      <c r="AJ668" s="1090"/>
      <c r="AK668" s="1090"/>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1"/>
      <c r="H669" s="1091"/>
      <c r="I669" s="1091"/>
      <c r="J669" s="1091"/>
      <c r="K669" s="1091"/>
      <c r="L669" s="1091"/>
      <c r="M669" s="1091"/>
      <c r="N669" s="1091"/>
      <c r="O669" s="1091"/>
      <c r="P669" s="1091"/>
      <c r="Q669" s="1091"/>
      <c r="R669" s="1091"/>
      <c r="T669" s="35"/>
      <c r="U669" s="12" t="s">
        <v>19</v>
      </c>
      <c r="Z669" s="1090"/>
      <c r="AA669" s="1090"/>
      <c r="AB669" s="1090"/>
      <c r="AC669" s="1090"/>
      <c r="AD669" s="1090"/>
      <c r="AE669" s="1090"/>
      <c r="AF669" s="1090"/>
      <c r="AG669" s="1090"/>
      <c r="AH669" s="1090"/>
      <c r="AI669" s="1090"/>
      <c r="AJ669" s="1090"/>
      <c r="AK669" s="1090"/>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7"/>
      <c r="H670" s="1127"/>
      <c r="I670" s="1127"/>
      <c r="J670" s="1127"/>
      <c r="K670" s="1127"/>
      <c r="L670" s="1127"/>
      <c r="O670" s="140" t="s">
        <v>220</v>
      </c>
      <c r="P670" s="1157"/>
      <c r="Q670" s="1157"/>
      <c r="R670" s="1157"/>
      <c r="T670" s="35"/>
      <c r="U670" s="12" t="s">
        <v>338</v>
      </c>
      <c r="Z670" s="1127"/>
      <c r="AA670" s="1127"/>
      <c r="AB670" s="1127"/>
      <c r="AC670" s="1127"/>
      <c r="AD670" s="1127"/>
      <c r="AE670" s="1127"/>
      <c r="AH670" s="140" t="s">
        <v>220</v>
      </c>
      <c r="AI670" s="1157"/>
      <c r="AJ670" s="1157"/>
      <c r="AK670" s="1157"/>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1"/>
      <c r="I671" s="1091"/>
      <c r="J671" s="1091"/>
      <c r="K671" s="1091"/>
      <c r="L671" s="1091"/>
      <c r="M671" s="1091"/>
      <c r="N671" s="1091"/>
      <c r="O671" s="1091"/>
      <c r="P671" s="1091"/>
      <c r="Q671" s="1091"/>
      <c r="R671" s="1091"/>
      <c r="T671" s="35"/>
      <c r="U671" s="12" t="s">
        <v>20</v>
      </c>
      <c r="AA671" s="1091"/>
      <c r="AB671" s="1091"/>
      <c r="AC671" s="1091"/>
      <c r="AD671" s="1091"/>
      <c r="AE671" s="1091"/>
      <c r="AF671" s="1091"/>
      <c r="AG671" s="1091"/>
      <c r="AH671" s="1091"/>
      <c r="AI671" s="1091"/>
      <c r="AJ671" s="1091"/>
      <c r="AK671" s="1091"/>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723</v>
      </c>
      <c r="O672" s="1121"/>
      <c r="T672" s="35"/>
      <c r="U672" s="12" t="s">
        <v>22</v>
      </c>
      <c r="AG672" s="1121" t="s">
        <v>723</v>
      </c>
      <c r="AH672" s="1121"/>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1"/>
      <c r="H675" s="1091"/>
      <c r="I675" s="1091"/>
      <c r="J675" s="1091"/>
      <c r="K675" s="1091"/>
      <c r="L675" s="1091"/>
      <c r="M675" s="1091"/>
      <c r="N675" s="1091"/>
      <c r="O675" s="1091"/>
      <c r="P675" s="1091"/>
      <c r="Q675" s="1091"/>
      <c r="R675" s="1091"/>
      <c r="T675" s="35"/>
      <c r="U675" s="12" t="s">
        <v>92</v>
      </c>
      <c r="Z675" s="1091"/>
      <c r="AA675" s="1091"/>
      <c r="AB675" s="1091"/>
      <c r="AC675" s="1091"/>
      <c r="AD675" s="1091"/>
      <c r="AE675" s="1091"/>
      <c r="AF675" s="1091"/>
      <c r="AG675" s="1091"/>
      <c r="AH675" s="1091"/>
      <c r="AI675" s="1091"/>
      <c r="AJ675" s="1091"/>
      <c r="AK675" s="1091"/>
      <c r="AM675" s="58"/>
      <c r="AN675" s="58"/>
      <c r="AO675" s="58"/>
      <c r="AP675" s="58"/>
      <c r="AQ675" s="58"/>
      <c r="AS675" s="470" t="s">
        <v>998</v>
      </c>
      <c r="AT675" s="479">
        <f>SUM(AT650:AT674)</f>
        <v>89</v>
      </c>
      <c r="AU675" s="480">
        <f>SUM(AU650:AU674)</f>
        <v>1</v>
      </c>
      <c r="AV675" s="480">
        <f>SUM(AV650:AV674)</f>
        <v>0.56966292134831464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1"/>
      <c r="H676" s="1091"/>
      <c r="I676" s="1091"/>
      <c r="J676" s="1091"/>
      <c r="K676" s="1091"/>
      <c r="L676" s="1091"/>
      <c r="M676" s="1091"/>
      <c r="N676" s="1091"/>
      <c r="O676" s="1091"/>
      <c r="P676" s="1091"/>
      <c r="Q676" s="1091"/>
      <c r="R676" s="1091"/>
      <c r="U676" s="12" t="s">
        <v>631</v>
      </c>
      <c r="Z676" s="1090"/>
      <c r="AA676" s="1090"/>
      <c r="AB676" s="1090"/>
      <c r="AC676" s="1090"/>
      <c r="AD676" s="1090"/>
      <c r="AE676" s="1090"/>
      <c r="AF676" s="1090"/>
      <c r="AG676" s="1090"/>
      <c r="AH676" s="1090"/>
      <c r="AI676" s="1090"/>
      <c r="AJ676" s="1090"/>
      <c r="AK676" s="109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1"/>
      <c r="H677" s="1091"/>
      <c r="I677" s="1091"/>
      <c r="J677" s="1091"/>
      <c r="K677" s="1091"/>
      <c r="L677" s="1091"/>
      <c r="M677" s="1091"/>
      <c r="N677" s="1091"/>
      <c r="O677" s="1091"/>
      <c r="P677" s="1091"/>
      <c r="Q677" s="1091"/>
      <c r="R677" s="1091"/>
      <c r="U677" s="12" t="s">
        <v>19</v>
      </c>
      <c r="Z677" s="1090"/>
      <c r="AA677" s="1090"/>
      <c r="AB677" s="1090"/>
      <c r="AC677" s="1090"/>
      <c r="AD677" s="1090"/>
      <c r="AE677" s="1090"/>
      <c r="AF677" s="1090"/>
      <c r="AG677" s="1090"/>
      <c r="AH677" s="1090"/>
      <c r="AI677" s="1090"/>
      <c r="AJ677" s="1090"/>
      <c r="AK677" s="109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7"/>
      <c r="H678" s="1127"/>
      <c r="I678" s="1127"/>
      <c r="J678" s="1127"/>
      <c r="K678" s="1127"/>
      <c r="L678" s="1127"/>
      <c r="O678" s="140" t="s">
        <v>220</v>
      </c>
      <c r="P678" s="1157"/>
      <c r="Q678" s="1157"/>
      <c r="R678" s="1157"/>
      <c r="U678" s="12" t="s">
        <v>338</v>
      </c>
      <c r="Z678" s="1127"/>
      <c r="AA678" s="1127"/>
      <c r="AB678" s="1127"/>
      <c r="AC678" s="1127"/>
      <c r="AD678" s="1127"/>
      <c r="AE678" s="1127"/>
      <c r="AH678" s="140" t="s">
        <v>220</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1"/>
      <c r="I679" s="1091"/>
      <c r="J679" s="1091"/>
      <c r="K679" s="1091"/>
      <c r="L679" s="1091"/>
      <c r="M679" s="1091"/>
      <c r="N679" s="1091"/>
      <c r="O679" s="1091"/>
      <c r="P679" s="1091"/>
      <c r="Q679" s="1091"/>
      <c r="R679" s="1091"/>
      <c r="U679" s="12" t="s">
        <v>20</v>
      </c>
      <c r="AA679" s="1091"/>
      <c r="AB679" s="1091"/>
      <c r="AC679" s="1091"/>
      <c r="AD679" s="1091"/>
      <c r="AE679" s="1091"/>
      <c r="AF679" s="1091"/>
      <c r="AG679" s="1091"/>
      <c r="AH679" s="1091"/>
      <c r="AI679" s="1091"/>
      <c r="AJ679" s="1091"/>
      <c r="AK679" s="1091"/>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723</v>
      </c>
      <c r="O680" s="1121"/>
      <c r="U680" s="12" t="s">
        <v>22</v>
      </c>
      <c r="AG680" s="1121" t="s">
        <v>723</v>
      </c>
      <c r="AH680" s="112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592</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723</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2">
        <v>43847</v>
      </c>
      <c r="AF686" s="1332"/>
      <c r="AG686" s="1332"/>
      <c r="AH686" s="1332"/>
      <c r="AI686" s="133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5">
        <v>43908</v>
      </c>
      <c r="AF687" s="1385"/>
      <c r="AG687" s="1385"/>
      <c r="AH687" s="1385"/>
      <c r="AI687" s="138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2">
        <v>44075</v>
      </c>
      <c r="AF689" s="1332"/>
      <c r="AG689" s="1332"/>
      <c r="AH689" s="1332"/>
      <c r="AI689" s="133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6">
        <v>0.59609999999999996</v>
      </c>
      <c r="AF690" s="1386"/>
      <c r="AG690" s="1386"/>
      <c r="AH690" s="1386"/>
      <c r="AI690" s="138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City of Los Angeles</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723</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1"/>
      <c r="X694" s="1091"/>
      <c r="Y694" s="1091"/>
      <c r="Z694" s="1091"/>
      <c r="AA694" s="1091"/>
      <c r="AB694" s="1091"/>
      <c r="AC694" s="1091"/>
      <c r="AD694" s="1091"/>
      <c r="AE694" s="1091"/>
      <c r="AF694" s="1091"/>
      <c r="AG694" s="1091"/>
      <c r="AH694" s="1091"/>
      <c r="AI694" s="1091"/>
      <c r="AJ694" s="1091"/>
      <c r="AK694" s="1091"/>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1"/>
      <c r="K695" s="1091"/>
      <c r="L695" s="1091"/>
      <c r="M695" s="1091"/>
      <c r="N695" s="1091"/>
      <c r="O695" s="1091"/>
      <c r="P695" s="1091"/>
      <c r="Q695" s="1091"/>
      <c r="R695" s="1091"/>
      <c r="S695" s="1091"/>
      <c r="T695" s="1091"/>
      <c r="U695" s="1091"/>
      <c r="V695" s="1091"/>
      <c r="W695" s="1091"/>
      <c r="X695" s="109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220</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1" t="s">
        <v>329</v>
      </c>
      <c r="X697" s="1091"/>
      <c r="Y697" s="1091"/>
      <c r="Z697" s="1091"/>
      <c r="AA697" s="1091"/>
      <c r="AB697" s="1091"/>
      <c r="AC697" s="1091"/>
      <c r="AD697" s="1091"/>
      <c r="AE697" s="1091"/>
      <c r="AF697" s="1091"/>
      <c r="AG697" s="1091"/>
      <c r="AH697" s="1091"/>
      <c r="AI697" s="1091"/>
      <c r="AJ697" s="1091"/>
      <c r="AK697" s="1091"/>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1" t="s">
        <v>357</v>
      </c>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c r="AA698" s="1091"/>
      <c r="AB698" s="1091"/>
      <c r="AC698" s="1091"/>
      <c r="AD698" s="1091"/>
      <c r="AE698" s="1091"/>
      <c r="AF698" s="1091"/>
      <c r="AG698" s="1091"/>
      <c r="AH698" s="1091"/>
      <c r="AI698" s="1091"/>
      <c r="AJ698" s="1091"/>
      <c r="AK698" s="1091"/>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4"/>
      <c r="B701" s="974"/>
      <c r="C701" s="974"/>
      <c r="D701" s="974"/>
      <c r="E701" s="974"/>
      <c r="F701" s="974"/>
      <c r="G701" s="974"/>
      <c r="H701" s="974"/>
      <c r="I701" s="974"/>
      <c r="J701" s="974"/>
      <c r="K701" s="974"/>
      <c r="L701" s="974"/>
      <c r="M701" s="974"/>
      <c r="N701" s="974"/>
      <c r="O701" s="974"/>
      <c r="P701" s="974"/>
      <c r="Q701" s="974"/>
      <c r="R701" s="974"/>
      <c r="S701" s="974"/>
      <c r="T701" s="974"/>
      <c r="U701" s="974"/>
      <c r="V701" s="974"/>
      <c r="W701" s="974"/>
      <c r="X701" s="974"/>
      <c r="Y701" s="974"/>
      <c r="Z701" s="974"/>
      <c r="AA701" s="974"/>
      <c r="AB701" s="974"/>
      <c r="AC701" s="974"/>
      <c r="AD701" s="974"/>
      <c r="AE701" s="974"/>
      <c r="AF701" s="974"/>
      <c r="AG701" s="974"/>
      <c r="AH701" s="974"/>
      <c r="AI701" s="974"/>
      <c r="AJ701" s="974"/>
      <c r="AK701" s="974"/>
      <c r="AL701" s="974"/>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5" t="s">
        <v>421</v>
      </c>
      <c r="C705" s="1396"/>
      <c r="D705" s="1396"/>
      <c r="E705" s="1396"/>
      <c r="F705" s="1397"/>
      <c r="G705" s="1395" t="s">
        <v>302</v>
      </c>
      <c r="H705" s="1396"/>
      <c r="I705" s="1396"/>
      <c r="J705" s="1397"/>
      <c r="K705" s="1395" t="s">
        <v>492</v>
      </c>
      <c r="L705" s="1396"/>
      <c r="M705" s="1396"/>
      <c r="N705" s="1396"/>
      <c r="O705" s="1397"/>
      <c r="P705" s="1395" t="s">
        <v>303</v>
      </c>
      <c r="Q705" s="1396"/>
      <c r="R705" s="1396"/>
      <c r="S705" s="1396"/>
      <c r="T705" s="1397"/>
      <c r="U705" s="1395" t="s">
        <v>304</v>
      </c>
      <c r="V705" s="1396"/>
      <c r="W705" s="1396"/>
      <c r="X705" s="1397"/>
      <c r="Y705" s="1395" t="s">
        <v>305</v>
      </c>
      <c r="Z705" s="1396"/>
      <c r="AA705" s="1396"/>
      <c r="AB705" s="1396"/>
      <c r="AC705" s="1397"/>
      <c r="AD705" s="1395" t="s">
        <v>422</v>
      </c>
      <c r="AE705" s="1396"/>
      <c r="AF705" s="1396"/>
      <c r="AG705" s="1396"/>
      <c r="AH705" s="1397"/>
      <c r="AI705" s="1395" t="s">
        <v>698</v>
      </c>
      <c r="AJ705" s="1396"/>
      <c r="AK705" s="139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8"/>
      <c r="C706" s="1399"/>
      <c r="D706" s="1399"/>
      <c r="E706" s="1399"/>
      <c r="F706" s="1400"/>
      <c r="G706" s="1398"/>
      <c r="H706" s="1399"/>
      <c r="I706" s="1399"/>
      <c r="J706" s="1400"/>
      <c r="K706" s="1398"/>
      <c r="L706" s="1399"/>
      <c r="M706" s="1399"/>
      <c r="N706" s="1399"/>
      <c r="O706" s="1400"/>
      <c r="P706" s="1398"/>
      <c r="Q706" s="1399"/>
      <c r="R706" s="1399"/>
      <c r="S706" s="1399"/>
      <c r="T706" s="1400"/>
      <c r="U706" s="1398"/>
      <c r="V706" s="1399"/>
      <c r="W706" s="1399"/>
      <c r="X706" s="1400"/>
      <c r="Y706" s="1398"/>
      <c r="Z706" s="1399"/>
      <c r="AA706" s="1399"/>
      <c r="AB706" s="1399"/>
      <c r="AC706" s="1400"/>
      <c r="AD706" s="1398"/>
      <c r="AE706" s="1399"/>
      <c r="AF706" s="1399"/>
      <c r="AG706" s="1399"/>
      <c r="AH706" s="1400"/>
      <c r="AI706" s="1398"/>
      <c r="AJ706" s="1399"/>
      <c r="AK706" s="140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8"/>
      <c r="C707" s="1399"/>
      <c r="D707" s="1399"/>
      <c r="E707" s="1399"/>
      <c r="F707" s="1400"/>
      <c r="G707" s="1398"/>
      <c r="H707" s="1399"/>
      <c r="I707" s="1399"/>
      <c r="J707" s="1400"/>
      <c r="K707" s="1398"/>
      <c r="L707" s="1399"/>
      <c r="M707" s="1399"/>
      <c r="N707" s="1399"/>
      <c r="O707" s="1400"/>
      <c r="P707" s="1398"/>
      <c r="Q707" s="1399"/>
      <c r="R707" s="1399"/>
      <c r="S707" s="1399"/>
      <c r="T707" s="1400"/>
      <c r="U707" s="1398"/>
      <c r="V707" s="1399"/>
      <c r="W707" s="1399"/>
      <c r="X707" s="1400"/>
      <c r="Y707" s="1398"/>
      <c r="Z707" s="1399"/>
      <c r="AA707" s="1399"/>
      <c r="AB707" s="1399"/>
      <c r="AC707" s="1400"/>
      <c r="AD707" s="1398"/>
      <c r="AE707" s="1399"/>
      <c r="AF707" s="1399"/>
      <c r="AG707" s="1399"/>
      <c r="AH707" s="1400"/>
      <c r="AI707" s="1398"/>
      <c r="AJ707" s="1399"/>
      <c r="AK707" s="140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1"/>
      <c r="C708" s="1402"/>
      <c r="D708" s="1402"/>
      <c r="E708" s="1402"/>
      <c r="F708" s="1403"/>
      <c r="G708" s="1401"/>
      <c r="H708" s="1402"/>
      <c r="I708" s="1402"/>
      <c r="J708" s="1403"/>
      <c r="K708" s="1401"/>
      <c r="L708" s="1402"/>
      <c r="M708" s="1402"/>
      <c r="N708" s="1402"/>
      <c r="O708" s="1403"/>
      <c r="P708" s="1401"/>
      <c r="Q708" s="1402"/>
      <c r="R708" s="1402"/>
      <c r="S708" s="1402"/>
      <c r="T708" s="1403"/>
      <c r="U708" s="1401"/>
      <c r="V708" s="1402"/>
      <c r="W708" s="1402"/>
      <c r="X708" s="1403"/>
      <c r="Y708" s="1401"/>
      <c r="Z708" s="1402"/>
      <c r="AA708" s="1402"/>
      <c r="AB708" s="1402"/>
      <c r="AC708" s="1403"/>
      <c r="AD708" s="1401"/>
      <c r="AE708" s="1402"/>
      <c r="AF708" s="1402"/>
      <c r="AG708" s="1402"/>
      <c r="AH708" s="1403"/>
      <c r="AI708" s="1401"/>
      <c r="AJ708" s="1402"/>
      <c r="AK708" s="140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348</v>
      </c>
      <c r="C709" s="1270"/>
      <c r="D709" s="1270"/>
      <c r="E709" s="1270"/>
      <c r="F709" s="1388"/>
      <c r="G709" s="1382">
        <v>27</v>
      </c>
      <c r="H709" s="1383"/>
      <c r="I709" s="1383"/>
      <c r="J709" s="1384"/>
      <c r="K709" s="1392">
        <v>548</v>
      </c>
      <c r="L709" s="1393"/>
      <c r="M709" s="1393"/>
      <c r="N709" s="1393"/>
      <c r="O709" s="1394"/>
      <c r="P709" s="1389">
        <f t="shared" ref="P709:P733" si="28">G709*K709</f>
        <v>14796</v>
      </c>
      <c r="Q709" s="1390"/>
      <c r="R709" s="1390"/>
      <c r="S709" s="1390"/>
      <c r="T709" s="1391"/>
      <c r="U709" s="1392">
        <v>39</v>
      </c>
      <c r="V709" s="1393"/>
      <c r="W709" s="1393"/>
      <c r="X709" s="1394"/>
      <c r="Y709" s="1389">
        <f>K709+U709</f>
        <v>587</v>
      </c>
      <c r="Z709" s="1390"/>
      <c r="AA709" s="1390"/>
      <c r="AB709" s="1390"/>
      <c r="AC709" s="1391"/>
      <c r="AD709" s="1184">
        <v>0.5</v>
      </c>
      <c r="AE709" s="1185"/>
      <c r="AF709" s="1185"/>
      <c r="AG709" s="1185"/>
      <c r="AH709" s="1186"/>
      <c r="AI709" s="1279">
        <f t="shared" ref="AI709:AI733" si="29">IF($AD709&gt;0,($Y709/$AN649), " ")</f>
        <v>0.29979570990806947</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t="s">
        <v>348</v>
      </c>
      <c r="C710" s="1270"/>
      <c r="D710" s="1270"/>
      <c r="E710" s="1270"/>
      <c r="F710" s="1388"/>
      <c r="G710" s="1382">
        <f>40-27</f>
        <v>13</v>
      </c>
      <c r="H710" s="1383"/>
      <c r="I710" s="1383"/>
      <c r="J710" s="1384"/>
      <c r="K710" s="1392">
        <v>548</v>
      </c>
      <c r="L710" s="1393"/>
      <c r="M710" s="1393"/>
      <c r="N710" s="1393"/>
      <c r="O710" s="1394"/>
      <c r="P710" s="1389">
        <f t="shared" si="28"/>
        <v>7124</v>
      </c>
      <c r="Q710" s="1390"/>
      <c r="R710" s="1390"/>
      <c r="S710" s="1390"/>
      <c r="T710" s="1391"/>
      <c r="U710" s="1392">
        <v>39</v>
      </c>
      <c r="V710" s="1393"/>
      <c r="W710" s="1393"/>
      <c r="X710" s="1394"/>
      <c r="Y710" s="1389">
        <f t="shared" ref="Y710:Y733" si="30">K710+U710</f>
        <v>587</v>
      </c>
      <c r="Z710" s="1390"/>
      <c r="AA710" s="1390"/>
      <c r="AB710" s="1390"/>
      <c r="AC710" s="1391"/>
      <c r="AD710" s="1184">
        <v>0.6</v>
      </c>
      <c r="AE710" s="1185"/>
      <c r="AF710" s="1185"/>
      <c r="AG710" s="1185"/>
      <c r="AH710" s="1186"/>
      <c r="AI710" s="1279">
        <f t="shared" si="29"/>
        <v>0.29979570990806947</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t="s">
        <v>170</v>
      </c>
      <c r="C711" s="1270"/>
      <c r="D711" s="1270"/>
      <c r="E711" s="1270"/>
      <c r="F711" s="1388"/>
      <c r="G711" s="1382">
        <v>4</v>
      </c>
      <c r="H711" s="1383"/>
      <c r="I711" s="1383"/>
      <c r="J711" s="1384"/>
      <c r="K711" s="1392">
        <v>655</v>
      </c>
      <c r="L711" s="1393"/>
      <c r="M711" s="1393"/>
      <c r="N711" s="1393"/>
      <c r="O711" s="1394"/>
      <c r="P711" s="1389">
        <f t="shared" si="28"/>
        <v>2620</v>
      </c>
      <c r="Q711" s="1390"/>
      <c r="R711" s="1390"/>
      <c r="S711" s="1390"/>
      <c r="T711" s="1391"/>
      <c r="U711" s="1392">
        <v>50</v>
      </c>
      <c r="V711" s="1393"/>
      <c r="W711" s="1393"/>
      <c r="X711" s="1394"/>
      <c r="Y711" s="1389">
        <f t="shared" si="30"/>
        <v>705</v>
      </c>
      <c r="Z711" s="1390"/>
      <c r="AA711" s="1390"/>
      <c r="AB711" s="1390"/>
      <c r="AC711" s="1391"/>
      <c r="AD711" s="1184">
        <v>0.6</v>
      </c>
      <c r="AE711" s="1185"/>
      <c r="AF711" s="1185"/>
      <c r="AG711" s="1185"/>
      <c r="AH711" s="1186"/>
      <c r="AI711" s="1279">
        <f t="shared" si="29"/>
        <v>0.3</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t="s">
        <v>170</v>
      </c>
      <c r="C712" s="1270"/>
      <c r="D712" s="1270"/>
      <c r="E712" s="1270"/>
      <c r="F712" s="1388"/>
      <c r="G712" s="1382">
        <v>2</v>
      </c>
      <c r="H712" s="1383"/>
      <c r="I712" s="1383"/>
      <c r="J712" s="1384"/>
      <c r="K712" s="1404">
        <v>655</v>
      </c>
      <c r="L712" s="1404"/>
      <c r="M712" s="1404"/>
      <c r="N712" s="1404"/>
      <c r="O712" s="1404"/>
      <c r="P712" s="1122">
        <f t="shared" si="28"/>
        <v>1310</v>
      </c>
      <c r="Q712" s="1122"/>
      <c r="R712" s="1122"/>
      <c r="S712" s="1122"/>
      <c r="T712" s="1122"/>
      <c r="U712" s="1392">
        <v>50</v>
      </c>
      <c r="V712" s="1393"/>
      <c r="W712" s="1393"/>
      <c r="X712" s="1394"/>
      <c r="Y712" s="1122">
        <f t="shared" si="30"/>
        <v>705</v>
      </c>
      <c r="Z712" s="1122"/>
      <c r="AA712" s="1122"/>
      <c r="AB712" s="1122"/>
      <c r="AC712" s="1122"/>
      <c r="AD712" s="1184">
        <v>0.6</v>
      </c>
      <c r="AE712" s="1185"/>
      <c r="AF712" s="1185"/>
      <c r="AG712" s="1185"/>
      <c r="AH712" s="1186"/>
      <c r="AI712" s="1279">
        <f t="shared" si="29"/>
        <v>0.3</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9" t="s">
        <v>348</v>
      </c>
      <c r="C713" s="1270"/>
      <c r="D713" s="1270"/>
      <c r="E713" s="1270"/>
      <c r="F713" s="1388"/>
      <c r="G713" s="1382">
        <v>18</v>
      </c>
      <c r="H713" s="1383"/>
      <c r="I713" s="1383"/>
      <c r="J713" s="1384"/>
      <c r="K713" s="1404">
        <v>940</v>
      </c>
      <c r="L713" s="1404"/>
      <c r="M713" s="1404"/>
      <c r="N713" s="1404"/>
      <c r="O713" s="1404"/>
      <c r="P713" s="1122">
        <f t="shared" si="28"/>
        <v>16920</v>
      </c>
      <c r="Q713" s="1122"/>
      <c r="R713" s="1122"/>
      <c r="S713" s="1122"/>
      <c r="T713" s="1122"/>
      <c r="U713" s="1392">
        <v>39</v>
      </c>
      <c r="V713" s="1393"/>
      <c r="W713" s="1393"/>
      <c r="X713" s="1394"/>
      <c r="Y713" s="1122">
        <f t="shared" si="30"/>
        <v>979</v>
      </c>
      <c r="Z713" s="1122"/>
      <c r="AA713" s="1122"/>
      <c r="AB713" s="1122"/>
      <c r="AC713" s="1122"/>
      <c r="AD713" s="1184">
        <v>0.6</v>
      </c>
      <c r="AE713" s="1185"/>
      <c r="AF713" s="1185"/>
      <c r="AG713" s="1185"/>
      <c r="AH713" s="1186"/>
      <c r="AI713" s="1279">
        <f t="shared" si="29"/>
        <v>0.5</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9" t="s">
        <v>170</v>
      </c>
      <c r="C714" s="1270"/>
      <c r="D714" s="1270"/>
      <c r="E714" s="1270"/>
      <c r="F714" s="1388"/>
      <c r="G714" s="1382">
        <v>25</v>
      </c>
      <c r="H714" s="1383"/>
      <c r="I714" s="1383"/>
      <c r="J714" s="1384"/>
      <c r="K714" s="1404">
        <v>1125</v>
      </c>
      <c r="L714" s="1404"/>
      <c r="M714" s="1404"/>
      <c r="N714" s="1404"/>
      <c r="O714" s="1404"/>
      <c r="P714" s="1122">
        <f t="shared" si="28"/>
        <v>28125</v>
      </c>
      <c r="Q714" s="1122"/>
      <c r="R714" s="1122"/>
      <c r="S714" s="1122"/>
      <c r="T714" s="1122"/>
      <c r="U714" s="1392">
        <v>50</v>
      </c>
      <c r="V714" s="1393"/>
      <c r="W714" s="1393"/>
      <c r="X714" s="1394"/>
      <c r="Y714" s="1122">
        <f t="shared" si="30"/>
        <v>1175</v>
      </c>
      <c r="Z714" s="1122"/>
      <c r="AA714" s="1122"/>
      <c r="AB714" s="1122"/>
      <c r="AC714" s="1122"/>
      <c r="AD714" s="1184">
        <v>0.6</v>
      </c>
      <c r="AE714" s="1185"/>
      <c r="AF714" s="1185"/>
      <c r="AG714" s="1185"/>
      <c r="AH714" s="1186"/>
      <c r="AI714" s="1279">
        <f t="shared" si="29"/>
        <v>0.5</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9"/>
      <c r="C715" s="1270"/>
      <c r="D715" s="1270"/>
      <c r="E715" s="1270"/>
      <c r="F715" s="1388"/>
      <c r="G715" s="1382"/>
      <c r="H715" s="1383"/>
      <c r="I715" s="1383"/>
      <c r="J715" s="1384"/>
      <c r="K715" s="1404"/>
      <c r="L715" s="1404"/>
      <c r="M715" s="1404"/>
      <c r="N715" s="1404"/>
      <c r="O715" s="1404"/>
      <c r="P715" s="1122">
        <f t="shared" si="28"/>
        <v>0</v>
      </c>
      <c r="Q715" s="1122"/>
      <c r="R715" s="1122"/>
      <c r="S715" s="1122"/>
      <c r="T715" s="1122"/>
      <c r="U715" s="1392"/>
      <c r="V715" s="1393"/>
      <c r="W715" s="1393"/>
      <c r="X715" s="1394"/>
      <c r="Y715" s="1122">
        <f t="shared" si="30"/>
        <v>0</v>
      </c>
      <c r="Z715" s="1122"/>
      <c r="AA715" s="1122"/>
      <c r="AB715" s="1122"/>
      <c r="AC715" s="1122"/>
      <c r="AD715" s="1184"/>
      <c r="AE715" s="1185"/>
      <c r="AF715" s="1185"/>
      <c r="AG715" s="1185"/>
      <c r="AH715" s="1186"/>
      <c r="AI715" s="1279" t="str">
        <f t="shared" si="29"/>
        <v xml:space="preserve"> </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9"/>
      <c r="C716" s="1270"/>
      <c r="D716" s="1270"/>
      <c r="E716" s="1270"/>
      <c r="F716" s="1388"/>
      <c r="G716" s="1382"/>
      <c r="H716" s="1383"/>
      <c r="I716" s="1383"/>
      <c r="J716" s="1384"/>
      <c r="K716" s="1404"/>
      <c r="L716" s="1404"/>
      <c r="M716" s="1404"/>
      <c r="N716" s="1404"/>
      <c r="O716" s="1404"/>
      <c r="P716" s="1122">
        <f t="shared" si="28"/>
        <v>0</v>
      </c>
      <c r="Q716" s="1122"/>
      <c r="R716" s="1122"/>
      <c r="S716" s="1122"/>
      <c r="T716" s="1122"/>
      <c r="U716" s="1392"/>
      <c r="V716" s="1393"/>
      <c r="W716" s="1393"/>
      <c r="X716" s="1394"/>
      <c r="Y716" s="1122">
        <f t="shared" si="30"/>
        <v>0</v>
      </c>
      <c r="Z716" s="1122"/>
      <c r="AA716" s="1122"/>
      <c r="AB716" s="1122"/>
      <c r="AC716" s="1122"/>
      <c r="AD716" s="1184"/>
      <c r="AE716" s="1185"/>
      <c r="AF716" s="1185"/>
      <c r="AG716" s="1185"/>
      <c r="AH716" s="1186"/>
      <c r="AI716" s="1279" t="str">
        <f t="shared" si="29"/>
        <v xml:space="preserve"> </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9"/>
      <c r="C717" s="1270"/>
      <c r="D717" s="1270"/>
      <c r="E717" s="1270"/>
      <c r="F717" s="1388"/>
      <c r="G717" s="1382"/>
      <c r="H717" s="1383"/>
      <c r="I717" s="1383"/>
      <c r="J717" s="1384"/>
      <c r="K717" s="1404"/>
      <c r="L717" s="1404"/>
      <c r="M717" s="1404"/>
      <c r="N717" s="1404"/>
      <c r="O717" s="1404"/>
      <c r="P717" s="1122">
        <f t="shared" si="28"/>
        <v>0</v>
      </c>
      <c r="Q717" s="1122"/>
      <c r="R717" s="1122"/>
      <c r="S717" s="1122"/>
      <c r="T717" s="1122"/>
      <c r="U717" s="1392"/>
      <c r="V717" s="1393"/>
      <c r="W717" s="1393"/>
      <c r="X717" s="1394"/>
      <c r="Y717" s="1122">
        <f t="shared" si="30"/>
        <v>0</v>
      </c>
      <c r="Z717" s="1122"/>
      <c r="AA717" s="1122"/>
      <c r="AB717" s="1122"/>
      <c r="AC717" s="1122"/>
      <c r="AD717" s="1184"/>
      <c r="AE717" s="1185"/>
      <c r="AF717" s="1185"/>
      <c r="AG717" s="1185"/>
      <c r="AH717" s="1186"/>
      <c r="AI717" s="1279" t="str">
        <f t="shared" si="29"/>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9"/>
      <c r="C718" s="1270"/>
      <c r="D718" s="1270"/>
      <c r="E718" s="1270"/>
      <c r="F718" s="1388"/>
      <c r="G718" s="1382"/>
      <c r="H718" s="1383"/>
      <c r="I718" s="1383"/>
      <c r="J718" s="1384"/>
      <c r="K718" s="1554"/>
      <c r="L718" s="1554"/>
      <c r="M718" s="1554"/>
      <c r="N718" s="1554"/>
      <c r="O718" s="1554"/>
      <c r="P718" s="1555">
        <f t="shared" si="28"/>
        <v>0</v>
      </c>
      <c r="Q718" s="1555"/>
      <c r="R718" s="1555"/>
      <c r="S718" s="1555"/>
      <c r="T718" s="1555"/>
      <c r="U718" s="1392"/>
      <c r="V718" s="1393"/>
      <c r="W718" s="1393"/>
      <c r="X718" s="1394"/>
      <c r="Y718" s="1555">
        <f t="shared" si="30"/>
        <v>0</v>
      </c>
      <c r="Z718" s="1555"/>
      <c r="AA718" s="1555"/>
      <c r="AB718" s="1555"/>
      <c r="AC718" s="1555"/>
      <c r="AD718" s="1184"/>
      <c r="AE718" s="1185"/>
      <c r="AF718" s="1185"/>
      <c r="AG718" s="1185"/>
      <c r="AH718" s="1186"/>
      <c r="AI718" s="1279" t="str">
        <f t="shared" si="29"/>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9"/>
      <c r="C719" s="1270"/>
      <c r="D719" s="1270"/>
      <c r="E719" s="1270"/>
      <c r="F719" s="1388"/>
      <c r="G719" s="1382"/>
      <c r="H719" s="1383"/>
      <c r="I719" s="1383"/>
      <c r="J719" s="1384"/>
      <c r="K719" s="1404"/>
      <c r="L719" s="1404"/>
      <c r="M719" s="1404"/>
      <c r="N719" s="1404"/>
      <c r="O719" s="1404"/>
      <c r="P719" s="1122">
        <f t="shared" si="28"/>
        <v>0</v>
      </c>
      <c r="Q719" s="1122"/>
      <c r="R719" s="1122"/>
      <c r="S719" s="1122"/>
      <c r="T719" s="1122"/>
      <c r="U719" s="1392"/>
      <c r="V719" s="1393"/>
      <c r="W719" s="1393"/>
      <c r="X719" s="1394"/>
      <c r="Y719" s="1122">
        <f t="shared" si="30"/>
        <v>0</v>
      </c>
      <c r="Z719" s="1122"/>
      <c r="AA719" s="1122"/>
      <c r="AB719" s="1122"/>
      <c r="AC719" s="1122"/>
      <c r="AD719" s="1184"/>
      <c r="AE719" s="1185"/>
      <c r="AF719" s="1185"/>
      <c r="AG719" s="1185"/>
      <c r="AH719" s="1186"/>
      <c r="AI719" s="1279" t="str">
        <f t="shared" si="29"/>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9"/>
      <c r="C720" s="1270"/>
      <c r="D720" s="1270"/>
      <c r="E720" s="1270"/>
      <c r="F720" s="1388"/>
      <c r="G720" s="1382"/>
      <c r="H720" s="1383"/>
      <c r="I720" s="1383"/>
      <c r="J720" s="1384"/>
      <c r="K720" s="1404"/>
      <c r="L720" s="1404"/>
      <c r="M720" s="1404"/>
      <c r="N720" s="1404"/>
      <c r="O720" s="1404"/>
      <c r="P720" s="1122">
        <f t="shared" si="28"/>
        <v>0</v>
      </c>
      <c r="Q720" s="1122"/>
      <c r="R720" s="1122"/>
      <c r="S720" s="1122"/>
      <c r="T720" s="1122"/>
      <c r="U720" s="1392">
        <v>0</v>
      </c>
      <c r="V720" s="1393"/>
      <c r="W720" s="1393"/>
      <c r="X720" s="1394"/>
      <c r="Y720" s="1122">
        <f t="shared" si="30"/>
        <v>0</v>
      </c>
      <c r="Z720" s="1122"/>
      <c r="AA720" s="1122"/>
      <c r="AB720" s="1122"/>
      <c r="AC720" s="1122"/>
      <c r="AD720" s="1184">
        <v>0</v>
      </c>
      <c r="AE720" s="1185"/>
      <c r="AF720" s="1185"/>
      <c r="AG720" s="1185"/>
      <c r="AH720" s="1186"/>
      <c r="AI720" s="1279" t="str">
        <f t="shared" si="29"/>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9"/>
      <c r="C721" s="1270"/>
      <c r="D721" s="1270"/>
      <c r="E721" s="1270"/>
      <c r="F721" s="1388"/>
      <c r="G721" s="1382"/>
      <c r="H721" s="1383"/>
      <c r="I721" s="1383"/>
      <c r="J721" s="1384"/>
      <c r="K721" s="1404"/>
      <c r="L721" s="1404"/>
      <c r="M721" s="1404"/>
      <c r="N721" s="1404"/>
      <c r="O721" s="1404"/>
      <c r="P721" s="1122">
        <f t="shared" si="28"/>
        <v>0</v>
      </c>
      <c r="Q721" s="1122"/>
      <c r="R721" s="1122"/>
      <c r="S721" s="1122"/>
      <c r="T721" s="1122"/>
      <c r="U721" s="1392">
        <v>0</v>
      </c>
      <c r="V721" s="1393"/>
      <c r="W721" s="1393"/>
      <c r="X721" s="1394"/>
      <c r="Y721" s="1122">
        <f t="shared" si="30"/>
        <v>0</v>
      </c>
      <c r="Z721" s="1122"/>
      <c r="AA721" s="1122"/>
      <c r="AB721" s="1122"/>
      <c r="AC721" s="1122"/>
      <c r="AD721" s="1184">
        <v>0</v>
      </c>
      <c r="AE721" s="1185"/>
      <c r="AF721" s="1185"/>
      <c r="AG721" s="1185"/>
      <c r="AH721" s="1186"/>
      <c r="AI721" s="1279" t="str">
        <f t="shared" si="29"/>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9"/>
      <c r="C722" s="1270"/>
      <c r="D722" s="1270"/>
      <c r="E722" s="1270"/>
      <c r="F722" s="1388"/>
      <c r="G722" s="1382"/>
      <c r="H722" s="1383"/>
      <c r="I722" s="1383"/>
      <c r="J722" s="1384"/>
      <c r="K722" s="1404"/>
      <c r="L722" s="1404"/>
      <c r="M722" s="1404"/>
      <c r="N722" s="1404"/>
      <c r="O722" s="1404"/>
      <c r="P722" s="1122">
        <f t="shared" si="28"/>
        <v>0</v>
      </c>
      <c r="Q722" s="1122"/>
      <c r="R722" s="1122"/>
      <c r="S722" s="1122"/>
      <c r="T722" s="1122"/>
      <c r="U722" s="1392">
        <v>0</v>
      </c>
      <c r="V722" s="1393"/>
      <c r="W722" s="1393"/>
      <c r="X722" s="1394"/>
      <c r="Y722" s="1122">
        <f t="shared" si="30"/>
        <v>0</v>
      </c>
      <c r="Z722" s="1122"/>
      <c r="AA722" s="1122"/>
      <c r="AB722" s="1122"/>
      <c r="AC722" s="1122"/>
      <c r="AD722" s="1184">
        <v>0</v>
      </c>
      <c r="AE722" s="1185"/>
      <c r="AF722" s="1185"/>
      <c r="AG722" s="1185"/>
      <c r="AH722" s="1186"/>
      <c r="AI722" s="1279" t="str">
        <f t="shared" si="29"/>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9"/>
      <c r="C723" s="1270"/>
      <c r="D723" s="1270"/>
      <c r="E723" s="1270"/>
      <c r="F723" s="1388"/>
      <c r="G723" s="1382"/>
      <c r="H723" s="1383"/>
      <c r="I723" s="1383"/>
      <c r="J723" s="1384"/>
      <c r="K723" s="1404"/>
      <c r="L723" s="1404"/>
      <c r="M723" s="1404"/>
      <c r="N723" s="1404"/>
      <c r="O723" s="1404"/>
      <c r="P723" s="1122">
        <f t="shared" si="28"/>
        <v>0</v>
      </c>
      <c r="Q723" s="1122"/>
      <c r="R723" s="1122"/>
      <c r="S723" s="1122"/>
      <c r="T723" s="1122"/>
      <c r="U723" s="1392">
        <v>0</v>
      </c>
      <c r="V723" s="1393"/>
      <c r="W723" s="1393"/>
      <c r="X723" s="1394"/>
      <c r="Y723" s="1122">
        <f t="shared" si="30"/>
        <v>0</v>
      </c>
      <c r="Z723" s="1122"/>
      <c r="AA723" s="1122"/>
      <c r="AB723" s="1122"/>
      <c r="AC723" s="1122"/>
      <c r="AD723" s="1184">
        <v>0</v>
      </c>
      <c r="AE723" s="1185"/>
      <c r="AF723" s="1185"/>
      <c r="AG723" s="1185"/>
      <c r="AH723" s="1186"/>
      <c r="AI723" s="1279" t="str">
        <f t="shared" si="29"/>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9"/>
      <c r="C724" s="1270"/>
      <c r="D724" s="1270"/>
      <c r="E724" s="1270"/>
      <c r="F724" s="1388"/>
      <c r="G724" s="1382"/>
      <c r="H724" s="1383"/>
      <c r="I724" s="1383"/>
      <c r="J724" s="1384"/>
      <c r="K724" s="1404"/>
      <c r="L724" s="1404"/>
      <c r="M724" s="1404"/>
      <c r="N724" s="1404"/>
      <c r="O724" s="1404"/>
      <c r="P724" s="1122">
        <f t="shared" si="28"/>
        <v>0</v>
      </c>
      <c r="Q724" s="1122"/>
      <c r="R724" s="1122"/>
      <c r="S724" s="1122"/>
      <c r="T724" s="1122"/>
      <c r="U724" s="1392">
        <v>0</v>
      </c>
      <c r="V724" s="1393"/>
      <c r="W724" s="1393"/>
      <c r="X724" s="1394"/>
      <c r="Y724" s="1122">
        <f>K724+U724</f>
        <v>0</v>
      </c>
      <c r="Z724" s="1122"/>
      <c r="AA724" s="1122"/>
      <c r="AB724" s="1122"/>
      <c r="AC724" s="1122"/>
      <c r="AD724" s="1184">
        <v>0</v>
      </c>
      <c r="AE724" s="1185"/>
      <c r="AF724" s="1185"/>
      <c r="AG724" s="1185"/>
      <c r="AH724" s="1186"/>
      <c r="AI724" s="1279" t="str">
        <f t="shared" si="29"/>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9"/>
      <c r="C725" s="1270"/>
      <c r="D725" s="1270"/>
      <c r="E725" s="1270"/>
      <c r="F725" s="1388"/>
      <c r="G725" s="1382"/>
      <c r="H725" s="1383"/>
      <c r="I725" s="1383"/>
      <c r="J725" s="1384"/>
      <c r="K725" s="1404"/>
      <c r="L725" s="1404"/>
      <c r="M725" s="1404"/>
      <c r="N725" s="1404"/>
      <c r="O725" s="1404"/>
      <c r="P725" s="1122">
        <f t="shared" si="28"/>
        <v>0</v>
      </c>
      <c r="Q725" s="1122"/>
      <c r="R725" s="1122"/>
      <c r="S725" s="1122"/>
      <c r="T725" s="1122"/>
      <c r="U725" s="1392">
        <v>0</v>
      </c>
      <c r="V725" s="1393"/>
      <c r="W725" s="1393"/>
      <c r="X725" s="1394"/>
      <c r="Y725" s="1122">
        <f>K725+U725</f>
        <v>0</v>
      </c>
      <c r="Z725" s="1122"/>
      <c r="AA725" s="1122"/>
      <c r="AB725" s="1122"/>
      <c r="AC725" s="1122"/>
      <c r="AD725" s="1184">
        <v>0</v>
      </c>
      <c r="AE725" s="1185"/>
      <c r="AF725" s="1185"/>
      <c r="AG725" s="1185"/>
      <c r="AH725" s="1186"/>
      <c r="AI725" s="1279" t="str">
        <f t="shared" si="29"/>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9"/>
      <c r="C726" s="1270"/>
      <c r="D726" s="1270"/>
      <c r="E726" s="1270"/>
      <c r="F726" s="1388"/>
      <c r="G726" s="1382"/>
      <c r="H726" s="1383"/>
      <c r="I726" s="1383"/>
      <c r="J726" s="1384"/>
      <c r="K726" s="1404"/>
      <c r="L726" s="1404"/>
      <c r="M726" s="1404"/>
      <c r="N726" s="1404"/>
      <c r="O726" s="1404"/>
      <c r="P726" s="1122">
        <f t="shared" si="28"/>
        <v>0</v>
      </c>
      <c r="Q726" s="1122"/>
      <c r="R726" s="1122"/>
      <c r="S726" s="1122"/>
      <c r="T726" s="1122"/>
      <c r="U726" s="1392">
        <v>0</v>
      </c>
      <c r="V726" s="1393"/>
      <c r="W726" s="1393"/>
      <c r="X726" s="1394"/>
      <c r="Y726" s="1122">
        <f>K726+U726</f>
        <v>0</v>
      </c>
      <c r="Z726" s="1122"/>
      <c r="AA726" s="1122"/>
      <c r="AB726" s="1122"/>
      <c r="AC726" s="1122"/>
      <c r="AD726" s="1184">
        <v>0</v>
      </c>
      <c r="AE726" s="1185"/>
      <c r="AF726" s="1185"/>
      <c r="AG726" s="1185"/>
      <c r="AH726" s="1186"/>
      <c r="AI726" s="1279" t="str">
        <f t="shared" si="29"/>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9"/>
      <c r="C727" s="1270"/>
      <c r="D727" s="1270"/>
      <c r="E727" s="1270"/>
      <c r="F727" s="1388"/>
      <c r="G727" s="1382"/>
      <c r="H727" s="1383"/>
      <c r="I727" s="1383"/>
      <c r="J727" s="1384"/>
      <c r="K727" s="1404"/>
      <c r="L727" s="1404"/>
      <c r="M727" s="1404"/>
      <c r="N727" s="1404"/>
      <c r="O727" s="1404"/>
      <c r="P727" s="1122">
        <f t="shared" si="28"/>
        <v>0</v>
      </c>
      <c r="Q727" s="1122"/>
      <c r="R727" s="1122"/>
      <c r="S727" s="1122"/>
      <c r="T727" s="1122"/>
      <c r="U727" s="1392">
        <v>0</v>
      </c>
      <c r="V727" s="1393"/>
      <c r="W727" s="1393"/>
      <c r="X727" s="1394"/>
      <c r="Y727" s="1122">
        <f>K727+U727</f>
        <v>0</v>
      </c>
      <c r="Z727" s="1122"/>
      <c r="AA727" s="1122"/>
      <c r="AB727" s="1122"/>
      <c r="AC727" s="1122"/>
      <c r="AD727" s="1184">
        <v>0</v>
      </c>
      <c r="AE727" s="1185"/>
      <c r="AF727" s="1185"/>
      <c r="AG727" s="1185"/>
      <c r="AH727" s="1186"/>
      <c r="AI727" s="1279" t="str">
        <f t="shared" si="29"/>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9"/>
      <c r="C728" s="1270"/>
      <c r="D728" s="1270"/>
      <c r="E728" s="1270"/>
      <c r="F728" s="1388"/>
      <c r="G728" s="1382"/>
      <c r="H728" s="1383"/>
      <c r="I728" s="1383"/>
      <c r="J728" s="1384"/>
      <c r="K728" s="1404"/>
      <c r="L728" s="1404"/>
      <c r="M728" s="1404"/>
      <c r="N728" s="1404"/>
      <c r="O728" s="1404"/>
      <c r="P728" s="1122">
        <f t="shared" si="28"/>
        <v>0</v>
      </c>
      <c r="Q728" s="1122"/>
      <c r="R728" s="1122"/>
      <c r="S728" s="1122"/>
      <c r="T728" s="1122"/>
      <c r="U728" s="1392">
        <v>0</v>
      </c>
      <c r="V728" s="1393"/>
      <c r="W728" s="1393"/>
      <c r="X728" s="1394"/>
      <c r="Y728" s="1122">
        <f>K728+U728</f>
        <v>0</v>
      </c>
      <c r="Z728" s="1122"/>
      <c r="AA728" s="1122"/>
      <c r="AB728" s="1122"/>
      <c r="AC728" s="1122"/>
      <c r="AD728" s="1184">
        <v>0</v>
      </c>
      <c r="AE728" s="1185"/>
      <c r="AF728" s="1185"/>
      <c r="AG728" s="1185"/>
      <c r="AH728" s="1186"/>
      <c r="AI728" s="1279" t="str">
        <f t="shared" si="29"/>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9"/>
      <c r="C729" s="1270"/>
      <c r="D729" s="1270"/>
      <c r="E729" s="1270"/>
      <c r="F729" s="1388"/>
      <c r="G729" s="1382"/>
      <c r="H729" s="1383"/>
      <c r="I729" s="1383"/>
      <c r="J729" s="1384"/>
      <c r="K729" s="1404"/>
      <c r="L729" s="1404"/>
      <c r="M729" s="1404"/>
      <c r="N729" s="1404"/>
      <c r="O729" s="1404"/>
      <c r="P729" s="1122">
        <f t="shared" si="28"/>
        <v>0</v>
      </c>
      <c r="Q729" s="1122"/>
      <c r="R729" s="1122"/>
      <c r="S729" s="1122"/>
      <c r="T729" s="1122"/>
      <c r="U729" s="1392">
        <v>0</v>
      </c>
      <c r="V729" s="1393"/>
      <c r="W729" s="1393"/>
      <c r="X729" s="1394"/>
      <c r="Y729" s="1122">
        <f t="shared" si="30"/>
        <v>0</v>
      </c>
      <c r="Z729" s="1122"/>
      <c r="AA729" s="1122"/>
      <c r="AB729" s="1122"/>
      <c r="AC729" s="1122"/>
      <c r="AD729" s="1184">
        <v>0</v>
      </c>
      <c r="AE729" s="1185"/>
      <c r="AF729" s="1185"/>
      <c r="AG729" s="1185"/>
      <c r="AH729" s="1186"/>
      <c r="AI729" s="1279" t="str">
        <f t="shared" si="29"/>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9"/>
      <c r="C730" s="1270"/>
      <c r="D730" s="1270"/>
      <c r="E730" s="1270"/>
      <c r="F730" s="1388"/>
      <c r="G730" s="1382"/>
      <c r="H730" s="1383"/>
      <c r="I730" s="1383"/>
      <c r="J730" s="1384"/>
      <c r="K730" s="1404"/>
      <c r="L730" s="1404"/>
      <c r="M730" s="1404"/>
      <c r="N730" s="1404"/>
      <c r="O730" s="1404"/>
      <c r="P730" s="1122">
        <f t="shared" si="28"/>
        <v>0</v>
      </c>
      <c r="Q730" s="1122"/>
      <c r="R730" s="1122"/>
      <c r="S730" s="1122"/>
      <c r="T730" s="1122"/>
      <c r="U730" s="1392">
        <v>0</v>
      </c>
      <c r="V730" s="1393"/>
      <c r="W730" s="1393"/>
      <c r="X730" s="1394"/>
      <c r="Y730" s="1122">
        <f t="shared" si="30"/>
        <v>0</v>
      </c>
      <c r="Z730" s="1122"/>
      <c r="AA730" s="1122"/>
      <c r="AB730" s="1122"/>
      <c r="AC730" s="1122"/>
      <c r="AD730" s="1184">
        <v>0</v>
      </c>
      <c r="AE730" s="1185"/>
      <c r="AF730" s="1185"/>
      <c r="AG730" s="1185"/>
      <c r="AH730" s="1186"/>
      <c r="AI730" s="1279" t="str">
        <f t="shared" si="29"/>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9"/>
      <c r="C731" s="1270"/>
      <c r="D731" s="1270"/>
      <c r="E731" s="1270"/>
      <c r="F731" s="1388"/>
      <c r="G731" s="1382"/>
      <c r="H731" s="1383"/>
      <c r="I731" s="1383"/>
      <c r="J731" s="1384"/>
      <c r="K731" s="1404"/>
      <c r="L731" s="1404"/>
      <c r="M731" s="1404"/>
      <c r="N731" s="1404"/>
      <c r="O731" s="1404"/>
      <c r="P731" s="1122">
        <f t="shared" si="28"/>
        <v>0</v>
      </c>
      <c r="Q731" s="1122"/>
      <c r="R731" s="1122"/>
      <c r="S731" s="1122"/>
      <c r="T731" s="1122"/>
      <c r="U731" s="1392">
        <v>0</v>
      </c>
      <c r="V731" s="1393"/>
      <c r="W731" s="1393"/>
      <c r="X731" s="1394"/>
      <c r="Y731" s="1122">
        <f t="shared" si="30"/>
        <v>0</v>
      </c>
      <c r="Z731" s="1122"/>
      <c r="AA731" s="1122"/>
      <c r="AB731" s="1122"/>
      <c r="AC731" s="1122"/>
      <c r="AD731" s="1184">
        <v>0</v>
      </c>
      <c r="AE731" s="1185"/>
      <c r="AF731" s="1185"/>
      <c r="AG731" s="1185"/>
      <c r="AH731" s="1186"/>
      <c r="AI731" s="1279" t="str">
        <f t="shared" si="29"/>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9"/>
      <c r="C732" s="1270"/>
      <c r="D732" s="1270"/>
      <c r="E732" s="1270"/>
      <c r="F732" s="1388"/>
      <c r="G732" s="1382"/>
      <c r="H732" s="1383"/>
      <c r="I732" s="1383"/>
      <c r="J732" s="1384"/>
      <c r="K732" s="1404"/>
      <c r="L732" s="1404"/>
      <c r="M732" s="1404"/>
      <c r="N732" s="1404"/>
      <c r="O732" s="1404"/>
      <c r="P732" s="1122">
        <f t="shared" si="28"/>
        <v>0</v>
      </c>
      <c r="Q732" s="1122"/>
      <c r="R732" s="1122"/>
      <c r="S732" s="1122"/>
      <c r="T732" s="1122"/>
      <c r="U732" s="1392">
        <v>0</v>
      </c>
      <c r="V732" s="1393"/>
      <c r="W732" s="1393"/>
      <c r="X732" s="1394"/>
      <c r="Y732" s="1122">
        <f t="shared" si="30"/>
        <v>0</v>
      </c>
      <c r="Z732" s="1122"/>
      <c r="AA732" s="1122"/>
      <c r="AB732" s="1122"/>
      <c r="AC732" s="1122"/>
      <c r="AD732" s="1184">
        <v>0</v>
      </c>
      <c r="AE732" s="1185"/>
      <c r="AF732" s="1185"/>
      <c r="AG732" s="1185"/>
      <c r="AH732" s="1186"/>
      <c r="AI732" s="1279" t="str">
        <f t="shared" si="29"/>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9"/>
      <c r="C733" s="1270"/>
      <c r="D733" s="1270"/>
      <c r="E733" s="1270"/>
      <c r="F733" s="1388"/>
      <c r="G733" s="1382"/>
      <c r="H733" s="1383"/>
      <c r="I733" s="1383"/>
      <c r="J733" s="1384"/>
      <c r="K733" s="1404"/>
      <c r="L733" s="1404"/>
      <c r="M733" s="1404"/>
      <c r="N733" s="1404"/>
      <c r="O733" s="1404"/>
      <c r="P733" s="1122">
        <f t="shared" si="28"/>
        <v>0</v>
      </c>
      <c r="Q733" s="1122"/>
      <c r="R733" s="1122"/>
      <c r="S733" s="1122"/>
      <c r="T733" s="1122"/>
      <c r="U733" s="1392">
        <v>0</v>
      </c>
      <c r="V733" s="1393"/>
      <c r="W733" s="1393"/>
      <c r="X733" s="1394"/>
      <c r="Y733" s="1122">
        <f t="shared" si="30"/>
        <v>0</v>
      </c>
      <c r="Z733" s="1122"/>
      <c r="AA733" s="1122"/>
      <c r="AB733" s="1122"/>
      <c r="AC733" s="1122"/>
      <c r="AD733" s="1184">
        <v>0</v>
      </c>
      <c r="AE733" s="1185"/>
      <c r="AF733" s="1185"/>
      <c r="AG733" s="1185"/>
      <c r="AH733" s="1186"/>
      <c r="AI733" s="1276" t="str">
        <f t="shared" si="29"/>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56">
        <f>SUM(G709:J733)</f>
        <v>89</v>
      </c>
      <c r="H734" s="1557"/>
      <c r="I734" s="1557"/>
      <c r="J734" s="1558"/>
      <c r="K734" s="1271" t="s">
        <v>131</v>
      </c>
      <c r="L734" s="1272"/>
      <c r="M734" s="1272"/>
      <c r="N734" s="1272"/>
      <c r="O734" s="1273"/>
      <c r="P734" s="1389">
        <f>SUM(P709:T733)</f>
        <v>70895</v>
      </c>
      <c r="Q734" s="1390"/>
      <c r="R734" s="1390"/>
      <c r="S734" s="1390"/>
      <c r="T734" s="1391"/>
      <c r="Y734" s="1564" t="s">
        <v>999</v>
      </c>
      <c r="Z734" s="1565"/>
      <c r="AA734" s="1565"/>
      <c r="AB734" s="1565"/>
      <c r="AC734" s="1566"/>
      <c r="AD734" s="1145">
        <f>AV675</f>
        <v>0.56966292134831464</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5" t="s">
        <v>421</v>
      </c>
      <c r="K750" s="1396"/>
      <c r="L750" s="1396"/>
      <c r="M750" s="1396"/>
      <c r="N750" s="1397"/>
      <c r="O750" s="1406" t="s">
        <v>302</v>
      </c>
      <c r="P750" s="1406"/>
      <c r="Q750" s="1406"/>
      <c r="R750" s="1406"/>
      <c r="S750" s="1406"/>
      <c r="T750" s="1406" t="s">
        <v>492</v>
      </c>
      <c r="U750" s="1406"/>
      <c r="V750" s="1406"/>
      <c r="W750" s="1406"/>
      <c r="X750" s="1406"/>
      <c r="Y750" s="1406" t="s">
        <v>303</v>
      </c>
      <c r="Z750" s="1406"/>
      <c r="AA750" s="1406"/>
      <c r="AB750" s="1406"/>
      <c r="AC750" s="140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8"/>
      <c r="K751" s="1399"/>
      <c r="L751" s="1399"/>
      <c r="M751" s="1399"/>
      <c r="N751" s="1400"/>
      <c r="O751" s="1406"/>
      <c r="P751" s="1406"/>
      <c r="Q751" s="1406"/>
      <c r="R751" s="1406"/>
      <c r="S751" s="1406"/>
      <c r="T751" s="1406"/>
      <c r="U751" s="1406"/>
      <c r="V751" s="1406"/>
      <c r="W751" s="1406"/>
      <c r="X751" s="1406"/>
      <c r="Y751" s="1406"/>
      <c r="Z751" s="1406"/>
      <c r="AA751" s="1406"/>
      <c r="AB751" s="1406"/>
      <c r="AC751" s="140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8"/>
      <c r="K752" s="1399"/>
      <c r="L752" s="1399"/>
      <c r="M752" s="1399"/>
      <c r="N752" s="1400"/>
      <c r="O752" s="1406"/>
      <c r="P752" s="1406"/>
      <c r="Q752" s="1406"/>
      <c r="R752" s="1406"/>
      <c r="S752" s="1406"/>
      <c r="T752" s="1406"/>
      <c r="U752" s="1406"/>
      <c r="V752" s="1406"/>
      <c r="W752" s="1406"/>
      <c r="X752" s="1406"/>
      <c r="Y752" s="1406"/>
      <c r="Z752" s="1406"/>
      <c r="AA752" s="1406"/>
      <c r="AB752" s="1406"/>
      <c r="AC752" s="140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1"/>
      <c r="K753" s="1402"/>
      <c r="L753" s="1402"/>
      <c r="M753" s="1402"/>
      <c r="N753" s="1403"/>
      <c r="O753" s="1406"/>
      <c r="P753" s="1406"/>
      <c r="Q753" s="1406"/>
      <c r="R753" s="1406"/>
      <c r="S753" s="1406"/>
      <c r="T753" s="1406"/>
      <c r="U753" s="1406"/>
      <c r="V753" s="1406"/>
      <c r="W753" s="1406"/>
      <c r="X753" s="1406"/>
      <c r="Y753" s="1406"/>
      <c r="Z753" s="1406"/>
      <c r="AA753" s="1406"/>
      <c r="AB753" s="1406"/>
      <c r="AC753" s="140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9" t="s">
        <v>170</v>
      </c>
      <c r="K754" s="1270"/>
      <c r="L754" s="1270"/>
      <c r="M754" s="1270"/>
      <c r="N754" s="1388"/>
      <c r="O754" s="1283">
        <v>2</v>
      </c>
      <c r="P754" s="1283"/>
      <c r="Q754" s="1283"/>
      <c r="R754" s="1283"/>
      <c r="S754" s="1283"/>
      <c r="T754" s="1404"/>
      <c r="U754" s="1404"/>
      <c r="V754" s="1404"/>
      <c r="W754" s="1404"/>
      <c r="X754" s="1404"/>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9"/>
      <c r="K755" s="1270"/>
      <c r="L755" s="1270"/>
      <c r="M755" s="1270"/>
      <c r="N755" s="1388"/>
      <c r="O755" s="1283"/>
      <c r="P755" s="1283"/>
      <c r="Q755" s="1283"/>
      <c r="R755" s="1283"/>
      <c r="S755" s="1283"/>
      <c r="T755" s="1404"/>
      <c r="U755" s="1404"/>
      <c r="V755" s="1404"/>
      <c r="W755" s="1404"/>
      <c r="X755" s="1404"/>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9"/>
      <c r="K756" s="1270"/>
      <c r="L756" s="1270"/>
      <c r="M756" s="1270"/>
      <c r="N756" s="1388"/>
      <c r="O756" s="1283"/>
      <c r="P756" s="1283"/>
      <c r="Q756" s="1283"/>
      <c r="R756" s="1283"/>
      <c r="S756" s="1283"/>
      <c r="T756" s="1404"/>
      <c r="U756" s="1404"/>
      <c r="V756" s="1404"/>
      <c r="W756" s="1404"/>
      <c r="X756" s="1404"/>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9"/>
      <c r="K757" s="1270"/>
      <c r="L757" s="1270"/>
      <c r="M757" s="1270"/>
      <c r="N757" s="1388"/>
      <c r="O757" s="1283"/>
      <c r="P757" s="1283"/>
      <c r="Q757" s="1283"/>
      <c r="R757" s="1283"/>
      <c r="S757" s="1283"/>
      <c r="T757" s="1404"/>
      <c r="U757" s="1404"/>
      <c r="V757" s="1404"/>
      <c r="W757" s="1404"/>
      <c r="X757" s="1404"/>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07">
        <f>SUM(O754:S757)</f>
        <v>2</v>
      </c>
      <c r="P758" s="1408"/>
      <c r="Q758" s="1408"/>
      <c r="R758" s="1408"/>
      <c r="S758" s="1409"/>
      <c r="T758" s="1410" t="s">
        <v>131</v>
      </c>
      <c r="U758" s="1411"/>
      <c r="V758" s="1411"/>
      <c r="W758" s="1411"/>
      <c r="X758" s="1412"/>
      <c r="Y758" s="1389">
        <f>SUM(Y754:AC757)</f>
        <v>0</v>
      </c>
      <c r="Z758" s="1413"/>
      <c r="AA758" s="1413"/>
      <c r="AB758" s="1413"/>
      <c r="AC758" s="141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723</v>
      </c>
      <c r="K760" s="1141"/>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5" t="s">
        <v>421</v>
      </c>
      <c r="K764" s="1396"/>
      <c r="L764" s="1396"/>
      <c r="M764" s="1396"/>
      <c r="N764" s="1397"/>
      <c r="O764" s="1406" t="s">
        <v>302</v>
      </c>
      <c r="P764" s="1406"/>
      <c r="Q764" s="1406"/>
      <c r="R764" s="1406"/>
      <c r="S764" s="1406"/>
      <c r="T764" s="1406" t="s">
        <v>492</v>
      </c>
      <c r="U764" s="1406"/>
      <c r="V764" s="1406"/>
      <c r="W764" s="1406"/>
      <c r="X764" s="1406"/>
      <c r="Y764" s="1406" t="s">
        <v>303</v>
      </c>
      <c r="Z764" s="1406"/>
      <c r="AA764" s="1406"/>
      <c r="AB764" s="1406"/>
      <c r="AC764" s="140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8"/>
      <c r="K765" s="1399"/>
      <c r="L765" s="1399"/>
      <c r="M765" s="1399"/>
      <c r="N765" s="1400"/>
      <c r="O765" s="1406"/>
      <c r="P765" s="1406"/>
      <c r="Q765" s="1406"/>
      <c r="R765" s="1406"/>
      <c r="S765" s="1406"/>
      <c r="T765" s="1406"/>
      <c r="U765" s="1406"/>
      <c r="V765" s="1406"/>
      <c r="W765" s="1406"/>
      <c r="X765" s="1406"/>
      <c r="Y765" s="1406"/>
      <c r="Z765" s="1406"/>
      <c r="AA765" s="1406"/>
      <c r="AB765" s="1406"/>
      <c r="AC765" s="140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8"/>
      <c r="K766" s="1399"/>
      <c r="L766" s="1399"/>
      <c r="M766" s="1399"/>
      <c r="N766" s="1400"/>
      <c r="O766" s="1406"/>
      <c r="P766" s="1406"/>
      <c r="Q766" s="1406"/>
      <c r="R766" s="1406"/>
      <c r="S766" s="1406"/>
      <c r="T766" s="1406"/>
      <c r="U766" s="1406"/>
      <c r="V766" s="1406"/>
      <c r="W766" s="1406"/>
      <c r="X766" s="1406"/>
      <c r="Y766" s="1406"/>
      <c r="Z766" s="1406"/>
      <c r="AA766" s="1406"/>
      <c r="AB766" s="1406"/>
      <c r="AC766" s="140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1"/>
      <c r="K767" s="1402"/>
      <c r="L767" s="1402"/>
      <c r="M767" s="1402"/>
      <c r="N767" s="1403"/>
      <c r="O767" s="1406"/>
      <c r="P767" s="1406"/>
      <c r="Q767" s="1406"/>
      <c r="R767" s="1406"/>
      <c r="S767" s="1406"/>
      <c r="T767" s="1406"/>
      <c r="U767" s="1406"/>
      <c r="V767" s="1406"/>
      <c r="W767" s="1406"/>
      <c r="X767" s="1406"/>
      <c r="Y767" s="1406"/>
      <c r="Z767" s="1406"/>
      <c r="AA767" s="1406"/>
      <c r="AB767" s="1406"/>
      <c r="AC767" s="140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9"/>
      <c r="K768" s="1270"/>
      <c r="L768" s="1270"/>
      <c r="M768" s="1270"/>
      <c r="N768" s="1388"/>
      <c r="O768" s="1283"/>
      <c r="P768" s="1283"/>
      <c r="Q768" s="1283"/>
      <c r="R768" s="1283"/>
      <c r="S768" s="1283"/>
      <c r="T768" s="1404"/>
      <c r="U768" s="1404"/>
      <c r="V768" s="1404"/>
      <c r="W768" s="1404"/>
      <c r="X768" s="1404"/>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9"/>
      <c r="K769" s="1270"/>
      <c r="L769" s="1270"/>
      <c r="M769" s="1270"/>
      <c r="N769" s="1388"/>
      <c r="O769" s="1283"/>
      <c r="P769" s="1283"/>
      <c r="Q769" s="1283"/>
      <c r="R769" s="1283"/>
      <c r="S769" s="1283"/>
      <c r="T769" s="1404"/>
      <c r="U769" s="1404"/>
      <c r="V769" s="1404"/>
      <c r="W769" s="1404"/>
      <c r="X769" s="1404"/>
      <c r="Y769" s="1122">
        <f t="shared" ref="Y769:Y777" si="31">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9"/>
      <c r="K770" s="1270"/>
      <c r="L770" s="1270"/>
      <c r="M770" s="1270"/>
      <c r="N770" s="1388"/>
      <c r="O770" s="1283"/>
      <c r="P770" s="1283"/>
      <c r="Q770" s="1283"/>
      <c r="R770" s="1283"/>
      <c r="S770" s="1283"/>
      <c r="T770" s="1404"/>
      <c r="U770" s="1404"/>
      <c r="V770" s="1404"/>
      <c r="W770" s="1404"/>
      <c r="X770" s="1404"/>
      <c r="Y770" s="1122">
        <f t="shared" si="31"/>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9"/>
      <c r="K771" s="1270"/>
      <c r="L771" s="1270"/>
      <c r="M771" s="1270"/>
      <c r="N771" s="1388"/>
      <c r="O771" s="1283"/>
      <c r="P771" s="1283"/>
      <c r="Q771" s="1283"/>
      <c r="R771" s="1283"/>
      <c r="S771" s="1283"/>
      <c r="T771" s="1404"/>
      <c r="U771" s="1404"/>
      <c r="V771" s="1404"/>
      <c r="W771" s="1404"/>
      <c r="X771" s="1404"/>
      <c r="Y771" s="1122">
        <f t="shared" si="31"/>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9"/>
      <c r="K772" s="1270"/>
      <c r="L772" s="1270"/>
      <c r="M772" s="1270"/>
      <c r="N772" s="1388"/>
      <c r="O772" s="1283"/>
      <c r="P772" s="1283"/>
      <c r="Q772" s="1283"/>
      <c r="R772" s="1283"/>
      <c r="S772" s="1283"/>
      <c r="T772" s="1404"/>
      <c r="U772" s="1404"/>
      <c r="V772" s="1404"/>
      <c r="W772" s="1404"/>
      <c r="X772" s="1404"/>
      <c r="Y772" s="1122">
        <f t="shared" si="31"/>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9"/>
      <c r="K773" s="1270"/>
      <c r="L773" s="1270"/>
      <c r="M773" s="1270"/>
      <c r="N773" s="1388"/>
      <c r="O773" s="1283"/>
      <c r="P773" s="1283"/>
      <c r="Q773" s="1283"/>
      <c r="R773" s="1283"/>
      <c r="S773" s="1283"/>
      <c r="T773" s="1404"/>
      <c r="U773" s="1404"/>
      <c r="V773" s="1404"/>
      <c r="W773" s="1404"/>
      <c r="X773" s="1404"/>
      <c r="Y773" s="1122">
        <f t="shared" si="31"/>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9"/>
      <c r="K774" s="1270"/>
      <c r="L774" s="1270"/>
      <c r="M774" s="1270"/>
      <c r="N774" s="1388"/>
      <c r="O774" s="1283"/>
      <c r="P774" s="1283"/>
      <c r="Q774" s="1283"/>
      <c r="R774" s="1283"/>
      <c r="S774" s="1283"/>
      <c r="T774" s="1404"/>
      <c r="U774" s="1404"/>
      <c r="V774" s="1404"/>
      <c r="W774" s="1404"/>
      <c r="X774" s="1404"/>
      <c r="Y774" s="1122">
        <f t="shared" si="31"/>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9"/>
      <c r="K775" s="1270"/>
      <c r="L775" s="1270"/>
      <c r="M775" s="1270"/>
      <c r="N775" s="1388"/>
      <c r="O775" s="1283"/>
      <c r="P775" s="1283"/>
      <c r="Q775" s="1283"/>
      <c r="R775" s="1283"/>
      <c r="S775" s="1283"/>
      <c r="T775" s="1404"/>
      <c r="U775" s="1404"/>
      <c r="V775" s="1404"/>
      <c r="W775" s="1404"/>
      <c r="X775" s="1404"/>
      <c r="Y775" s="1122">
        <f t="shared" si="31"/>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9"/>
      <c r="K776" s="1270"/>
      <c r="L776" s="1270"/>
      <c r="M776" s="1270"/>
      <c r="N776" s="1388"/>
      <c r="O776" s="1283"/>
      <c r="P776" s="1283"/>
      <c r="Q776" s="1283"/>
      <c r="R776" s="1283"/>
      <c r="S776" s="1283"/>
      <c r="T776" s="1404"/>
      <c r="U776" s="1404"/>
      <c r="V776" s="1404"/>
      <c r="W776" s="1404"/>
      <c r="X776" s="1404"/>
      <c r="Y776" s="1122">
        <f t="shared" si="31"/>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9"/>
      <c r="K777" s="1270"/>
      <c r="L777" s="1270"/>
      <c r="M777" s="1270"/>
      <c r="N777" s="1388"/>
      <c r="O777" s="1283"/>
      <c r="P777" s="1283"/>
      <c r="Q777" s="1283"/>
      <c r="R777" s="1283"/>
      <c r="S777" s="1283"/>
      <c r="T777" s="1404"/>
      <c r="U777" s="1404"/>
      <c r="V777" s="1404"/>
      <c r="W777" s="1404"/>
      <c r="X777" s="1404"/>
      <c r="Y777" s="1122">
        <f t="shared" si="31"/>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20">
        <f>SUM(O768:S777)</f>
        <v>0</v>
      </c>
      <c r="P778" s="1420"/>
      <c r="Q778" s="1420"/>
      <c r="R778" s="1420"/>
      <c r="S778" s="1420"/>
      <c r="T778" s="1410" t="s">
        <v>131</v>
      </c>
      <c r="U778" s="1411"/>
      <c r="V778" s="1411"/>
      <c r="W778" s="1411"/>
      <c r="X778" s="1412"/>
      <c r="Y778" s="1389">
        <f>SUM(Y768:AC777)</f>
        <v>0</v>
      </c>
      <c r="Z778" s="1390"/>
      <c r="AA778" s="1390"/>
      <c r="AB778" s="1390"/>
      <c r="AC778" s="139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2" t="s">
        <v>516</v>
      </c>
      <c r="BB779" s="1563"/>
      <c r="BC779" s="58"/>
      <c r="BD779" s="58"/>
      <c r="BE779" s="58"/>
      <c r="BF779" s="51" t="s">
        <v>685</v>
      </c>
      <c r="BG779" s="51"/>
      <c r="BH779" s="51"/>
      <c r="BI779" s="51"/>
      <c r="BJ779" s="51"/>
      <c r="BK779" s="51"/>
      <c r="BL779" s="51"/>
      <c r="BM779" s="51"/>
      <c r="BN779" s="51"/>
      <c r="BO779" s="1559" t="str">
        <f>T191</f>
        <v>Los Angeles</v>
      </c>
      <c r="BP779" s="1560"/>
      <c r="BQ779" s="1560"/>
      <c r="BR779" s="1560"/>
      <c r="BS779" s="1560"/>
      <c r="BT779" s="1560"/>
      <c r="BU779" s="15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70895</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850740</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5">
        <v>44</v>
      </c>
      <c r="AA786" s="1456"/>
      <c r="AB786" s="1456"/>
      <c r="AC786" s="1456"/>
      <c r="AD786" s="1456"/>
      <c r="AE786" s="145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7">
        <v>20</v>
      </c>
      <c r="AA787" s="1456"/>
      <c r="AB787" s="1456"/>
      <c r="AC787" s="1456"/>
      <c r="AD787" s="1456"/>
      <c r="AE787" s="145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1">
        <v>51135</v>
      </c>
      <c r="AA788" s="1422"/>
      <c r="AB788" s="1422"/>
      <c r="AC788" s="1422"/>
      <c r="AD788" s="1422"/>
      <c r="AE788" s="142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588288</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11150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v>2500</v>
      </c>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0" t="s">
        <v>357</v>
      </c>
      <c r="Q796" s="1485"/>
      <c r="R796" s="1485"/>
      <c r="S796" s="1485"/>
      <c r="T796" s="1485"/>
      <c r="U796" s="1485"/>
      <c r="V796" s="1485"/>
      <c r="W796" s="1485"/>
      <c r="X796" s="1485"/>
      <c r="Y796" s="1486"/>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13650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1452678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8" t="s">
        <v>133</v>
      </c>
      <c r="N803" s="1578"/>
      <c r="O803" s="1578"/>
      <c r="P803" s="1579"/>
      <c r="Q803" s="1567" t="s">
        <v>309</v>
      </c>
      <c r="R803" s="1567"/>
      <c r="S803" s="1567"/>
      <c r="T803" s="1567"/>
      <c r="U803" s="1567" t="s">
        <v>310</v>
      </c>
      <c r="V803" s="1567"/>
      <c r="W803" s="1567"/>
      <c r="X803" s="1567"/>
      <c r="Y803" s="1567" t="s">
        <v>311</v>
      </c>
      <c r="Z803" s="1567"/>
      <c r="AA803" s="1567"/>
      <c r="AB803" s="1567"/>
      <c r="AC803" s="1567" t="s">
        <v>385</v>
      </c>
      <c r="AD803" s="1567"/>
      <c r="AE803" s="1567"/>
      <c r="AF803" s="1567"/>
      <c r="AG803" s="1469" t="s">
        <v>358</v>
      </c>
      <c r="AH803" s="1469"/>
      <c r="AI803" s="1469"/>
      <c r="AJ803" s="146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0"/>
      <c r="N804" s="1580"/>
      <c r="O804" s="1580"/>
      <c r="P804" s="1581"/>
      <c r="Q804" s="1567"/>
      <c r="R804" s="1567"/>
      <c r="S804" s="1567"/>
      <c r="T804" s="1567"/>
      <c r="U804" s="1567"/>
      <c r="V804" s="1567"/>
      <c r="W804" s="1567"/>
      <c r="X804" s="1567"/>
      <c r="Y804" s="1567"/>
      <c r="Z804" s="1567"/>
      <c r="AA804" s="1567"/>
      <c r="AB804" s="1567"/>
      <c r="AC804" s="1567"/>
      <c r="AD804" s="1567"/>
      <c r="AE804" s="1567"/>
      <c r="AF804" s="1567"/>
      <c r="AG804" s="1469"/>
      <c r="AH804" s="1469"/>
      <c r="AI804" s="1469"/>
      <c r="AJ804" s="146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5" t="s">
        <v>45</v>
      </c>
      <c r="D805" s="1426"/>
      <c r="E805" s="1426"/>
      <c r="F805" s="1426"/>
      <c r="G805" s="1426"/>
      <c r="H805" s="1426"/>
      <c r="I805" s="80"/>
      <c r="J805" s="80"/>
      <c r="K805" s="80"/>
      <c r="L805" s="81"/>
      <c r="M805" s="1415"/>
      <c r="N805" s="1415"/>
      <c r="O805" s="1415"/>
      <c r="P805" s="1415"/>
      <c r="Q805" s="1415">
        <v>13</v>
      </c>
      <c r="R805" s="1415"/>
      <c r="S805" s="1415"/>
      <c r="T805" s="1415"/>
      <c r="U805" s="1415">
        <v>17</v>
      </c>
      <c r="V805" s="1415"/>
      <c r="W805" s="1415"/>
      <c r="X805" s="1415"/>
      <c r="Y805" s="1415"/>
      <c r="Z805" s="1415"/>
      <c r="AA805" s="1415"/>
      <c r="AB805" s="1415"/>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5"/>
      <c r="N806" s="1415"/>
      <c r="O806" s="1415"/>
      <c r="P806" s="1415"/>
      <c r="Q806" s="1415"/>
      <c r="R806" s="1415"/>
      <c r="S806" s="1415"/>
      <c r="T806" s="1415"/>
      <c r="U806" s="1415"/>
      <c r="V806" s="1415"/>
      <c r="W806" s="1415"/>
      <c r="X806" s="1415"/>
      <c r="Y806" s="1415"/>
      <c r="Z806" s="1415"/>
      <c r="AA806" s="1415"/>
      <c r="AB806" s="1415"/>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5"/>
      <c r="N807" s="1415"/>
      <c r="O807" s="1415"/>
      <c r="P807" s="1415"/>
      <c r="Q807" s="1415">
        <v>5</v>
      </c>
      <c r="R807" s="1415"/>
      <c r="S807" s="1415"/>
      <c r="T807" s="1415"/>
      <c r="U807" s="1415">
        <v>6</v>
      </c>
      <c r="V807" s="1415"/>
      <c r="W807" s="1415"/>
      <c r="X807" s="1415"/>
      <c r="Y807" s="1415"/>
      <c r="Z807" s="1415"/>
      <c r="AA807" s="1415"/>
      <c r="AB807" s="1415"/>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841</v>
      </c>
      <c r="D808" s="1160"/>
      <c r="E808" s="1160"/>
      <c r="F808" s="1160"/>
      <c r="G808" s="1160"/>
      <c r="H808" s="1160"/>
      <c r="I808" s="96"/>
      <c r="J808" s="96"/>
      <c r="K808" s="96"/>
      <c r="L808" s="97"/>
      <c r="M808" s="1415"/>
      <c r="N808" s="1415"/>
      <c r="O808" s="1415"/>
      <c r="P808" s="1415"/>
      <c r="Q808" s="1415"/>
      <c r="R808" s="1415"/>
      <c r="S808" s="1415"/>
      <c r="T808" s="1415"/>
      <c r="U808" s="1415"/>
      <c r="V808" s="1415"/>
      <c r="W808" s="1415"/>
      <c r="X808" s="1415"/>
      <c r="Y808" s="1415"/>
      <c r="Z808" s="1415"/>
      <c r="AA808" s="1415"/>
      <c r="AB808" s="1415"/>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506</v>
      </c>
      <c r="D809" s="1160"/>
      <c r="E809" s="1160"/>
      <c r="F809" s="1160"/>
      <c r="G809" s="1160"/>
      <c r="H809" s="1160"/>
      <c r="I809" s="96"/>
      <c r="J809" s="96"/>
      <c r="K809" s="96"/>
      <c r="L809" s="97"/>
      <c r="M809" s="1415"/>
      <c r="N809" s="1415"/>
      <c r="O809" s="1415"/>
      <c r="P809" s="1415"/>
      <c r="Q809" s="1415">
        <v>19</v>
      </c>
      <c r="R809" s="1415"/>
      <c r="S809" s="1415"/>
      <c r="T809" s="1415"/>
      <c r="U809" s="1415">
        <v>24</v>
      </c>
      <c r="V809" s="1415"/>
      <c r="W809" s="1415"/>
      <c r="X809" s="1415"/>
      <c r="Y809" s="1415"/>
      <c r="Z809" s="1415"/>
      <c r="AA809" s="1415"/>
      <c r="AB809" s="1415"/>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5" t="s">
        <v>865</v>
      </c>
      <c r="D810" s="1160"/>
      <c r="E810" s="1160"/>
      <c r="F810" s="1160"/>
      <c r="G810" s="1160"/>
      <c r="H810" s="1160"/>
      <c r="I810" s="96"/>
      <c r="J810" s="96"/>
      <c r="K810" s="96"/>
      <c r="L810" s="97"/>
      <c r="M810" s="1415"/>
      <c r="N810" s="1415"/>
      <c r="O810" s="1415"/>
      <c r="P810" s="1415"/>
      <c r="Q810" s="1415"/>
      <c r="R810" s="1415"/>
      <c r="S810" s="1415"/>
      <c r="T810" s="1415"/>
      <c r="U810" s="1415"/>
      <c r="V810" s="1415"/>
      <c r="W810" s="1415"/>
      <c r="X810" s="1415"/>
      <c r="Y810" s="1415"/>
      <c r="Z810" s="1415"/>
      <c r="AA810" s="1415"/>
      <c r="AB810" s="1415"/>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1740</v>
      </c>
      <c r="G811" s="1198"/>
      <c r="H811" s="1198"/>
      <c r="I811" s="1198"/>
      <c r="J811" s="1198"/>
      <c r="K811" s="1198"/>
      <c r="L811" s="1199"/>
      <c r="M811" s="1415"/>
      <c r="N811" s="1415"/>
      <c r="O811" s="1415"/>
      <c r="P811" s="1415"/>
      <c r="Q811" s="1415">
        <v>2</v>
      </c>
      <c r="R811" s="1415"/>
      <c r="S811" s="1415"/>
      <c r="T811" s="1415"/>
      <c r="U811" s="1415">
        <v>3</v>
      </c>
      <c r="V811" s="1415"/>
      <c r="W811" s="1415"/>
      <c r="X811" s="1415"/>
      <c r="Y811" s="1415"/>
      <c r="Z811" s="1415"/>
      <c r="AA811" s="1415"/>
      <c r="AB811" s="1415"/>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16">
        <f>SUM(M805:P811)</f>
        <v>0</v>
      </c>
      <c r="N812" s="1416"/>
      <c r="O812" s="1416"/>
      <c r="P812" s="1416"/>
      <c r="Q812" s="1416">
        <f>SUM(Q805:T811)</f>
        <v>39</v>
      </c>
      <c r="R812" s="1416"/>
      <c r="S812" s="1416"/>
      <c r="T812" s="1416"/>
      <c r="U812" s="1416">
        <f>SUM(U805:X811)</f>
        <v>50</v>
      </c>
      <c r="V812" s="1416"/>
      <c r="W812" s="1416"/>
      <c r="X812" s="1416"/>
      <c r="Y812" s="1416">
        <f>SUM(Y805:AB811)</f>
        <v>0</v>
      </c>
      <c r="Z812" s="1416"/>
      <c r="AA812" s="1416"/>
      <c r="AB812" s="1416"/>
      <c r="AC812" s="1416">
        <f>SUM(AC805:AF811)</f>
        <v>0</v>
      </c>
      <c r="AD812" s="1416"/>
      <c r="AE812" s="1416"/>
      <c r="AF812" s="1416"/>
      <c r="AG812" s="1416">
        <f>SUM(AG805:AJ811)</f>
        <v>0</v>
      </c>
      <c r="AH812" s="1416"/>
      <c r="AI812" s="1416"/>
      <c r="AJ812" s="141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7" t="s">
        <v>1741</v>
      </c>
      <c r="D817" s="1518"/>
      <c r="E817" s="1518"/>
      <c r="F817" s="1518"/>
      <c r="G817" s="1518"/>
      <c r="H817" s="1518"/>
      <c r="I817" s="1518"/>
      <c r="J817" s="1518"/>
      <c r="K817" s="1518"/>
      <c r="L817" s="1518"/>
      <c r="M817" s="1518"/>
      <c r="N817" s="1518"/>
      <c r="O817" s="1518"/>
      <c r="P817" s="1518"/>
      <c r="Q817" s="1518"/>
      <c r="R817" s="1518"/>
      <c r="S817" s="1518"/>
      <c r="T817" s="1518"/>
      <c r="U817" s="1518"/>
      <c r="V817" s="1518"/>
      <c r="W817" s="1518"/>
      <c r="X817" s="1518"/>
      <c r="Y817" s="1518"/>
      <c r="Z817" s="1518"/>
      <c r="AA817" s="1518"/>
      <c r="AB817" s="1518"/>
      <c r="AC817" s="1518"/>
      <c r="AD817" s="1518"/>
      <c r="AE817" s="1518"/>
      <c r="AF817" s="1518"/>
      <c r="AG817" s="1518"/>
      <c r="AH817" s="1518"/>
      <c r="AI817" s="1518"/>
      <c r="AJ817" s="15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8">
        <v>3800</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8">
        <v>9000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8">
        <v>22750</v>
      </c>
      <c r="X824" s="1148"/>
      <c r="Y824" s="1148"/>
      <c r="Z824" s="1148"/>
      <c r="AA824" s="1148"/>
      <c r="AB824" s="1148"/>
      <c r="AC824" s="1148"/>
      <c r="AD824" s="12"/>
      <c r="AE824" s="12"/>
      <c r="AF824" s="12"/>
      <c r="AG824" s="12"/>
      <c r="AH824" s="12"/>
      <c r="AI824" s="12"/>
      <c r="AJ824" s="12"/>
      <c r="AK824" s="12"/>
      <c r="AL824" s="12"/>
      <c r="AS824" s="21"/>
      <c r="AT824" s="56"/>
      <c r="AV824" s="1588">
        <f>ROUNDDOWN(AP908*2,2)</f>
        <v>0</v>
      </c>
      <c r="AW824" s="1588"/>
      <c r="AX824" s="1588"/>
      <c r="AY824" s="158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8"/>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1742</v>
      </c>
      <c r="N826" s="1198"/>
      <c r="O826" s="1198"/>
      <c r="P826" s="1198"/>
      <c r="Q826" s="1198"/>
      <c r="R826" s="1198"/>
      <c r="S826" s="1198"/>
      <c r="T826" s="1198"/>
      <c r="U826" s="1198"/>
      <c r="V826" s="1199"/>
      <c r="W826" s="1148">
        <v>31350</v>
      </c>
      <c r="X826" s="1148"/>
      <c r="Y826" s="1148"/>
      <c r="Z826" s="1148"/>
      <c r="AA826" s="1148"/>
      <c r="AB826" s="1148"/>
      <c r="AC826" s="114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66900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206">
        <v>65520</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8"/>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464"/>
      <c r="AU831" s="1464"/>
      <c r="AV831" s="1464"/>
      <c r="AW831" s="1464"/>
      <c r="AX831" s="1464"/>
      <c r="AY831" s="146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8">
        <v>22000</v>
      </c>
      <c r="X832" s="1428"/>
      <c r="Y832" s="1428"/>
      <c r="Z832" s="1428"/>
      <c r="AA832" s="1428"/>
      <c r="AB832" s="1428"/>
      <c r="AC832" s="142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8">
        <v>50000</v>
      </c>
      <c r="X833" s="1428"/>
      <c r="Y833" s="1428"/>
      <c r="Z833" s="1428"/>
      <c r="AA833" s="1428"/>
      <c r="AB833" s="1428"/>
      <c r="AC833" s="142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8">
        <v>53000</v>
      </c>
      <c r="X834" s="1428"/>
      <c r="Y834" s="1428"/>
      <c r="Z834" s="1428"/>
      <c r="AA834" s="1428"/>
      <c r="AB834" s="1428"/>
      <c r="AC834" s="1428"/>
      <c r="AD834" s="12"/>
      <c r="AE834" s="12"/>
      <c r="AF834" s="12"/>
      <c r="AG834" s="12"/>
      <c r="AH834" s="12"/>
      <c r="AI834" s="12"/>
      <c r="AJ834" s="12"/>
      <c r="AK834" s="12"/>
      <c r="AL834" s="12"/>
      <c r="AM834" s="1431">
        <f>SUM(AM801:AM829)</f>
        <v>7.5000000000000011E-2</v>
      </c>
      <c r="AN834" s="143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9">
        <f>SUM(W831:AC834)</f>
        <v>125000</v>
      </c>
      <c r="X835" s="1429"/>
      <c r="Y835" s="1429"/>
      <c r="Z835" s="1429"/>
      <c r="AA835" s="1429"/>
      <c r="AB835" s="1429"/>
      <c r="AC835" s="142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85000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v>52000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1743</v>
      </c>
      <c r="N839" s="1198"/>
      <c r="O839" s="1198"/>
      <c r="P839" s="1198"/>
      <c r="Q839" s="1198"/>
      <c r="R839" s="1198"/>
      <c r="S839" s="1198"/>
      <c r="T839" s="1198"/>
      <c r="U839" s="1198"/>
      <c r="V839" s="1199"/>
      <c r="W839" s="1221">
        <v>47950</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9">
        <f>SUM(W837:AC839)</f>
        <v>184950</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54600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8">
        <v>12000</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8">
        <v>41250</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8">
        <v>24000</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8">
        <v>13500</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8">
        <v>16800</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8">
        <v>9600</v>
      </c>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1744</v>
      </c>
      <c r="N849" s="1198"/>
      <c r="O849" s="1198"/>
      <c r="P849" s="1198"/>
      <c r="Q849" s="1198"/>
      <c r="R849" s="1198"/>
      <c r="S849" s="1198"/>
      <c r="T849" s="1198"/>
      <c r="U849" s="1198"/>
      <c r="V849" s="1199"/>
      <c r="W849" s="1148">
        <v>51710</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168860</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7" t="s">
        <v>1745</v>
      </c>
      <c r="N852" s="1198"/>
      <c r="O852" s="1198"/>
      <c r="P852" s="1198"/>
      <c r="Q852" s="1198"/>
      <c r="R852" s="1198"/>
      <c r="S852" s="1198"/>
      <c r="T852" s="1198"/>
      <c r="U852" s="1198"/>
      <c r="V852" s="1199"/>
      <c r="W852" s="1206">
        <v>665</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4" t="s">
        <v>357</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1746</v>
      </c>
      <c r="N854" s="1198"/>
      <c r="O854" s="1198"/>
      <c r="P854" s="1198"/>
      <c r="Q854" s="1198"/>
      <c r="R854" s="1198"/>
      <c r="S854" s="1198"/>
      <c r="T854" s="1198"/>
      <c r="U854" s="1198"/>
      <c r="V854" s="1199"/>
      <c r="W854" s="1206">
        <v>46080</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4"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4"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46745</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712575</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91</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0" t="s">
        <v>35</v>
      </c>
      <c r="F863" s="1521"/>
      <c r="G863" s="1521"/>
      <c r="H863" s="1521"/>
      <c r="I863" s="1521"/>
      <c r="J863" s="1521"/>
      <c r="K863" s="1521"/>
      <c r="L863" s="1521"/>
      <c r="M863" s="1521"/>
      <c r="N863" s="1521"/>
      <c r="O863" s="1521"/>
      <c r="P863" s="1521"/>
      <c r="Q863" s="1521"/>
      <c r="R863" s="1521"/>
      <c r="S863" s="1521"/>
      <c r="T863" s="1521"/>
      <c r="U863" s="1521"/>
      <c r="V863" s="1521"/>
      <c r="W863" s="1521"/>
      <c r="X863" s="1521"/>
      <c r="Y863" s="1521"/>
      <c r="Z863" s="1521"/>
      <c r="AA863" s="1521"/>
      <c r="AB863" s="1522"/>
      <c r="AC863" s="1216">
        <f>IF(ISERROR((ROUNDDOWN(AC861/AC862,0))),0,(ROUNDDOWN(AC861/AC862,0)))</f>
        <v>7830</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v>294563</v>
      </c>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8"/>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v>100000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45500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8600</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7" t="s">
        <v>1747</v>
      </c>
      <c r="F869" s="1418"/>
      <c r="G869" s="1418"/>
      <c r="H869" s="1418"/>
      <c r="I869" s="1418"/>
      <c r="J869" s="1418"/>
      <c r="K869" s="1418"/>
      <c r="L869" s="1418"/>
      <c r="M869" s="1418"/>
      <c r="N869" s="1418"/>
      <c r="O869" s="1418"/>
      <c r="P869" s="1418"/>
      <c r="Q869" s="1418"/>
      <c r="R869" s="1418"/>
      <c r="S869" s="1418"/>
      <c r="T869" s="1418"/>
      <c r="U869" s="1418"/>
      <c r="V869" s="1418"/>
      <c r="W869" s="1418"/>
      <c r="X869" s="1418"/>
      <c r="Y869" s="1418"/>
      <c r="Z869" s="1418"/>
      <c r="AA869" s="1418"/>
      <c r="AB869" s="1419"/>
      <c r="AC869" s="1148">
        <v>5375</v>
      </c>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7" t="s">
        <v>1066</v>
      </c>
      <c r="F870" s="1418"/>
      <c r="G870" s="1418"/>
      <c r="H870" s="1418"/>
      <c r="I870" s="1418"/>
      <c r="J870" s="1418"/>
      <c r="K870" s="1418"/>
      <c r="L870" s="1418"/>
      <c r="M870" s="1418"/>
      <c r="N870" s="1418"/>
      <c r="O870" s="1418"/>
      <c r="P870" s="1418"/>
      <c r="Q870" s="1418"/>
      <c r="R870" s="1418"/>
      <c r="S870" s="1418"/>
      <c r="T870" s="1418"/>
      <c r="U870" s="1418"/>
      <c r="V870" s="1418"/>
      <c r="W870" s="1418"/>
      <c r="X870" s="1418"/>
      <c r="Y870" s="1418"/>
      <c r="Z870" s="1418"/>
      <c r="AA870" s="1418"/>
      <c r="AB870" s="1419"/>
      <c r="AC870" s="1148"/>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68">
        <f>IF(AD955&gt;0,0.2,0)</f>
        <v>0.2</v>
      </c>
      <c r="AR877" s="14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1">
        <f>IF(AD965&gt;0,0.07,0)</f>
        <v>7.0000000000000007E-2</v>
      </c>
      <c r="AR879" s="145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1">
        <f>IF(AD969&gt;0,0.02,0)</f>
        <v>0</v>
      </c>
      <c r="AR880" s="145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1">
        <f>IF(AD971&gt;0,0.02,0)</f>
        <v>0</v>
      </c>
      <c r="AR881" s="145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8">
        <f>AN891</f>
        <v>0</v>
      </c>
      <c r="AR882" s="145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9"/>
      <c r="AR883" s="1589"/>
      <c r="AS883" s="158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8"/>
      <c r="AR884" s="1458"/>
      <c r="AS884" s="145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323</v>
      </c>
      <c r="AP885" s="177">
        <v>10</v>
      </c>
      <c r="AQ885" s="1451">
        <f>IF(AD988&gt;0,0.1,0)</f>
        <v>0.1</v>
      </c>
      <c r="AR885" s="145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8">
        <f>SUM(AQ877:AQ885)</f>
        <v>0.37</v>
      </c>
      <c r="AR886" s="145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8">
        <f>SUM(AQ877:AR881)+AQ885</f>
        <v>0.37</v>
      </c>
      <c r="AR888" s="145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874</v>
      </c>
      <c r="G890" s="1483"/>
      <c r="H890" s="1483"/>
      <c r="I890" s="1483"/>
      <c r="J890" s="1483"/>
      <c r="K890" s="1483"/>
      <c r="L890" s="1483"/>
      <c r="M890" s="1483"/>
      <c r="N890" s="1483"/>
      <c r="O890" s="1483"/>
      <c r="P890" s="1483"/>
      <c r="Q890" s="1483"/>
      <c r="R890" s="1483"/>
      <c r="S890" s="1483"/>
      <c r="T890" s="1484"/>
      <c r="U890" s="1525" t="s">
        <v>34</v>
      </c>
      <c r="V890" s="1526"/>
      <c r="W890" s="1526"/>
      <c r="X890" s="1526"/>
      <c r="Y890" s="1526"/>
      <c r="Z890" s="15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4" t="s">
        <v>424</v>
      </c>
      <c r="AC892" s="1574"/>
      <c r="AD892" s="1574"/>
      <c r="AE892" s="157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3" t="s">
        <v>592</v>
      </c>
      <c r="V893" s="1124"/>
      <c r="W893" s="1124"/>
      <c r="X893" s="1124"/>
      <c r="Y893" s="1124"/>
      <c r="Z893" s="1125"/>
      <c r="AA893" s="1195">
        <v>27000000</v>
      </c>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3" t="s">
        <v>642</v>
      </c>
      <c r="V894" s="1124"/>
      <c r="W894" s="1124"/>
      <c r="X894" s="1124"/>
      <c r="Y894" s="1124"/>
      <c r="Z894" s="1125"/>
      <c r="AA894" s="1195"/>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3" t="s">
        <v>642</v>
      </c>
      <c r="V895" s="1124"/>
      <c r="W895" s="1124"/>
      <c r="X895" s="1124"/>
      <c r="Y895" s="1124"/>
      <c r="Z895" s="1125"/>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3" t="s">
        <v>642</v>
      </c>
      <c r="V896" s="1124"/>
      <c r="W896" s="1124"/>
      <c r="X896" s="1124"/>
      <c r="Y896" s="1124"/>
      <c r="Z896" s="1125"/>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3" t="s">
        <v>642</v>
      </c>
      <c r="V897" s="1124"/>
      <c r="W897" s="1124"/>
      <c r="X897" s="1124"/>
      <c r="Y897" s="1124"/>
      <c r="Z897" s="1125"/>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3" t="s">
        <v>642</v>
      </c>
      <c r="V898" s="1124"/>
      <c r="W898" s="1124"/>
      <c r="X898" s="1124"/>
      <c r="Y898" s="1124"/>
      <c r="Z898" s="1125"/>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3" t="s">
        <v>642</v>
      </c>
      <c r="V899" s="1124"/>
      <c r="W899" s="1124"/>
      <c r="X899" s="1124"/>
      <c r="Y899" s="1124"/>
      <c r="Z899" s="1125"/>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3" t="s">
        <v>642</v>
      </c>
      <c r="V900" s="1124"/>
      <c r="W900" s="1124"/>
      <c r="X900" s="1124"/>
      <c r="Y900" s="1124"/>
      <c r="Z900" s="1125"/>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3" t="s">
        <v>642</v>
      </c>
      <c r="V901" s="1124"/>
      <c r="W901" s="1124"/>
      <c r="X901" s="1124"/>
      <c r="Y901" s="1124"/>
      <c r="Z901" s="1125"/>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3" t="s">
        <v>642</v>
      </c>
      <c r="V902" s="1124"/>
      <c r="W902" s="1124"/>
      <c r="X902" s="1124"/>
      <c r="Y902" s="1124"/>
      <c r="Z902" s="1125"/>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3" t="s">
        <v>642</v>
      </c>
      <c r="V903" s="1124"/>
      <c r="W903" s="1124"/>
      <c r="X903" s="1124"/>
      <c r="Y903" s="1124"/>
      <c r="Z903" s="1125"/>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3" t="s">
        <v>642</v>
      </c>
      <c r="V904" s="1124"/>
      <c r="W904" s="1124"/>
      <c r="X904" s="1124"/>
      <c r="Y904" s="1124"/>
      <c r="Z904" s="1125"/>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3" t="s">
        <v>592</v>
      </c>
      <c r="V905" s="1124"/>
      <c r="W905" s="1124"/>
      <c r="X905" s="1124"/>
      <c r="Y905" s="1124"/>
      <c r="Z905" s="1125"/>
      <c r="AA905" s="1195">
        <v>16311615</v>
      </c>
      <c r="AB905" s="1159"/>
      <c r="AC905" s="1159"/>
      <c r="AD905" s="1159"/>
      <c r="AE905" s="1159"/>
      <c r="AF905" s="1196"/>
      <c r="AM905" s="1459">
        <f>G734+O778</f>
        <v>89</v>
      </c>
      <c r="AN905" s="146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3" t="s">
        <v>642</v>
      </c>
      <c r="V906" s="1124"/>
      <c r="W906" s="1124"/>
      <c r="X906" s="1124"/>
      <c r="Y906" s="1124"/>
      <c r="Z906" s="1125"/>
      <c r="AA906" s="1195"/>
      <c r="AB906" s="1159"/>
      <c r="AC906" s="1159"/>
      <c r="AD906" s="1159"/>
      <c r="AE906" s="1159"/>
      <c r="AF906" s="1196"/>
      <c r="AM906" s="52"/>
      <c r="AN906" s="21"/>
      <c r="AO906" s="1470">
        <f>ROUNDDOWN(X999/I999,2)</f>
        <v>0.3</v>
      </c>
      <c r="AP906" s="1471"/>
      <c r="AQ906" s="1471"/>
      <c r="AR906" s="14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3" t="s">
        <v>642</v>
      </c>
      <c r="V907" s="1124"/>
      <c r="W907" s="1124"/>
      <c r="X907" s="1124"/>
      <c r="Y907" s="1124"/>
      <c r="Z907" s="1125"/>
      <c r="AA907" s="1195"/>
      <c r="AB907" s="1159"/>
      <c r="AC907" s="1159"/>
      <c r="AD907" s="1159"/>
      <c r="AE907" s="1159"/>
      <c r="AF907" s="1196"/>
      <c r="AM907" s="52"/>
      <c r="AN907" s="52"/>
      <c r="AO907" s="1493">
        <f>ROUNDDOWN(X1003/I1003,2)</f>
        <v>0</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3" t="s">
        <v>723</v>
      </c>
      <c r="Q908" s="1124"/>
      <c r="R908" s="1124"/>
      <c r="S908" s="1124"/>
      <c r="T908" s="1125"/>
      <c r="U908" s="1123" t="s">
        <v>642</v>
      </c>
      <c r="V908" s="1124"/>
      <c r="W908" s="1124"/>
      <c r="X908" s="1124"/>
      <c r="Y908" s="1124"/>
      <c r="Z908" s="1125"/>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c r="J909" s="1477"/>
      <c r="K909" s="1477"/>
      <c r="L909" s="1477"/>
      <c r="M909" s="1477"/>
      <c r="N909" s="1477"/>
      <c r="O909" s="1477"/>
      <c r="P909" s="1477"/>
      <c r="Q909" s="1477"/>
      <c r="R909" s="1477"/>
      <c r="S909" s="1477"/>
      <c r="T909" s="1478"/>
      <c r="U909" s="1123" t="s">
        <v>642</v>
      </c>
      <c r="V909" s="1124"/>
      <c r="W909" s="1124"/>
      <c r="X909" s="1124"/>
      <c r="Y909" s="1124"/>
      <c r="Z909" s="1125"/>
      <c r="AA909" s="1195">
        <v>0</v>
      </c>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1748</v>
      </c>
      <c r="J910" s="1477"/>
      <c r="K910" s="1477"/>
      <c r="L910" s="1477"/>
      <c r="M910" s="1477"/>
      <c r="N910" s="1477"/>
      <c r="O910" s="1477"/>
      <c r="P910" s="1477"/>
      <c r="Q910" s="1477"/>
      <c r="R910" s="1477"/>
      <c r="S910" s="1477"/>
      <c r="T910" s="1478"/>
      <c r="U910" s="1123" t="s">
        <v>592</v>
      </c>
      <c r="V910" s="1124"/>
      <c r="W910" s="1124"/>
      <c r="X910" s="1124"/>
      <c r="Y910" s="1124"/>
      <c r="Z910" s="1125"/>
      <c r="AA910" s="1195">
        <v>6440000</v>
      </c>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
        <v>1719</v>
      </c>
      <c r="J911" s="1485"/>
      <c r="K911" s="1485"/>
      <c r="L911" s="1485"/>
      <c r="M911" s="1485"/>
      <c r="N911" s="1485"/>
      <c r="O911" s="1485"/>
      <c r="P911" s="1485"/>
      <c r="Q911" s="1485"/>
      <c r="R911" s="1485"/>
      <c r="S911" s="1485"/>
      <c r="T911" s="1486"/>
      <c r="U911" s="1123" t="s">
        <v>592</v>
      </c>
      <c r="V911" s="1124"/>
      <c r="W911" s="1124"/>
      <c r="X911" s="1124"/>
      <c r="Y911" s="1124"/>
      <c r="Z911" s="1125"/>
      <c r="AA911" s="1195">
        <v>200000</v>
      </c>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6" t="s">
        <v>1749</v>
      </c>
      <c r="J912" s="1485"/>
      <c r="K912" s="1485"/>
      <c r="L912" s="1485"/>
      <c r="M912" s="1485"/>
      <c r="N912" s="1485"/>
      <c r="O912" s="1485"/>
      <c r="P912" s="1485"/>
      <c r="Q912" s="1485"/>
      <c r="R912" s="1485"/>
      <c r="S912" s="1485"/>
      <c r="T912" s="1486"/>
      <c r="U912" s="1123" t="s">
        <v>592</v>
      </c>
      <c r="V912" s="1124"/>
      <c r="W912" s="1124"/>
      <c r="X912" s="1124"/>
      <c r="Y912" s="1124"/>
      <c r="Z912" s="1125"/>
      <c r="AA912" s="1195">
        <v>890000</v>
      </c>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2">
        <v>43844</v>
      </c>
      <c r="N917" s="1422"/>
      <c r="O917" s="1422"/>
      <c r="P917" s="1422"/>
      <c r="Q917" s="1422"/>
      <c r="R917" s="1422"/>
      <c r="S917" s="1423"/>
      <c r="U917" s="103" t="s">
        <v>11</v>
      </c>
      <c r="V917" s="77"/>
      <c r="W917" s="77"/>
      <c r="X917" s="77"/>
      <c r="Y917" s="77"/>
      <c r="Z917" s="77"/>
      <c r="AA917" s="77"/>
      <c r="AB917" s="77"/>
      <c r="AC917" s="77"/>
      <c r="AD917" s="78"/>
      <c r="AE917" s="1502"/>
      <c r="AF917" s="1422"/>
      <c r="AG917" s="1422"/>
      <c r="AH917" s="1422"/>
      <c r="AI917" s="1422"/>
      <c r="AJ917" s="1422"/>
      <c r="AK917" s="142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5" t="s">
        <v>1750</v>
      </c>
      <c r="N918" s="1466"/>
      <c r="O918" s="1466"/>
      <c r="P918" s="1466"/>
      <c r="Q918" s="1466"/>
      <c r="R918" s="1466"/>
      <c r="S918" s="1467"/>
      <c r="U918" s="103" t="s">
        <v>12</v>
      </c>
      <c r="V918" s="77"/>
      <c r="W918" s="77"/>
      <c r="X918" s="77"/>
      <c r="Y918" s="77"/>
      <c r="Z918" s="77"/>
      <c r="AA918" s="77"/>
      <c r="AB918" s="77"/>
      <c r="AC918" s="77"/>
      <c r="AD918" s="78"/>
      <c r="AE918" s="1465"/>
      <c r="AF918" s="1466"/>
      <c r="AG918" s="1466"/>
      <c r="AH918" s="1466"/>
      <c r="AI918" s="1466"/>
      <c r="AJ918" s="1466"/>
      <c r="AK918" s="146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1" t="s">
        <v>1751</v>
      </c>
      <c r="K919" s="1512"/>
      <c r="L919" s="1512"/>
      <c r="M919" s="1512"/>
      <c r="N919" s="1512"/>
      <c r="O919" s="1512"/>
      <c r="P919" s="1512"/>
      <c r="Q919" s="1512"/>
      <c r="R919" s="1512"/>
      <c r="S919" s="1513"/>
      <c r="U919" s="103" t="s">
        <v>975</v>
      </c>
      <c r="V919" s="77"/>
      <c r="W919" s="77"/>
      <c r="AB919" s="1511" t="s">
        <v>329</v>
      </c>
      <c r="AC919" s="1512"/>
      <c r="AD919" s="1512"/>
      <c r="AE919" s="1512"/>
      <c r="AF919" s="1512"/>
      <c r="AG919" s="1512"/>
      <c r="AH919" s="1512"/>
      <c r="AI919" s="1512"/>
      <c r="AJ919" s="1512"/>
      <c r="AK919" s="151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5">
        <v>0.48</v>
      </c>
      <c r="N920" s="1497"/>
      <c r="O920" s="1497"/>
      <c r="P920" s="1497"/>
      <c r="Q920" s="1497"/>
      <c r="R920" s="1497"/>
      <c r="S920" s="1498"/>
      <c r="U920" s="103" t="s">
        <v>13</v>
      </c>
      <c r="V920" s="77"/>
      <c r="W920" s="77"/>
      <c r="X920" s="77"/>
      <c r="Y920" s="77"/>
      <c r="Z920" s="77"/>
      <c r="AA920" s="77"/>
      <c r="AB920" s="77"/>
      <c r="AC920" s="77"/>
      <c r="AD920" s="78"/>
      <c r="AE920" s="1496"/>
      <c r="AF920" s="1497"/>
      <c r="AG920" s="1497"/>
      <c r="AH920" s="1497"/>
      <c r="AI920" s="1497"/>
      <c r="AJ920" s="1497"/>
      <c r="AK920" s="14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5">
        <v>44</v>
      </c>
      <c r="N921" s="1456"/>
      <c r="O921" s="1456"/>
      <c r="P921" s="1456"/>
      <c r="Q921" s="1456"/>
      <c r="R921" s="1456"/>
      <c r="S921" s="1457"/>
      <c r="U921" s="103" t="s">
        <v>14</v>
      </c>
      <c r="V921" s="77"/>
      <c r="W921" s="77"/>
      <c r="X921" s="77"/>
      <c r="Y921" s="77"/>
      <c r="Z921" s="77"/>
      <c r="AA921" s="77"/>
      <c r="AB921" s="77"/>
      <c r="AC921" s="77"/>
      <c r="AD921" s="78"/>
      <c r="AE921" s="1455"/>
      <c r="AF921" s="1456"/>
      <c r="AG921" s="1456"/>
      <c r="AH921" s="1456"/>
      <c r="AI921" s="1456"/>
      <c r="AJ921" s="1456"/>
      <c r="AK921" s="145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588288</v>
      </c>
      <c r="N922" s="1159"/>
      <c r="O922" s="1159"/>
      <c r="P922" s="1159"/>
      <c r="Q922" s="1159"/>
      <c r="R922" s="1159"/>
      <c r="S922" s="1196"/>
      <c r="U922" s="103" t="s">
        <v>15</v>
      </c>
      <c r="V922" s="77"/>
      <c r="W922" s="77"/>
      <c r="X922" s="77"/>
      <c r="Y922" s="77"/>
      <c r="Z922" s="77"/>
      <c r="AA922" s="77"/>
      <c r="AB922" s="77"/>
      <c r="AC922" s="77"/>
      <c r="AD922" s="78"/>
      <c r="AE922" s="1195"/>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11765760</v>
      </c>
      <c r="N923" s="1159"/>
      <c r="O923" s="1159"/>
      <c r="P923" s="1159"/>
      <c r="Q923" s="1159"/>
      <c r="R923" s="1159"/>
      <c r="S923" s="1196"/>
      <c r="U923" s="103" t="s">
        <v>16</v>
      </c>
      <c r="V923" s="77"/>
      <c r="W923" s="77"/>
      <c r="X923" s="77"/>
      <c r="Y923" s="77"/>
      <c r="Z923" s="77"/>
      <c r="AA923" s="77"/>
      <c r="AB923" s="77"/>
      <c r="AC923" s="77"/>
      <c r="AD923" s="78"/>
      <c r="AE923" s="1195"/>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1">
        <v>20</v>
      </c>
      <c r="N924" s="1462"/>
      <c r="O924" s="1462"/>
      <c r="P924" s="1462"/>
      <c r="Q924" s="1462"/>
      <c r="R924" s="1462"/>
      <c r="S924" s="1463"/>
      <c r="U924" s="103" t="s">
        <v>621</v>
      </c>
      <c r="V924" s="77"/>
      <c r="W924" s="77"/>
      <c r="X924" s="77"/>
      <c r="Y924" s="77"/>
      <c r="Z924" s="77"/>
      <c r="AA924" s="77"/>
      <c r="AB924" s="77"/>
      <c r="AC924" s="77"/>
      <c r="AD924" s="78"/>
      <c r="AE924" s="1461"/>
      <c r="AF924" s="1462"/>
      <c r="AG924" s="1462"/>
      <c r="AH924" s="1462"/>
      <c r="AI924" s="1462"/>
      <c r="AJ924" s="1462"/>
      <c r="AK924" s="146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4"/>
      <c r="N929" s="1435"/>
      <c r="O929" s="1435"/>
      <c r="P929" s="1435"/>
      <c r="Q929" s="1435"/>
      <c r="R929" s="1435"/>
      <c r="S929" s="1436"/>
      <c r="T929" s="103" t="s">
        <v>872</v>
      </c>
      <c r="U929" s="77"/>
      <c r="V929" s="77"/>
      <c r="W929" s="77"/>
      <c r="X929" s="77"/>
      <c r="Y929" s="77"/>
      <c r="Z929" s="78"/>
      <c r="AA929" s="1434"/>
      <c r="AB929" s="1435"/>
      <c r="AC929" s="1435"/>
      <c r="AD929" s="1435"/>
      <c r="AE929" s="1435"/>
      <c r="AF929" s="1435"/>
      <c r="AG929" s="143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4"/>
      <c r="N930" s="1435"/>
      <c r="O930" s="1435"/>
      <c r="P930" s="1435"/>
      <c r="Q930" s="1435"/>
      <c r="R930" s="1435"/>
      <c r="S930" s="1436"/>
      <c r="T930" s="103" t="s">
        <v>871</v>
      </c>
      <c r="U930" s="77"/>
      <c r="V930" s="77"/>
      <c r="W930" s="77"/>
      <c r="X930" s="77"/>
      <c r="Y930" s="77"/>
      <c r="Z930" s="78"/>
      <c r="AA930" s="1434"/>
      <c r="AB930" s="1435"/>
      <c r="AC930" s="1435"/>
      <c r="AD930" s="1435"/>
      <c r="AE930" s="1435"/>
      <c r="AF930" s="1435"/>
      <c r="AG930" s="143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6" t="s">
        <v>642</v>
      </c>
      <c r="N931" s="1507"/>
      <c r="O931" s="1507"/>
      <c r="P931" s="1507"/>
      <c r="Q931" s="1507"/>
      <c r="R931" s="1507"/>
      <c r="S931" s="1508"/>
      <c r="T931" s="76" t="s">
        <v>360</v>
      </c>
      <c r="U931" s="77"/>
      <c r="V931" s="77"/>
      <c r="W931" s="77"/>
      <c r="X931" s="77"/>
      <c r="Y931" s="77"/>
      <c r="Z931" s="78"/>
      <c r="AA931" s="1434"/>
      <c r="AB931" s="1435"/>
      <c r="AC931" s="1435"/>
      <c r="AD931" s="1435"/>
      <c r="AE931" s="1435"/>
      <c r="AF931" s="1435"/>
      <c r="AG931" s="143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4"/>
      <c r="N932" s="1435"/>
      <c r="O932" s="1435"/>
      <c r="P932" s="1435"/>
      <c r="Q932" s="1435"/>
      <c r="R932" s="1435"/>
      <c r="S932" s="1436"/>
      <c r="T932" s="76" t="s">
        <v>361</v>
      </c>
      <c r="U932" s="77"/>
      <c r="V932" s="77"/>
      <c r="W932" s="77"/>
      <c r="X932" s="77"/>
      <c r="Y932" s="77"/>
      <c r="Z932" s="78"/>
      <c r="AA932" s="1434"/>
      <c r="AB932" s="1435"/>
      <c r="AC932" s="1435"/>
      <c r="AD932" s="1435"/>
      <c r="AE932" s="1435"/>
      <c r="AF932" s="1435"/>
      <c r="AG932" s="143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4"/>
      <c r="N933" s="1435"/>
      <c r="O933" s="1435"/>
      <c r="P933" s="1435"/>
      <c r="Q933" s="1435"/>
      <c r="R933" s="1435"/>
      <c r="S933" s="1436"/>
      <c r="T933" s="76" t="s">
        <v>408</v>
      </c>
      <c r="U933" s="77"/>
      <c r="V933" s="77"/>
      <c r="W933" s="77"/>
      <c r="X933" s="77"/>
      <c r="Y933" s="77"/>
      <c r="Z933" s="78"/>
      <c r="AA933" s="1434"/>
      <c r="AB933" s="1435"/>
      <c r="AC933" s="1435"/>
      <c r="AD933" s="1435"/>
      <c r="AE933" s="1435"/>
      <c r="AF933" s="1435"/>
      <c r="AG933" s="143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0" t="s">
        <v>329</v>
      </c>
      <c r="N934" s="1491"/>
      <c r="O934" s="1491"/>
      <c r="P934" s="1491"/>
      <c r="Q934" s="1491"/>
      <c r="R934" s="1491"/>
      <c r="S934" s="1492"/>
      <c r="T934" s="1473"/>
      <c r="U934" s="1474"/>
      <c r="V934" s="1474"/>
      <c r="W934" s="1474"/>
      <c r="X934" s="1474"/>
      <c r="Y934" s="1474"/>
      <c r="Z934" s="1475"/>
      <c r="AA934" s="1434"/>
      <c r="AB934" s="1435"/>
      <c r="AC934" s="1435"/>
      <c r="AD934" s="1435"/>
      <c r="AE934" s="1435"/>
      <c r="AF934" s="1435"/>
      <c r="AG934" s="143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4"/>
      <c r="N935" s="1435"/>
      <c r="O935" s="1435"/>
      <c r="P935" s="1435"/>
      <c r="Q935" s="1435"/>
      <c r="R935" s="1435"/>
      <c r="S935" s="1436"/>
      <c r="T935" s="1473"/>
      <c r="U935" s="1474"/>
      <c r="V935" s="1474"/>
      <c r="W935" s="1474"/>
      <c r="X935" s="1474"/>
      <c r="Y935" s="1474"/>
      <c r="Z935" s="1475"/>
      <c r="AA935" s="1434"/>
      <c r="AB935" s="1435"/>
      <c r="AC935" s="1435"/>
      <c r="AD935" s="1435"/>
      <c r="AE935" s="1435"/>
      <c r="AF935" s="1435"/>
      <c r="AG935" s="143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6" t="s">
        <v>723</v>
      </c>
      <c r="P936" s="1167"/>
      <c r="Q936" s="142"/>
      <c r="R936" s="142"/>
      <c r="S936" s="143"/>
      <c r="T936" s="71" t="s">
        <v>177</v>
      </c>
      <c r="U936" s="72"/>
      <c r="V936" s="72"/>
      <c r="W936" s="1424"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5" t="s">
        <v>36</v>
      </c>
      <c r="G937" s="1426"/>
      <c r="H937" s="1426"/>
      <c r="I937" s="1426"/>
      <c r="J937" s="1426"/>
      <c r="K937" s="1426"/>
      <c r="L937" s="1426"/>
      <c r="M937" s="1434"/>
      <c r="N937" s="1435"/>
      <c r="O937" s="1435"/>
      <c r="P937" s="1435"/>
      <c r="Q937" s="1435"/>
      <c r="R937" s="1435"/>
      <c r="S937" s="1436"/>
      <c r="T937" s="79"/>
      <c r="U937" s="80"/>
      <c r="V937" s="80"/>
      <c r="W937" s="80"/>
      <c r="X937" s="80"/>
      <c r="Y937" s="80"/>
      <c r="Z937" s="196" t="s">
        <v>141</v>
      </c>
      <c r="AA937" s="1452"/>
      <c r="AB937" s="1453"/>
      <c r="AC937" s="1453"/>
      <c r="AD937" s="1453"/>
      <c r="AE937" s="1453"/>
      <c r="AF937" s="1453"/>
      <c r="AG937" s="145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595</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4"/>
      <c r="AU941" s="1464"/>
      <c r="AV941" s="1464"/>
      <c r="AW941" s="1464"/>
      <c r="AX941" s="1464"/>
      <c r="AY941" s="146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7" t="s">
        <v>689</v>
      </c>
      <c r="C946" s="1447"/>
      <c r="D946" s="1447"/>
      <c r="E946" s="1447"/>
      <c r="F946" s="1447"/>
      <c r="G946" s="1447"/>
      <c r="H946" s="1447"/>
      <c r="I946" s="1447"/>
      <c r="J946" s="1447"/>
      <c r="K946" s="1447"/>
      <c r="L946" s="1447" t="s">
        <v>690</v>
      </c>
      <c r="M946" s="1447"/>
      <c r="N946" s="1447"/>
      <c r="O946" s="1447"/>
      <c r="P946" s="1447"/>
      <c r="Q946" s="1447"/>
      <c r="R946" s="1447"/>
      <c r="S946" s="1447"/>
      <c r="T946" s="1447"/>
      <c r="U946" s="1447"/>
      <c r="V946" s="1447" t="s">
        <v>691</v>
      </c>
      <c r="W946" s="1447"/>
      <c r="X946" s="1447"/>
      <c r="Y946" s="1447"/>
      <c r="Z946" s="1447"/>
      <c r="AA946" s="1447"/>
      <c r="AB946" s="1447"/>
      <c r="AC946" s="1447"/>
      <c r="AD946" s="1514" t="s">
        <v>692</v>
      </c>
      <c r="AE946" s="1515"/>
      <c r="AF946" s="1515"/>
      <c r="AG946" s="1515"/>
      <c r="AH946" s="1515"/>
      <c r="AI946" s="1515"/>
      <c r="AJ946" s="1515"/>
      <c r="AK946" s="151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684</v>
      </c>
      <c r="C947" s="1577"/>
      <c r="D947" s="1577"/>
      <c r="E947" s="1577"/>
      <c r="F947" s="1577"/>
      <c r="G947" s="1577"/>
      <c r="H947" s="1577"/>
      <c r="I947" s="1577"/>
      <c r="J947" s="1577"/>
      <c r="K947" s="1577"/>
      <c r="L947" s="1448">
        <f>IF(ISNA(IF($BA$779="4%",(INDEX($BC$789:$BG$846,MATCH($BO$779,$BB$789:$BB$846,0),MATCH(B947,$BC$788:$BG$788,0))),(INDEX($BJ$789:$BN$846,MATCH($BO$779,$BI$789:$BI$846,0),MATCH(B947,$BJ$788:$BN$788,0))))),0,IF($BA$779="4%",(INDEX($BC$789:$BG$846,MATCH($BO$779,$BB$789:$BB$846,0),MATCH(B947,$BC$788:$BG$788,0))),(INDEX($BJ$789:$BN$846,MATCH($BO$779,$BI$789:$BI$846,0),MATCH(B947,$BJ$788:$BN$788,0)))))</f>
        <v>293352</v>
      </c>
      <c r="M947" s="1449"/>
      <c r="N947" s="1449"/>
      <c r="O947" s="1449"/>
      <c r="P947" s="1449"/>
      <c r="Q947" s="1449"/>
      <c r="R947" s="1449"/>
      <c r="S947" s="1449"/>
      <c r="T947" s="1449"/>
      <c r="U947" s="1450"/>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348</v>
      </c>
      <c r="C948" s="1302"/>
      <c r="D948" s="1302"/>
      <c r="E948" s="1302"/>
      <c r="F948" s="1302"/>
      <c r="G948" s="1302"/>
      <c r="H948" s="1302"/>
      <c r="I948" s="1302"/>
      <c r="J948" s="1302"/>
      <c r="K948" s="1302"/>
      <c r="L948" s="1448">
        <f>IF(ISNA(IF($BA$779="4%",(INDEX($BC$789:$BG$846,MATCH($BO$779,$BB$789:$BB$846,0),MATCH(B948,$BC$788:$BG$788,0))),(INDEX($BJ$789:$BN$846,MATCH($BO$779,$BI$789:$BI$846,0),MATCH(B948,$BJ$788:$BN$788,0))))),0,IF($BA$779="4%",(INDEX($BC$789:$BG$846,MATCH($BO$779,$BB$789:$BB$846,0),MATCH(B948,$BC$788:$BG$788,0))),(INDEX($BJ$789:$BN$846,MATCH($BO$779,$BI$789:$BI$846,0),MATCH(B948,$BJ$788:$BN$788,0)))))</f>
        <v>338232</v>
      </c>
      <c r="M948" s="1449"/>
      <c r="N948" s="1449"/>
      <c r="O948" s="1449"/>
      <c r="P948" s="1449"/>
      <c r="Q948" s="1449"/>
      <c r="R948" s="1449"/>
      <c r="S948" s="1449"/>
      <c r="T948" s="1449"/>
      <c r="U948" s="1450"/>
      <c r="V948" s="1251">
        <f>BF635</f>
        <v>58</v>
      </c>
      <c r="W948" s="1251"/>
      <c r="X948" s="1251"/>
      <c r="Y948" s="1251"/>
      <c r="Z948" s="1251"/>
      <c r="AA948" s="1251"/>
      <c r="AB948" s="1251"/>
      <c r="AC948" s="1251"/>
      <c r="AD948" s="1213">
        <f>IF(ISERROR((L948*V948)),0,(L948*V948))</f>
        <v>19617456</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48">
        <f>IF(ISNA(IF($BA$779="4%",(INDEX($BC$789:$BG$846,MATCH($BO$779,$BB$789:$BB$846,0),MATCH(B949,$BC$788:$BG$788,0))),(INDEX($BJ$789:$BN$846,MATCH($BO$779,$BI$789:$BI$846,0),MATCH(B949,$BJ$788:$BN$788,0))))),0,IF($BA$779="4%",(INDEX($BC$789:$BG$846,MATCH($BO$779,$BB$789:$BB$846,0),MATCH(B949,$BC$788:$BG$788,0))),(INDEX($BJ$789:$BN$846,MATCH($BO$779,$BI$789:$BI$846,0),MATCH(B949,$BJ$788:$BN$788,0)))))</f>
        <v>408000</v>
      </c>
      <c r="M949" s="1449"/>
      <c r="N949" s="1449"/>
      <c r="O949" s="1449"/>
      <c r="P949" s="1449"/>
      <c r="Q949" s="1449"/>
      <c r="R949" s="1449"/>
      <c r="S949" s="1449"/>
      <c r="T949" s="1449"/>
      <c r="U949" s="1450"/>
      <c r="V949" s="1251">
        <f>BK635</f>
        <v>33</v>
      </c>
      <c r="W949" s="1251"/>
      <c r="X949" s="1251"/>
      <c r="Y949" s="1251"/>
      <c r="Z949" s="1251"/>
      <c r="AA949" s="1251"/>
      <c r="AB949" s="1251"/>
      <c r="AC949" s="1251"/>
      <c r="AD949" s="1213">
        <f>IF(ISERROR((L949*V949)),0,(L949*V949))</f>
        <v>13464000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48">
        <f>IF(ISNA(IF($BA$779="4%",(INDEX($BC$789:$BG$846,MATCH($BO$779,$BB$789:$BB$846,0),MATCH(B950,$BC$788:$BG$788,0))),(INDEX($BJ$789:$BN$846,MATCH($BO$779,$BI$789:$BI$846,0),MATCH(B950,$BJ$788:$BN$788,0))))),0,IF($BA$779="4%",(INDEX($BC$789:$BG$846,MATCH($BO$779,$BB$789:$BB$846,0),MATCH(B950,$BC$788:$BG$788,0))),(INDEX($BJ$789:$BN$846,MATCH($BO$779,$BI$789:$BI$846,0),MATCH(B950,$BJ$788:$BN$788,0)))))</f>
        <v>522240</v>
      </c>
      <c r="M950" s="1449"/>
      <c r="N950" s="1449"/>
      <c r="O950" s="1449"/>
      <c r="P950" s="1449"/>
      <c r="Q950" s="1449"/>
      <c r="R950" s="1449"/>
      <c r="S950" s="1449"/>
      <c r="T950" s="1449"/>
      <c r="U950" s="1450"/>
      <c r="V950" s="1251">
        <f>BP635</f>
        <v>0</v>
      </c>
      <c r="W950" s="1251"/>
      <c r="X950" s="1251"/>
      <c r="Y950" s="1251"/>
      <c r="Z950" s="1251"/>
      <c r="AA950" s="1251"/>
      <c r="AB950" s="1251"/>
      <c r="AC950" s="1251"/>
      <c r="AD950" s="1213">
        <f>IF(ISERROR((L950*V950)),0,(L950*V950))</f>
        <v>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2" t="s">
        <v>507</v>
      </c>
      <c r="C951" s="1302"/>
      <c r="D951" s="1302"/>
      <c r="E951" s="1302"/>
      <c r="F951" s="1302"/>
      <c r="G951" s="1302"/>
      <c r="H951" s="1302"/>
      <c r="I951" s="1302"/>
      <c r="J951" s="1302"/>
      <c r="K951" s="1302"/>
      <c r="L951" s="1448">
        <f>IF(ISNA(IF($BA$779="4%",(INDEX($BC$789:$BG$846,MATCH($BO$779,$BB$789:$BB$846,0),MATCH(B951,$BC$788:$BG$788,0))),(INDEX($BJ$789:$BN$846,MATCH($BO$779,$BI$789:$BI$846,0),MATCH(B951,$BJ$788:$BN$788,0))))),0,IF($BA$779="4%",(INDEX($BC$789:$BG$846,MATCH($BO$779,$BB$789:$BB$846,0),MATCH(B951,$BC$788:$BG$788,0))),(INDEX($BJ$789:$BN$846,MATCH($BO$779,$BI$789:$BI$846,0),MATCH(B951,$BJ$788:$BN$788,0)))))</f>
        <v>581808</v>
      </c>
      <c r="M951" s="1449"/>
      <c r="N951" s="1449"/>
      <c r="O951" s="1449"/>
      <c r="P951" s="1449"/>
      <c r="Q951" s="1449"/>
      <c r="R951" s="1449"/>
      <c r="S951" s="1449"/>
      <c r="T951" s="1449"/>
      <c r="U951" s="1450"/>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2" t="s">
        <v>873</v>
      </c>
      <c r="C952" s="1583"/>
      <c r="D952" s="1583"/>
      <c r="E952" s="1583"/>
      <c r="F952" s="1583"/>
      <c r="G952" s="1583"/>
      <c r="H952" s="1583"/>
      <c r="I952" s="1583"/>
      <c r="J952" s="1583"/>
      <c r="K952" s="1583"/>
      <c r="L952" s="1583"/>
      <c r="M952" s="1583"/>
      <c r="N952" s="1583"/>
      <c r="O952" s="1583"/>
      <c r="P952" s="1583"/>
      <c r="Q952" s="1583"/>
      <c r="R952" s="1583"/>
      <c r="S952" s="1583"/>
      <c r="T952" s="1583"/>
      <c r="U952" s="1584"/>
      <c r="V952" s="1439">
        <f>SUM(V947:AC951)</f>
        <v>91</v>
      </c>
      <c r="W952" s="1440"/>
      <c r="X952" s="1440"/>
      <c r="Y952" s="1440"/>
      <c r="Z952" s="1440"/>
      <c r="AA952" s="1440"/>
      <c r="AB952" s="1440"/>
      <c r="AC952" s="1441"/>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7" t="s">
        <v>559</v>
      </c>
      <c r="C953" s="1528"/>
      <c r="D953" s="1528"/>
      <c r="E953" s="1528"/>
      <c r="F953" s="1528"/>
      <c r="G953" s="1528"/>
      <c r="H953" s="1528"/>
      <c r="I953" s="1528"/>
      <c r="J953" s="1528"/>
      <c r="K953" s="1528"/>
      <c r="L953" s="1528"/>
      <c r="M953" s="1528"/>
      <c r="N953" s="1528"/>
      <c r="O953" s="1528"/>
      <c r="P953" s="1528"/>
      <c r="Q953" s="1528"/>
      <c r="R953" s="1528"/>
      <c r="S953" s="1528"/>
      <c r="T953" s="1528"/>
      <c r="U953" s="1528"/>
      <c r="V953" s="1528"/>
      <c r="W953" s="1528"/>
      <c r="X953" s="1528"/>
      <c r="Y953" s="1528"/>
      <c r="Z953" s="1528"/>
      <c r="AA953" s="1528"/>
      <c r="AB953" s="1528"/>
      <c r="AC953" s="1529"/>
      <c r="AD953" s="1442">
        <f>SUM(AD947:AK951)</f>
        <v>33081456</v>
      </c>
      <c r="AE953" s="1443"/>
      <c r="AF953" s="1443"/>
      <c r="AG953" s="1443"/>
      <c r="AH953" s="1443"/>
      <c r="AI953" s="1443"/>
      <c r="AJ953" s="1443"/>
      <c r="AK953" s="144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5" t="s">
        <v>1483</v>
      </c>
      <c r="E955" s="1096"/>
      <c r="F955" s="1096"/>
      <c r="G955" s="1096"/>
      <c r="H955" s="1096"/>
      <c r="I955" s="1096"/>
      <c r="J955" s="1096"/>
      <c r="K955" s="1096"/>
      <c r="L955" s="1096"/>
      <c r="M955" s="1096"/>
      <c r="N955" s="1096"/>
      <c r="O955" s="1096"/>
      <c r="P955" s="1096"/>
      <c r="Q955" s="1096"/>
      <c r="R955" s="1096"/>
      <c r="S955" s="1096"/>
      <c r="T955" s="1096"/>
      <c r="U955" s="1096"/>
      <c r="V955" s="1096"/>
      <c r="W955" s="1096"/>
      <c r="X955" s="1096"/>
      <c r="Y955" s="1097"/>
      <c r="Z955" s="115"/>
      <c r="AA955" s="1509" t="s">
        <v>592</v>
      </c>
      <c r="AB955" s="1510"/>
      <c r="AC955" s="128"/>
      <c r="AD955" s="1191">
        <f>ROUND(IF(AND(AA955="yes",D957&gt;0),AD953*0.2,0),0)</f>
        <v>6616291</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0" t="s">
        <v>1484</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7" t="s">
        <v>970</v>
      </c>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5" t="s">
        <v>1610</v>
      </c>
      <c r="E958" s="1096"/>
      <c r="F958" s="1096"/>
      <c r="G958" s="1096"/>
      <c r="H958" s="1096"/>
      <c r="I958" s="1096"/>
      <c r="J958" s="1096"/>
      <c r="K958" s="1096"/>
      <c r="L958" s="1096"/>
      <c r="M958" s="1096"/>
      <c r="N958" s="1096"/>
      <c r="O958" s="1096"/>
      <c r="P958" s="1096"/>
      <c r="Q958" s="1096"/>
      <c r="R958" s="1096"/>
      <c r="S958" s="1096"/>
      <c r="T958" s="1096"/>
      <c r="U958" s="1096"/>
      <c r="V958" s="1096"/>
      <c r="W958" s="1096"/>
      <c r="X958" s="1096"/>
      <c r="Y958" s="1097"/>
      <c r="Z958" s="127"/>
      <c r="AA958" s="1437" t="s">
        <v>723</v>
      </c>
      <c r="AB958" s="1438"/>
      <c r="AC958" s="128"/>
      <c r="AD958" s="1445">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7" t="s">
        <v>1607</v>
      </c>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9"/>
      <c r="Z959" s="115"/>
      <c r="AA959" s="115"/>
      <c r="AB959" s="115"/>
      <c r="AC959" s="124"/>
      <c r="AD959" s="1446"/>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7"/>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9"/>
      <c r="Z960" s="115"/>
      <c r="AA960" s="115"/>
      <c r="AB960" s="115"/>
      <c r="AC960" s="124"/>
      <c r="AD960" s="1446"/>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7"/>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9"/>
      <c r="Z961" s="115"/>
      <c r="AA961" s="115"/>
      <c r="AB961" s="115"/>
      <c r="AC961" s="124"/>
      <c r="AD961" s="1446"/>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9"/>
      <c r="Z962" s="115"/>
      <c r="AA962" s="115"/>
      <c r="AB962" s="115"/>
      <c r="AC962" s="124"/>
      <c r="AD962" s="1446"/>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7"/>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9"/>
      <c r="Z963" s="115"/>
      <c r="AA963" s="115"/>
      <c r="AB963" s="115"/>
      <c r="AC963" s="124"/>
      <c r="AD963" s="1446"/>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0"/>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c r="Y964" s="1112"/>
      <c r="Z964" s="11"/>
      <c r="AA964" s="11"/>
      <c r="AB964" s="11"/>
      <c r="AC964" s="119"/>
      <c r="AD964" s="1499"/>
      <c r="AE964" s="1500"/>
      <c r="AF964" s="1500"/>
      <c r="AG964" s="1500"/>
      <c r="AH964" s="1500"/>
      <c r="AI964" s="1500"/>
      <c r="AJ964" s="1500"/>
      <c r="AK964" s="150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5" t="s">
        <v>1609</v>
      </c>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7"/>
      <c r="Z965" s="127"/>
      <c r="AA965" s="1437" t="s">
        <v>592</v>
      </c>
      <c r="AB965" s="1438"/>
      <c r="AC965" s="128"/>
      <c r="AD965" s="1191">
        <f>ROUND(IF(AA965="yes",AD953*0.07,0),0)</f>
        <v>2315702</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8" t="s">
        <v>1608</v>
      </c>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100"/>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8"/>
      <c r="E967" s="1099"/>
      <c r="F967" s="1099"/>
      <c r="G967" s="1099"/>
      <c r="H967" s="1099"/>
      <c r="I967" s="1099"/>
      <c r="J967" s="1099"/>
      <c r="K967" s="1099"/>
      <c r="L967" s="1099"/>
      <c r="M967" s="1099"/>
      <c r="N967" s="1099"/>
      <c r="O967" s="1099"/>
      <c r="P967" s="1099"/>
      <c r="Q967" s="1099"/>
      <c r="R967" s="1099"/>
      <c r="S967" s="1099"/>
      <c r="T967" s="1099"/>
      <c r="U967" s="1099"/>
      <c r="V967" s="1099"/>
      <c r="W967" s="1099"/>
      <c r="X967" s="1099"/>
      <c r="Y967" s="1100"/>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1"/>
      <c r="E968" s="1102"/>
      <c r="F968" s="1102"/>
      <c r="G968" s="1102"/>
      <c r="H968" s="1102"/>
      <c r="I968" s="1102"/>
      <c r="J968" s="1102"/>
      <c r="K968" s="1102"/>
      <c r="L968" s="1102"/>
      <c r="M968" s="1102"/>
      <c r="N968" s="1102"/>
      <c r="O968" s="1102"/>
      <c r="P968" s="1102"/>
      <c r="Q968" s="1102"/>
      <c r="R968" s="1102"/>
      <c r="S968" s="1102"/>
      <c r="T968" s="1102"/>
      <c r="U968" s="1102"/>
      <c r="V968" s="1102"/>
      <c r="W968" s="1102"/>
      <c r="X968" s="1102"/>
      <c r="Y968" s="1103"/>
      <c r="Z968" s="11"/>
      <c r="AA968" s="11"/>
      <c r="AB968" s="11"/>
      <c r="AC968" s="119"/>
      <c r="AD968" s="1500"/>
      <c r="AE968" s="1500"/>
      <c r="AF968" s="1500"/>
      <c r="AG968" s="1500"/>
      <c r="AH968" s="1500"/>
      <c r="AI968" s="1500"/>
      <c r="AJ968" s="1500"/>
      <c r="AK968" s="1501"/>
      <c r="AL968" s="105"/>
      <c r="AO968" s="61"/>
      <c r="AP968" s="61"/>
      <c r="AQ968" s="61"/>
      <c r="AR968" s="61"/>
      <c r="AS968" s="61"/>
    </row>
    <row r="969" spans="1:96" ht="12.75" customHeight="1">
      <c r="A969" s="51"/>
      <c r="B969" s="120"/>
      <c r="C969" s="121" t="s">
        <v>227</v>
      </c>
      <c r="D969" s="1095" t="s">
        <v>1611</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7"/>
      <c r="Z969" s="113"/>
      <c r="AA969" s="1503" t="s">
        <v>723</v>
      </c>
      <c r="AB969" s="1504"/>
      <c r="AC969" s="51"/>
      <c r="AD969" s="1445">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1" t="s">
        <v>1612</v>
      </c>
      <c r="E970" s="1102"/>
      <c r="F970" s="1102"/>
      <c r="G970" s="1102"/>
      <c r="H970" s="1102"/>
      <c r="I970" s="1102"/>
      <c r="J970" s="1102"/>
      <c r="K970" s="1102"/>
      <c r="L970" s="1102"/>
      <c r="M970" s="1102"/>
      <c r="N970" s="1102"/>
      <c r="O970" s="1102"/>
      <c r="P970" s="1102"/>
      <c r="Q970" s="1102"/>
      <c r="R970" s="1102"/>
      <c r="S970" s="1102"/>
      <c r="T970" s="1102"/>
      <c r="U970" s="1102"/>
      <c r="V970" s="1102"/>
      <c r="W970" s="1102"/>
      <c r="X970" s="1102"/>
      <c r="Y970" s="1103"/>
      <c r="Z970" s="113"/>
      <c r="AA970" s="51"/>
      <c r="AB970" s="51"/>
      <c r="AC970" s="51"/>
      <c r="AD970" s="1446"/>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5" t="s">
        <v>1613</v>
      </c>
      <c r="E971" s="1096"/>
      <c r="F971" s="1096"/>
      <c r="G971" s="1096"/>
      <c r="H971" s="1096"/>
      <c r="I971" s="1096"/>
      <c r="J971" s="1096"/>
      <c r="K971" s="1096"/>
      <c r="L971" s="1096"/>
      <c r="M971" s="1096"/>
      <c r="N971" s="1096"/>
      <c r="O971" s="1096"/>
      <c r="P971" s="1096"/>
      <c r="Q971" s="1096"/>
      <c r="R971" s="1096"/>
      <c r="S971" s="1096"/>
      <c r="T971" s="1096"/>
      <c r="U971" s="1096"/>
      <c r="V971" s="1096"/>
      <c r="W971" s="1096"/>
      <c r="X971" s="1096"/>
      <c r="Y971" s="1097"/>
      <c r="Z971" s="120"/>
      <c r="AA971" s="1437" t="s">
        <v>723</v>
      </c>
      <c r="AB971" s="1438"/>
      <c r="AC971" s="120"/>
      <c r="AD971" s="1445">
        <f>ROUND(IF(AA971="yes",AD953*0.02,0),0)</f>
        <v>0</v>
      </c>
      <c r="AE971" s="1191"/>
      <c r="AF971" s="1191"/>
      <c r="AG971" s="1191"/>
      <c r="AH971" s="1191"/>
      <c r="AI971" s="1191"/>
      <c r="AJ971" s="1191"/>
      <c r="AK971" s="1192"/>
      <c r="AL971" s="105"/>
    </row>
    <row r="972" spans="1:96" s="743" customFormat="1" ht="12.75" customHeight="1">
      <c r="A972" s="51"/>
      <c r="B972" s="113"/>
      <c r="C972" s="114"/>
      <c r="D972" s="1098" t="s">
        <v>1614</v>
      </c>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100"/>
      <c r="Z972" s="113"/>
      <c r="AA972" s="25"/>
      <c r="AB972" s="25"/>
      <c r="AC972" s="115"/>
      <c r="AD972" s="1446"/>
      <c r="AE972" s="1193"/>
      <c r="AF972" s="1193"/>
      <c r="AG972" s="1193"/>
      <c r="AH972" s="1193"/>
      <c r="AI972" s="1193"/>
      <c r="AJ972" s="1193"/>
      <c r="AK972" s="1194"/>
      <c r="AL972" s="105"/>
    </row>
    <row r="973" spans="1:96" ht="12.75" customHeight="1">
      <c r="A973" s="51"/>
      <c r="B973" s="116"/>
      <c r="C973" s="117"/>
      <c r="D973" s="1101"/>
      <c r="E973" s="1102"/>
      <c r="F973" s="1102"/>
      <c r="G973" s="1102"/>
      <c r="H973" s="1102"/>
      <c r="I973" s="1102"/>
      <c r="J973" s="1102"/>
      <c r="K973" s="1102"/>
      <c r="L973" s="1102"/>
      <c r="M973" s="1102"/>
      <c r="N973" s="1102"/>
      <c r="O973" s="1102"/>
      <c r="P973" s="1102"/>
      <c r="Q973" s="1102"/>
      <c r="R973" s="1102"/>
      <c r="S973" s="1102"/>
      <c r="T973" s="1102"/>
      <c r="U973" s="1102"/>
      <c r="V973" s="1102"/>
      <c r="W973" s="1102"/>
      <c r="X973" s="1102"/>
      <c r="Y973" s="1103"/>
      <c r="Z973" s="118"/>
      <c r="AA973" s="11"/>
      <c r="AB973" s="11"/>
      <c r="AC973" s="119"/>
      <c r="AD973" s="1499"/>
      <c r="AE973" s="1500"/>
      <c r="AF973" s="1500"/>
      <c r="AG973" s="1500"/>
      <c r="AH973" s="1500"/>
      <c r="AI973" s="1500"/>
      <c r="AJ973" s="1500"/>
      <c r="AK973" s="1501"/>
      <c r="AL973" s="105"/>
    </row>
    <row r="974" spans="1:96" ht="12.75" customHeight="1">
      <c r="A974" s="51"/>
      <c r="B974" s="120"/>
      <c r="C974" s="121" t="s">
        <v>233</v>
      </c>
      <c r="D974" s="1095" t="s">
        <v>1615</v>
      </c>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7"/>
      <c r="Z974" s="120"/>
      <c r="AA974" s="1437" t="s">
        <v>723</v>
      </c>
      <c r="AB974" s="1438"/>
      <c r="AC974" s="128"/>
      <c r="AD974" s="1445">
        <f>IF(AA974="yes",AD953*AN891,0)</f>
        <v>0</v>
      </c>
      <c r="AE974" s="1191"/>
      <c r="AF974" s="1191"/>
      <c r="AG974" s="1191"/>
      <c r="AH974" s="1191"/>
      <c r="AI974" s="1191"/>
      <c r="AJ974" s="1191"/>
      <c r="AK974" s="1192"/>
      <c r="AL974" s="105"/>
    </row>
    <row r="975" spans="1:96" ht="15" customHeight="1">
      <c r="A975" s="51"/>
      <c r="B975" s="113"/>
      <c r="C975" s="114"/>
      <c r="D975" s="1098" t="s">
        <v>1616</v>
      </c>
      <c r="E975" s="1099"/>
      <c r="F975" s="1099"/>
      <c r="G975" s="1099"/>
      <c r="H975" s="1099"/>
      <c r="I975" s="1099"/>
      <c r="J975" s="1099"/>
      <c r="K975" s="1099"/>
      <c r="L975" s="1099"/>
      <c r="M975" s="1099"/>
      <c r="N975" s="1099"/>
      <c r="O975" s="1099"/>
      <c r="P975" s="1099"/>
      <c r="Q975" s="1099"/>
      <c r="R975" s="1099"/>
      <c r="S975" s="1099"/>
      <c r="T975" s="1099"/>
      <c r="U975" s="1099"/>
      <c r="V975" s="1099"/>
      <c r="W975" s="1099"/>
      <c r="X975" s="1099"/>
      <c r="Y975" s="1100"/>
      <c r="Z975" s="113"/>
      <c r="AA975" s="115"/>
      <c r="AB975" s="115"/>
      <c r="AC975" s="124"/>
      <c r="AD975" s="1446"/>
      <c r="AE975" s="1193"/>
      <c r="AF975" s="1193"/>
      <c r="AG975" s="1193"/>
      <c r="AH975" s="1193"/>
      <c r="AI975" s="1193"/>
      <c r="AJ975" s="1193"/>
      <c r="AK975" s="1194"/>
      <c r="AL975" s="105"/>
    </row>
    <row r="976" spans="1:96" s="743" customFormat="1" ht="15" customHeight="1">
      <c r="A976" s="51"/>
      <c r="B976" s="113"/>
      <c r="C976" s="114"/>
      <c r="D976" s="1098"/>
      <c r="E976" s="1099"/>
      <c r="F976" s="1099"/>
      <c r="G976" s="1099"/>
      <c r="H976" s="1099"/>
      <c r="I976" s="1099"/>
      <c r="J976" s="1099"/>
      <c r="K976" s="1099"/>
      <c r="L976" s="1099"/>
      <c r="M976" s="1099"/>
      <c r="N976" s="1099"/>
      <c r="O976" s="1099"/>
      <c r="P976" s="1099"/>
      <c r="Q976" s="1099"/>
      <c r="R976" s="1099"/>
      <c r="S976" s="1099"/>
      <c r="T976" s="1099"/>
      <c r="U976" s="1099"/>
      <c r="V976" s="1099"/>
      <c r="W976" s="1099"/>
      <c r="X976" s="1099"/>
      <c r="Y976" s="1100"/>
      <c r="Z976" s="113"/>
      <c r="AA976" s="115"/>
      <c r="AB976" s="115"/>
      <c r="AC976" s="124"/>
      <c r="AD976" s="1446"/>
      <c r="AE976" s="1193"/>
      <c r="AF976" s="1193"/>
      <c r="AG976" s="1193"/>
      <c r="AH976" s="1193"/>
      <c r="AI976" s="1193"/>
      <c r="AJ976" s="1193"/>
      <c r="AK976" s="1194"/>
      <c r="AL976" s="105"/>
    </row>
    <row r="977" spans="1:38" ht="12.75">
      <c r="A977" s="51"/>
      <c r="B977" s="122"/>
      <c r="C977" s="123"/>
      <c r="D977" s="1098"/>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100"/>
      <c r="Z977" s="118"/>
      <c r="AA977" s="11"/>
      <c r="AB977" s="11"/>
      <c r="AC977" s="119"/>
      <c r="AD977" s="1499"/>
      <c r="AE977" s="1500"/>
      <c r="AF977" s="1500"/>
      <c r="AG977" s="1500"/>
      <c r="AH977" s="1500"/>
      <c r="AI977" s="1500"/>
      <c r="AJ977" s="1500"/>
      <c r="AK977" s="1501"/>
      <c r="AL977" s="105"/>
    </row>
    <row r="978" spans="1:38" ht="12.75" customHeight="1">
      <c r="A978" s="51"/>
      <c r="B978" s="120"/>
      <c r="C978" s="121" t="s">
        <v>238</v>
      </c>
      <c r="D978" s="1113" t="s">
        <v>1617</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5"/>
      <c r="Z978" s="115"/>
      <c r="AA978" s="1503" t="s">
        <v>723</v>
      </c>
      <c r="AB978" s="1504"/>
      <c r="AC978" s="51"/>
      <c r="AD978" s="1537"/>
      <c r="AE978" s="1538"/>
      <c r="AF978" s="1538"/>
      <c r="AG978" s="1538"/>
      <c r="AH978" s="1538"/>
      <c r="AI978" s="1538"/>
      <c r="AJ978" s="1538"/>
      <c r="AK978" s="1539"/>
      <c r="AL978" s="105"/>
    </row>
    <row r="979" spans="1:38" ht="12.75" customHeight="1">
      <c r="A979" s="51"/>
      <c r="B979" s="122"/>
      <c r="C979" s="125"/>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8"/>
      <c r="Z979" s="1225">
        <f>IF(AA978="yes","Please Select Type and Enter Amount:",0)</f>
        <v>0</v>
      </c>
      <c r="AA979" s="1225"/>
      <c r="AB979" s="1225"/>
      <c r="AC979" s="1226"/>
      <c r="AD979" s="1540"/>
      <c r="AE979" s="1541"/>
      <c r="AF979" s="1541"/>
      <c r="AG979" s="1541"/>
      <c r="AH979" s="1541"/>
      <c r="AI979" s="1541"/>
      <c r="AJ979" s="1541"/>
      <c r="AK979" s="1542"/>
      <c r="AL979" s="105"/>
    </row>
    <row r="980" spans="1:38" ht="12.75" customHeight="1">
      <c r="A980" s="51"/>
      <c r="B980" s="122"/>
      <c r="C980" s="125"/>
      <c r="D980" s="1098" t="s">
        <v>1618</v>
      </c>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100"/>
      <c r="Z980" s="1224"/>
      <c r="AA980" s="1225"/>
      <c r="AB980" s="1225"/>
      <c r="AC980" s="1226"/>
      <c r="AD980" s="1540"/>
      <c r="AE980" s="1541"/>
      <c r="AF980" s="1541"/>
      <c r="AG980" s="1541"/>
      <c r="AH980" s="1541"/>
      <c r="AI980" s="1541"/>
      <c r="AJ980" s="1541"/>
      <c r="AK980" s="1542"/>
      <c r="AL980" s="105"/>
    </row>
    <row r="981" spans="1:38" s="743" customFormat="1" ht="12.75">
      <c r="A981" s="51"/>
      <c r="B981" s="122"/>
      <c r="C981" s="125"/>
      <c r="D981" s="1098"/>
      <c r="E981" s="1099"/>
      <c r="F981" s="1099"/>
      <c r="G981" s="1099"/>
      <c r="H981" s="1099"/>
      <c r="I981" s="1099"/>
      <c r="J981" s="1099"/>
      <c r="K981" s="1099"/>
      <c r="L981" s="1099"/>
      <c r="M981" s="1099"/>
      <c r="N981" s="1099"/>
      <c r="O981" s="1099"/>
      <c r="P981" s="1099"/>
      <c r="Q981" s="1099"/>
      <c r="R981" s="1099"/>
      <c r="S981" s="1099"/>
      <c r="T981" s="1099"/>
      <c r="U981" s="1099"/>
      <c r="V981" s="1099"/>
      <c r="W981" s="1099"/>
      <c r="X981" s="1099"/>
      <c r="Y981" s="1100"/>
      <c r="Z981" s="1224"/>
      <c r="AA981" s="1225"/>
      <c r="AB981" s="1225"/>
      <c r="AC981" s="1226"/>
      <c r="AD981" s="1540"/>
      <c r="AE981" s="1541"/>
      <c r="AF981" s="1541"/>
      <c r="AG981" s="1541"/>
      <c r="AH981" s="1541"/>
      <c r="AI981" s="1541"/>
      <c r="AJ981" s="1541"/>
      <c r="AK981" s="1542"/>
      <c r="AL981" s="105"/>
    </row>
    <row r="982" spans="1:38" ht="12.75" customHeight="1">
      <c r="A982" s="51"/>
      <c r="B982" s="122"/>
      <c r="C982" s="125"/>
      <c r="D982" s="1098"/>
      <c r="E982" s="1099"/>
      <c r="F982" s="1099"/>
      <c r="G982" s="1099"/>
      <c r="H982" s="1099"/>
      <c r="I982" s="1099"/>
      <c r="J982" s="1099"/>
      <c r="K982" s="1099"/>
      <c r="L982" s="1099"/>
      <c r="M982" s="1099"/>
      <c r="N982" s="1099"/>
      <c r="O982" s="1099"/>
      <c r="P982" s="1099"/>
      <c r="Q982" s="1099"/>
      <c r="R982" s="1099"/>
      <c r="S982" s="1099"/>
      <c r="T982" s="1099"/>
      <c r="U982" s="1099"/>
      <c r="V982" s="1099"/>
      <c r="W982" s="1099"/>
      <c r="X982" s="1099"/>
      <c r="Y982" s="1100"/>
      <c r="Z982" s="1224"/>
      <c r="AA982" s="1225"/>
      <c r="AB982" s="1225"/>
      <c r="AC982" s="1226"/>
      <c r="AD982" s="1540"/>
      <c r="AE982" s="1541"/>
      <c r="AF982" s="1541"/>
      <c r="AG982" s="1541"/>
      <c r="AH982" s="1541"/>
      <c r="AI982" s="1541"/>
      <c r="AJ982" s="1541"/>
      <c r="AK982" s="1542"/>
      <c r="AL982" s="105"/>
    </row>
    <row r="983" spans="1:38" ht="12.75" customHeight="1">
      <c r="A983" s="51"/>
      <c r="B983" s="122"/>
      <c r="C983" s="125"/>
      <c r="D983" s="949" t="s">
        <v>383</v>
      </c>
      <c r="E983" s="136"/>
      <c r="F983" s="136"/>
      <c r="G983" s="163"/>
      <c r="H983" s="7"/>
      <c r="J983" s="1546" t="s">
        <v>642</v>
      </c>
      <c r="K983" s="1547"/>
      <c r="L983" s="1547"/>
      <c r="M983" s="1547"/>
      <c r="N983" s="1547"/>
      <c r="O983" s="1547"/>
      <c r="P983" s="1547"/>
      <c r="Q983" s="1548"/>
      <c r="R983" s="7"/>
      <c r="S983" s="7"/>
      <c r="T983" s="164"/>
      <c r="U983" s="7"/>
      <c r="V983" s="1531" t="str">
        <f>IF(AA978="yes",(AD953*0.15),"")</f>
        <v/>
      </c>
      <c r="W983" s="1531"/>
      <c r="X983" s="1531"/>
      <c r="Y983" s="1532"/>
      <c r="Z983" s="1227"/>
      <c r="AA983" s="1228"/>
      <c r="AB983" s="1228"/>
      <c r="AC983" s="1229"/>
      <c r="AD983" s="1543"/>
      <c r="AE983" s="1544"/>
      <c r="AF983" s="1544"/>
      <c r="AG983" s="1544"/>
      <c r="AH983" s="1544"/>
      <c r="AI983" s="1544"/>
      <c r="AJ983" s="1544"/>
      <c r="AK983" s="1545"/>
      <c r="AL983" s="105"/>
    </row>
    <row r="984" spans="1:38" ht="12.75" customHeight="1">
      <c r="A984" s="51"/>
      <c r="B984" s="120"/>
      <c r="C984" s="121" t="s">
        <v>244</v>
      </c>
      <c r="D984" s="1095" t="s">
        <v>1619</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7"/>
      <c r="Z984" s="113"/>
      <c r="AA984" s="1503" t="s">
        <v>592</v>
      </c>
      <c r="AB984" s="1504"/>
      <c r="AC984" s="51"/>
      <c r="AD984" s="1537">
        <v>450965</v>
      </c>
      <c r="AE984" s="1538"/>
      <c r="AF984" s="1538"/>
      <c r="AG984" s="1538"/>
      <c r="AH984" s="1538"/>
      <c r="AI984" s="1538"/>
      <c r="AJ984" s="1538"/>
      <c r="AK984" s="1539"/>
      <c r="AL984" s="105"/>
    </row>
    <row r="985" spans="1:38" ht="12.75" customHeight="1">
      <c r="A985" s="51"/>
      <c r="B985" s="113"/>
      <c r="C985" s="114"/>
      <c r="D985" s="1098" t="s">
        <v>1620</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100"/>
      <c r="Z985" s="1535" t="str">
        <f>IF(AA984="yes","Please Enter Amount:",0)</f>
        <v>Please Enter Amount:</v>
      </c>
      <c r="AA985" s="1536"/>
      <c r="AB985" s="1536"/>
      <c r="AC985" s="1536"/>
      <c r="AD985" s="1540"/>
      <c r="AE985" s="1541"/>
      <c r="AF985" s="1541"/>
      <c r="AG985" s="1541"/>
      <c r="AH985" s="1541"/>
      <c r="AI985" s="1541"/>
      <c r="AJ985" s="1541"/>
      <c r="AK985" s="1542"/>
      <c r="AL985" s="105"/>
    </row>
    <row r="986" spans="1:38" s="743" customFormat="1" ht="12.75" customHeight="1">
      <c r="A986" s="51"/>
      <c r="B986" s="113"/>
      <c r="C986" s="114"/>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100"/>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3"/>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249</v>
      </c>
      <c r="D988" s="1095" t="s">
        <v>1621</v>
      </c>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7"/>
      <c r="Z988" s="120"/>
      <c r="AA988" s="1437" t="s">
        <v>592</v>
      </c>
      <c r="AB988" s="1438"/>
      <c r="AC988" s="127"/>
      <c r="AD988" s="1445">
        <f>ROUND(IF(AA988="yes",(AD953*0.1),0),0)</f>
        <v>3308146</v>
      </c>
      <c r="AE988" s="1191"/>
      <c r="AF988" s="1191"/>
      <c r="AG988" s="1191"/>
      <c r="AH988" s="1191"/>
      <c r="AI988" s="1191"/>
      <c r="AJ988" s="1191"/>
      <c r="AK988" s="1192"/>
      <c r="AL988" s="105"/>
    </row>
    <row r="989" spans="1:38" s="743" customFormat="1" ht="12.75" customHeight="1">
      <c r="A989" s="51"/>
      <c r="B989" s="113"/>
      <c r="C989" s="114"/>
      <c r="D989" s="1098" t="s">
        <v>1622</v>
      </c>
      <c r="E989" s="1099"/>
      <c r="F989" s="1099"/>
      <c r="G989" s="1099"/>
      <c r="H989" s="1099"/>
      <c r="I989" s="1099"/>
      <c r="J989" s="1099"/>
      <c r="K989" s="1099"/>
      <c r="L989" s="1099"/>
      <c r="M989" s="1099"/>
      <c r="N989" s="1099"/>
      <c r="O989" s="1099"/>
      <c r="P989" s="1099"/>
      <c r="Q989" s="1099"/>
      <c r="R989" s="1099"/>
      <c r="S989" s="1099"/>
      <c r="T989" s="1099"/>
      <c r="U989" s="1099"/>
      <c r="V989" s="1099"/>
      <c r="W989" s="1099"/>
      <c r="X989" s="1099"/>
      <c r="Y989" s="1100"/>
      <c r="Z989" s="113"/>
      <c r="AA989" s="115"/>
      <c r="AB989" s="115"/>
      <c r="AC989" s="115"/>
      <c r="AD989" s="1446"/>
      <c r="AE989" s="1193"/>
      <c r="AF989" s="1193"/>
      <c r="AG989" s="1193"/>
      <c r="AH989" s="1193"/>
      <c r="AI989" s="1193"/>
      <c r="AJ989" s="1193"/>
      <c r="AK989" s="1194"/>
      <c r="AL989" s="105"/>
    </row>
    <row r="990" spans="1:38" ht="12.75">
      <c r="A990" s="51"/>
      <c r="B990" s="113"/>
      <c r="C990" s="114"/>
      <c r="D990" s="1101"/>
      <c r="E990" s="1102"/>
      <c r="F990" s="1102"/>
      <c r="G990" s="1102"/>
      <c r="H990" s="1102"/>
      <c r="I990" s="1102"/>
      <c r="J990" s="1102"/>
      <c r="K990" s="1102"/>
      <c r="L990" s="1102"/>
      <c r="M990" s="1102"/>
      <c r="N990" s="1102"/>
      <c r="O990" s="1102"/>
      <c r="P990" s="1102"/>
      <c r="Q990" s="1102"/>
      <c r="R990" s="1102"/>
      <c r="S990" s="1102"/>
      <c r="T990" s="1102"/>
      <c r="U990" s="1102"/>
      <c r="V990" s="1102"/>
      <c r="W990" s="1102"/>
      <c r="X990" s="1102"/>
      <c r="Y990" s="1103"/>
      <c r="Z990" s="113"/>
      <c r="AA990" s="115"/>
      <c r="AB990" s="115"/>
      <c r="AC990" s="115"/>
      <c r="AD990" s="1446"/>
      <c r="AE990" s="1193"/>
      <c r="AF990" s="1193"/>
      <c r="AG990" s="1193"/>
      <c r="AH990" s="1193"/>
      <c r="AI990" s="1193"/>
      <c r="AJ990" s="1193"/>
      <c r="AK990" s="1194"/>
      <c r="AL990" s="105"/>
    </row>
    <row r="991" spans="1:38" ht="12.75" customHeight="1">
      <c r="A991" s="51"/>
      <c r="B991" s="120"/>
      <c r="C991" s="555" t="s">
        <v>742</v>
      </c>
      <c r="D991" s="1095" t="s">
        <v>1623</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7"/>
      <c r="Z991" s="120"/>
      <c r="AA991" s="1437" t="s">
        <v>723</v>
      </c>
      <c r="AB991" s="1438"/>
      <c r="AC991" s="127"/>
      <c r="AD991" s="1445">
        <f>ROUND(IF(AA991="yes",(AD953*0.1),0),0)</f>
        <v>0</v>
      </c>
      <c r="AE991" s="1191"/>
      <c r="AF991" s="1191"/>
      <c r="AG991" s="1191"/>
      <c r="AH991" s="1191"/>
      <c r="AI991" s="1191"/>
      <c r="AJ991" s="1191"/>
      <c r="AK991" s="1192"/>
      <c r="AL991" s="105"/>
    </row>
    <row r="992" spans="1:38" s="706" customFormat="1" ht="12.75" customHeight="1">
      <c r="A992" s="51"/>
      <c r="B992" s="113"/>
      <c r="C992" s="114"/>
      <c r="D992" s="1098" t="s">
        <v>1624</v>
      </c>
      <c r="E992" s="1099"/>
      <c r="F992" s="1099"/>
      <c r="G992" s="1099"/>
      <c r="H992" s="1099"/>
      <c r="I992" s="1099"/>
      <c r="J992" s="1099"/>
      <c r="K992" s="1099"/>
      <c r="L992" s="1099"/>
      <c r="M992" s="1099"/>
      <c r="N992" s="1099"/>
      <c r="O992" s="1099"/>
      <c r="P992" s="1099"/>
      <c r="Q992" s="1099"/>
      <c r="R992" s="1099"/>
      <c r="S992" s="1099"/>
      <c r="T992" s="1099"/>
      <c r="U992" s="1099"/>
      <c r="V992" s="1099"/>
      <c r="W992" s="1099"/>
      <c r="X992" s="1099"/>
      <c r="Y992" s="1100"/>
      <c r="Z992" s="113"/>
      <c r="AA992" s="115"/>
      <c r="AB992" s="115"/>
      <c r="AC992" s="115"/>
      <c r="AD992" s="1446"/>
      <c r="AE992" s="1193"/>
      <c r="AF992" s="1193"/>
      <c r="AG992" s="1193"/>
      <c r="AH992" s="1193"/>
      <c r="AI992" s="1193"/>
      <c r="AJ992" s="1193"/>
      <c r="AK992" s="1194"/>
      <c r="AL992" s="105"/>
    </row>
    <row r="993" spans="1:38" ht="12.75" customHeight="1">
      <c r="A993" s="51"/>
      <c r="B993" s="113"/>
      <c r="C993" s="114"/>
      <c r="D993" s="1098"/>
      <c r="E993" s="1099"/>
      <c r="F993" s="1099"/>
      <c r="G993" s="1099"/>
      <c r="H993" s="1099"/>
      <c r="I993" s="1099"/>
      <c r="J993" s="1099"/>
      <c r="K993" s="1099"/>
      <c r="L993" s="1099"/>
      <c r="M993" s="1099"/>
      <c r="N993" s="1099"/>
      <c r="O993" s="1099"/>
      <c r="P993" s="1099"/>
      <c r="Q993" s="1099"/>
      <c r="R993" s="1099"/>
      <c r="S993" s="1099"/>
      <c r="T993" s="1099"/>
      <c r="U993" s="1099"/>
      <c r="V993" s="1099"/>
      <c r="W993" s="1099"/>
      <c r="X993" s="1099"/>
      <c r="Y993" s="1100"/>
      <c r="Z993" s="113"/>
      <c r="AA993" s="115"/>
      <c r="AB993" s="115"/>
      <c r="AC993" s="115"/>
      <c r="AD993" s="552"/>
      <c r="AE993" s="553"/>
      <c r="AF993" s="553"/>
      <c r="AG993" s="553"/>
      <c r="AH993" s="553"/>
      <c r="AI993" s="553"/>
      <c r="AJ993" s="553"/>
      <c r="AK993" s="554"/>
      <c r="AL993" s="105"/>
    </row>
    <row r="994" spans="1:38" ht="12.75" customHeight="1">
      <c r="A994" s="51"/>
      <c r="B994" s="113"/>
      <c r="C994" s="114"/>
      <c r="D994" s="1098"/>
      <c r="E994" s="1099"/>
      <c r="F994" s="1099"/>
      <c r="G994" s="1099"/>
      <c r="H994" s="1099"/>
      <c r="I994" s="1099"/>
      <c r="J994" s="1099"/>
      <c r="K994" s="1099"/>
      <c r="L994" s="1099"/>
      <c r="M994" s="1099"/>
      <c r="N994" s="1099"/>
      <c r="O994" s="1099"/>
      <c r="P994" s="1099"/>
      <c r="Q994" s="1099"/>
      <c r="R994" s="1099"/>
      <c r="S994" s="1099"/>
      <c r="T994" s="1099"/>
      <c r="U994" s="1099"/>
      <c r="V994" s="1099"/>
      <c r="W994" s="1099"/>
      <c r="X994" s="1099"/>
      <c r="Y994" s="1100"/>
      <c r="Z994" s="113"/>
      <c r="AA994" s="115"/>
      <c r="AB994" s="115"/>
      <c r="AC994" s="115"/>
      <c r="AD994" s="552"/>
      <c r="AE994" s="553"/>
      <c r="AF994" s="553"/>
      <c r="AG994" s="553"/>
      <c r="AH994" s="553"/>
      <c r="AI994" s="553"/>
      <c r="AJ994" s="553"/>
      <c r="AK994" s="554"/>
      <c r="AL994" s="105"/>
    </row>
    <row r="995" spans="1:38" ht="12.75" customHeight="1">
      <c r="A995" s="51"/>
      <c r="B995" s="113"/>
      <c r="C995" s="114"/>
      <c r="D995" s="1101"/>
      <c r="E995" s="1102"/>
      <c r="F995" s="1102"/>
      <c r="G995" s="1102"/>
      <c r="H995" s="1102"/>
      <c r="I995" s="1102"/>
      <c r="J995" s="1102"/>
      <c r="K995" s="1102"/>
      <c r="L995" s="1102"/>
      <c r="M995" s="1102"/>
      <c r="N995" s="1102"/>
      <c r="O995" s="1102"/>
      <c r="P995" s="1102"/>
      <c r="Q995" s="1102"/>
      <c r="R995" s="1102"/>
      <c r="S995" s="1102"/>
      <c r="T995" s="1102"/>
      <c r="U995" s="1102"/>
      <c r="V995" s="1102"/>
      <c r="W995" s="1102"/>
      <c r="X995" s="1102"/>
      <c r="Y995" s="110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5" t="s">
        <v>1628</v>
      </c>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7"/>
      <c r="Z996" s="120"/>
      <c r="AA996" s="1237" t="str">
        <f>IF(X999&gt;0,"Yes","No")</f>
        <v>Yes</v>
      </c>
      <c r="AB996" s="1238"/>
      <c r="AC996" s="128"/>
      <c r="AD996" s="1239">
        <f>IF((X999=0),"",AO906*AD953)</f>
        <v>9924436.7999999989</v>
      </c>
      <c r="AE996" s="1240"/>
      <c r="AF996" s="1240"/>
      <c r="AG996" s="1240"/>
      <c r="AH996" s="1240"/>
      <c r="AI996" s="1240"/>
      <c r="AJ996" s="1240"/>
      <c r="AK996" s="1241"/>
      <c r="AL996" s="105"/>
    </row>
    <row r="997" spans="1:38" s="743" customFormat="1" ht="12.75" customHeight="1">
      <c r="A997" s="51"/>
      <c r="B997" s="113"/>
      <c r="C997" s="726"/>
      <c r="D997" s="1098" t="s">
        <v>1627</v>
      </c>
      <c r="E997" s="1099"/>
      <c r="F997" s="1099"/>
      <c r="G997" s="1099"/>
      <c r="H997" s="1099"/>
      <c r="I997" s="1099"/>
      <c r="J997" s="1099"/>
      <c r="K997" s="1099"/>
      <c r="L997" s="1099"/>
      <c r="M997" s="1099"/>
      <c r="N997" s="1099"/>
      <c r="O997" s="1099"/>
      <c r="P997" s="1099"/>
      <c r="Q997" s="1099"/>
      <c r="R997" s="1099"/>
      <c r="S997" s="1099"/>
      <c r="T997" s="1099"/>
      <c r="U997" s="1099"/>
      <c r="V997" s="1099"/>
      <c r="W997" s="1099"/>
      <c r="X997" s="1099"/>
      <c r="Y997" s="1100"/>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8"/>
      <c r="E998" s="1099"/>
      <c r="F998" s="1099"/>
      <c r="G998" s="1099"/>
      <c r="H998" s="1099"/>
      <c r="I998" s="1099"/>
      <c r="J998" s="1099"/>
      <c r="K998" s="1099"/>
      <c r="L998" s="1099"/>
      <c r="M998" s="1099"/>
      <c r="N998" s="1099"/>
      <c r="O998" s="1099"/>
      <c r="P998" s="1099"/>
      <c r="Q998" s="1099"/>
      <c r="R998" s="1099"/>
      <c r="S998" s="1099"/>
      <c r="T998" s="1099"/>
      <c r="U998" s="1099"/>
      <c r="V998" s="1099"/>
      <c r="W998" s="1099"/>
      <c r="X998" s="1099"/>
      <c r="Y998" s="1100"/>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1081</v>
      </c>
      <c r="E999" s="208"/>
      <c r="F999" s="208"/>
      <c r="G999" s="208"/>
      <c r="H999" s="104"/>
      <c r="I999" s="1533">
        <f>AM905</f>
        <v>89</v>
      </c>
      <c r="J999" s="1534"/>
      <c r="K999" s="51"/>
      <c r="L999" s="104"/>
      <c r="M999" s="208"/>
      <c r="N999" s="208"/>
      <c r="O999" s="208"/>
      <c r="P999" s="208"/>
      <c r="Q999" s="208"/>
      <c r="R999" s="208"/>
      <c r="S999" s="208"/>
      <c r="T999" s="208"/>
      <c r="U999" s="208"/>
      <c r="V999" s="104"/>
      <c r="W999" s="209" t="s">
        <v>1082</v>
      </c>
      <c r="X999" s="1432">
        <f>AT614</f>
        <v>27</v>
      </c>
      <c r="Y999" s="1433"/>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1155</v>
      </c>
      <c r="D1000" s="1095" t="s">
        <v>1626</v>
      </c>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7"/>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8" t="s">
        <v>1625</v>
      </c>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099"/>
      <c r="X1001" s="1099"/>
      <c r="Y1001" s="1100"/>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8"/>
      <c r="E1002" s="1099"/>
      <c r="F1002" s="1099"/>
      <c r="G1002" s="1099"/>
      <c r="H1002" s="1099"/>
      <c r="I1002" s="1099"/>
      <c r="J1002" s="1099"/>
      <c r="K1002" s="1099"/>
      <c r="L1002" s="1099"/>
      <c r="M1002" s="1099"/>
      <c r="N1002" s="1099"/>
      <c r="O1002" s="1099"/>
      <c r="P1002" s="1099"/>
      <c r="Q1002" s="1099"/>
      <c r="R1002" s="1099"/>
      <c r="S1002" s="1099"/>
      <c r="T1002" s="1099"/>
      <c r="U1002" s="1099"/>
      <c r="V1002" s="1099"/>
      <c r="W1002" s="1099"/>
      <c r="X1002" s="1099"/>
      <c r="Y1002" s="1100"/>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1081</v>
      </c>
      <c r="E1003" s="208"/>
      <c r="F1003" s="208"/>
      <c r="G1003" s="208"/>
      <c r="H1003" s="208"/>
      <c r="I1003" s="1533">
        <f>AM905</f>
        <v>89</v>
      </c>
      <c r="J1003" s="1534"/>
      <c r="K1003" s="51"/>
      <c r="L1003" s="208"/>
      <c r="M1003" s="208"/>
      <c r="N1003" s="208"/>
      <c r="O1003" s="208"/>
      <c r="P1003" s="208"/>
      <c r="Q1003" s="208"/>
      <c r="R1003" s="208"/>
      <c r="S1003" s="208"/>
      <c r="T1003" s="208"/>
      <c r="U1003" s="208"/>
      <c r="V1003" s="208"/>
      <c r="W1003" s="209" t="s">
        <v>1083</v>
      </c>
      <c r="X1003" s="1432">
        <f>AX614</f>
        <v>0</v>
      </c>
      <c r="Y1003" s="1433"/>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3" t="s">
        <v>560</v>
      </c>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4"/>
      <c r="AD1004" s="1442">
        <f>SUM(AD953:AK1003)</f>
        <v>55696996.799999997</v>
      </c>
      <c r="AE1004" s="1443"/>
      <c r="AF1004" s="1443"/>
      <c r="AG1004" s="1443"/>
      <c r="AH1004" s="1443"/>
      <c r="AI1004" s="1443"/>
      <c r="AJ1004" s="1443"/>
      <c r="AK1004" s="144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5"/>
      <c r="Y1007" s="1575"/>
      <c r="Z1007" s="1575"/>
      <c r="AA1007" s="1575"/>
      <c r="AB1007" s="1575"/>
      <c r="AC1007" s="157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6"/>
      <c r="Y1008" s="1576"/>
      <c r="Z1008" s="1576"/>
      <c r="AA1008" s="1576"/>
      <c r="AB1008" s="1576"/>
      <c r="AC1008" s="1576"/>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6"/>
      <c r="D1012" s="1586"/>
      <c r="E1012" s="1586"/>
      <c r="F1012" s="1586"/>
      <c r="G1012" s="1586"/>
      <c r="H1012" s="1586"/>
      <c r="I1012" s="1586"/>
      <c r="J1012" s="1586"/>
      <c r="K1012" s="1586"/>
      <c r="L1012" s="1586"/>
      <c r="M1012" s="1586"/>
      <c r="N1012" s="1586"/>
      <c r="O1012" s="1586"/>
      <c r="P1012" s="1586"/>
      <c r="Q1012" s="1586"/>
      <c r="R1012" s="1586"/>
      <c r="S1012" s="1586"/>
      <c r="T1012" s="1586"/>
      <c r="U1012" s="1586"/>
      <c r="V1012" s="1586"/>
      <c r="W1012" s="1586"/>
      <c r="X1012" s="1586"/>
      <c r="Y1012" s="1586"/>
      <c r="Z1012" s="1586"/>
      <c r="AA1012" s="1586"/>
      <c r="AB1012" s="1586"/>
      <c r="AC1012" s="1586"/>
      <c r="AD1012" s="1586"/>
      <c r="AE1012" s="1586"/>
      <c r="AF1012" s="1586"/>
      <c r="AG1012" s="1586"/>
      <c r="AH1012" s="1586"/>
      <c r="AI1012" s="1586"/>
      <c r="AJ1012" s="1586"/>
      <c r="AK1012" s="1586"/>
      <c r="AL1012" s="105"/>
    </row>
    <row r="1013" spans="1:38" ht="12.6" customHeight="1">
      <c r="A1013" s="131"/>
      <c r="B1013" s="1586"/>
      <c r="C1013" s="1586"/>
      <c r="D1013" s="1586"/>
      <c r="E1013" s="1586"/>
      <c r="F1013" s="1586"/>
      <c r="G1013" s="1586"/>
      <c r="H1013" s="1586"/>
      <c r="I1013" s="1586"/>
      <c r="J1013" s="1586"/>
      <c r="K1013" s="1586"/>
      <c r="L1013" s="1586"/>
      <c r="M1013" s="1586"/>
      <c r="N1013" s="1586"/>
      <c r="O1013" s="1586"/>
      <c r="P1013" s="1586"/>
      <c r="Q1013" s="1586"/>
      <c r="R1013" s="1586"/>
      <c r="S1013" s="1586"/>
      <c r="T1013" s="1586"/>
      <c r="U1013" s="1586"/>
      <c r="V1013" s="1586"/>
      <c r="W1013" s="1586"/>
      <c r="X1013" s="1586"/>
      <c r="Y1013" s="1586"/>
      <c r="Z1013" s="1586"/>
      <c r="AA1013" s="1586"/>
      <c r="AB1013" s="1586"/>
      <c r="AC1013" s="1586"/>
      <c r="AD1013" s="1586"/>
      <c r="AE1013" s="1586"/>
      <c r="AF1013" s="1586"/>
      <c r="AG1013" s="1586"/>
      <c r="AH1013" s="1586"/>
      <c r="AI1013" s="1586"/>
      <c r="AJ1013" s="1586"/>
      <c r="AK1013" s="1586"/>
      <c r="AL1013" s="105"/>
    </row>
    <row r="1014" spans="1:38" ht="12.6" customHeight="1">
      <c r="A1014" s="131"/>
      <c r="B1014" s="1585">
        <f>IF(ISNA(IF((AD978&gt;(AD953*0.15)),"(f) cannot be greater than 15% of unadjusted eligible basis.",0)),"",(IF((AD978&gt;(AD953*0.15)),"(f) cannot be greater than 15% of unadjusted eligible basis.",0)))</f>
        <v>0</v>
      </c>
      <c r="C1014" s="1585"/>
      <c r="D1014" s="1585"/>
      <c r="E1014" s="1585"/>
      <c r="F1014" s="1585"/>
      <c r="G1014" s="1585"/>
      <c r="H1014" s="1585"/>
      <c r="I1014" s="1585"/>
      <c r="J1014" s="1585"/>
      <c r="K1014" s="1585"/>
      <c r="L1014" s="1585"/>
      <c r="M1014" s="1585"/>
      <c r="N1014" s="1585"/>
      <c r="O1014" s="1585"/>
      <c r="P1014" s="1585"/>
      <c r="Q1014" s="1585"/>
      <c r="R1014" s="1585"/>
      <c r="S1014" s="1585"/>
      <c r="T1014" s="1585"/>
      <c r="U1014" s="1585"/>
      <c r="V1014" s="1585"/>
      <c r="W1014" s="1585"/>
      <c r="X1014" s="1585"/>
      <c r="Y1014" s="1585"/>
      <c r="Z1014" s="1585"/>
      <c r="AA1014" s="1585"/>
      <c r="AB1014" s="1585"/>
      <c r="AC1014" s="1585"/>
      <c r="AD1014" s="1585"/>
      <c r="AE1014" s="1585"/>
      <c r="AF1014" s="1585"/>
      <c r="AG1014" s="1585"/>
      <c r="AH1014" s="1585"/>
      <c r="AI1014" s="1585"/>
      <c r="AJ1014" s="1585"/>
      <c r="AK1014" s="1585"/>
      <c r="AL1014" s="105"/>
    </row>
    <row r="1015" spans="1:38" ht="12.6" customHeight="1" thickBot="1">
      <c r="A1015" s="1553" t="s">
        <v>876</v>
      </c>
      <c r="B1015" s="1553"/>
      <c r="C1015" s="1553"/>
      <c r="D1015" s="1553"/>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3"/>
      <c r="AF1015" s="1553"/>
      <c r="AG1015" s="1553"/>
      <c r="AH1015" s="1553"/>
      <c r="AI1015" s="1553"/>
      <c r="AJ1015" s="1553"/>
      <c r="AK1015" s="1553"/>
      <c r="AL1015" s="155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642</v>
      </c>
      <c r="B1019" s="1121"/>
      <c r="C1019" s="13">
        <v>1</v>
      </c>
      <c r="D1019" s="984" t="s">
        <v>1263</v>
      </c>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L1019" s="134"/>
    </row>
    <row r="1020" spans="1:38" ht="12.6" customHeight="1">
      <c r="A1020" s="243"/>
      <c r="B1020" s="243"/>
      <c r="C1020" s="13"/>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L1020" s="134"/>
    </row>
    <row r="1021" spans="1:38" ht="12.6" customHeight="1">
      <c r="A1021" s="243"/>
      <c r="B1021" s="243"/>
      <c r="C1021" s="13"/>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L1021" s="105"/>
    </row>
    <row r="1022" spans="1:38" ht="12.6" customHeight="1">
      <c r="A1022" s="243"/>
      <c r="B1022" s="243"/>
      <c r="C1022" s="13"/>
      <c r="D1022" s="98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984"/>
      <c r="AF1022" s="984"/>
      <c r="AG1022" s="984"/>
      <c r="AH1022" s="984"/>
      <c r="AI1022" s="984"/>
      <c r="AJ1022" s="984"/>
      <c r="AK1022" s="984"/>
      <c r="AL1022" s="105"/>
    </row>
    <row r="1023" spans="1:38" ht="12.6" customHeight="1">
      <c r="A1023" s="243"/>
      <c r="B1023" s="243"/>
      <c r="C1023" s="13"/>
      <c r="D1023" s="98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L1023" s="105"/>
    </row>
    <row r="1024" spans="1:38" ht="12.6" customHeight="1">
      <c r="A1024" s="37"/>
      <c r="B1024" s="66"/>
      <c r="C1024" s="13"/>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L1024" s="105"/>
    </row>
    <row r="1025" spans="1:38" ht="12.6" customHeight="1">
      <c r="A1025" s="1121" t="s">
        <v>642</v>
      </c>
      <c r="B1025" s="1121"/>
      <c r="C1025" s="13">
        <v>2</v>
      </c>
      <c r="D1025" s="984" t="s">
        <v>1262</v>
      </c>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L1025" s="105"/>
    </row>
    <row r="1026" spans="1:38" ht="12.6" customHeight="1">
      <c r="A1026" s="243"/>
      <c r="B1026" s="243"/>
      <c r="C1026" s="13"/>
      <c r="D1026" s="984"/>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L1026" s="105"/>
    </row>
    <row r="1027" spans="1:38" ht="12.6" customHeight="1">
      <c r="A1027" s="243"/>
      <c r="B1027" s="243"/>
      <c r="C1027" s="13"/>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L1027" s="105"/>
    </row>
    <row r="1028" spans="1:38" ht="12.6" customHeight="1">
      <c r="A1028" s="243"/>
      <c r="B1028" s="243"/>
      <c r="C1028" s="13"/>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L1028" s="105"/>
    </row>
    <row r="1029" spans="1:38" ht="12.6" customHeight="1">
      <c r="A1029" s="243"/>
      <c r="B1029" s="243"/>
      <c r="C1029" s="13"/>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L1029" s="105"/>
    </row>
    <row r="1030" spans="1:38" ht="12.6" customHeight="1">
      <c r="A1030" s="243"/>
      <c r="B1030" s="243"/>
      <c r="C1030" s="13"/>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row>
    <row r="1031" spans="1:38" ht="12.6" customHeight="1">
      <c r="A1031" s="1121" t="s">
        <v>642</v>
      </c>
      <c r="B1031" s="1121"/>
      <c r="C1031" s="13">
        <v>3</v>
      </c>
      <c r="D1031" s="984" t="s">
        <v>1606</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row>
    <row r="1032" spans="1:38" s="743" customFormat="1" ht="12.6" customHeight="1">
      <c r="A1032" s="133"/>
      <c r="B1032" s="133"/>
      <c r="C1032" s="13"/>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row>
    <row r="1033" spans="1:38" ht="12.6" customHeight="1">
      <c r="A1033" s="133"/>
      <c r="B1033" s="133"/>
      <c r="C1033" s="13"/>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row>
    <row r="1034" spans="1:38" ht="12.6" customHeight="1">
      <c r="A1034" s="62"/>
      <c r="B1034" s="66"/>
      <c r="C1034" s="13"/>
      <c r="D1034" s="984"/>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row>
    <row r="1035" spans="1:38" ht="12.6" customHeight="1">
      <c r="A1035" s="62"/>
      <c r="B1035" s="66"/>
      <c r="C1035" s="13"/>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row>
    <row r="1036" spans="1:38" ht="12.6" customHeight="1">
      <c r="A1036" s="62"/>
      <c r="B1036" s="66"/>
      <c r="C1036" s="13"/>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row>
    <row r="1037" spans="1:38" ht="12.6" customHeight="1">
      <c r="A1037" s="62"/>
      <c r="B1037" s="66"/>
      <c r="C1037" s="13"/>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row>
    <row r="1038" spans="1:38" ht="12.6" customHeight="1">
      <c r="A1038" s="1121" t="s">
        <v>642</v>
      </c>
      <c r="B1038" s="1121"/>
      <c r="C1038" s="13">
        <v>4</v>
      </c>
      <c r="D1038" s="984" t="s">
        <v>1248</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38" s="706" customFormat="1" ht="12.6" customHeight="1">
      <c r="A1039" s="243"/>
      <c r="B1039" s="243"/>
      <c r="C1039" s="13"/>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c r="AL1039" s="12"/>
    </row>
    <row r="1040" spans="1:38" ht="12.6" customHeight="1">
      <c r="A1040" s="62"/>
      <c r="B1040" s="66"/>
      <c r="C1040" s="13"/>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2.6" customHeight="1">
      <c r="A1041" s="1121" t="s">
        <v>642</v>
      </c>
      <c r="B1041" s="1121"/>
      <c r="C1041" s="13">
        <v>5</v>
      </c>
      <c r="D1041" s="984" t="s">
        <v>1466</v>
      </c>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2.6" customHeight="1">
      <c r="A1042" s="243"/>
      <c r="B1042" s="243"/>
      <c r="C1042" s="13"/>
      <c r="D1042" s="984"/>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2.6" customHeight="1">
      <c r="A1043" s="243"/>
      <c r="B1043" s="243"/>
      <c r="C1043" s="13"/>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2.6" customHeight="1">
      <c r="A1044" s="243"/>
      <c r="B1044" s="243"/>
      <c r="C1044" s="13"/>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c r="AL1044" s="706"/>
    </row>
    <row r="1045" spans="1:38" ht="12.6" customHeight="1">
      <c r="A1045" s="62"/>
      <c r="B1045" s="66"/>
      <c r="C1045" s="13"/>
      <c r="D1045" s="984"/>
      <c r="E1045" s="984"/>
      <c r="F1045" s="984"/>
      <c r="G1045" s="984"/>
      <c r="H1045" s="984"/>
      <c r="I1045" s="984"/>
      <c r="J1045" s="984"/>
      <c r="K1045" s="984"/>
      <c r="L1045" s="984"/>
      <c r="M1045" s="984"/>
      <c r="N1045" s="984"/>
      <c r="O1045" s="984"/>
      <c r="P1045" s="984"/>
      <c r="Q1045" s="984"/>
      <c r="R1045" s="984"/>
      <c r="S1045" s="984"/>
      <c r="T1045" s="984"/>
      <c r="U1045" s="984"/>
      <c r="V1045" s="984"/>
      <c r="W1045" s="984"/>
      <c r="X1045" s="984"/>
      <c r="Y1045" s="984"/>
      <c r="Z1045" s="984"/>
      <c r="AA1045" s="984"/>
      <c r="AB1045" s="984"/>
      <c r="AC1045" s="984"/>
      <c r="AD1045" s="984"/>
      <c r="AE1045" s="984"/>
      <c r="AF1045" s="984"/>
      <c r="AG1045" s="984"/>
      <c r="AH1045" s="984"/>
      <c r="AI1045" s="984"/>
      <c r="AJ1045" s="984"/>
      <c r="AK1045" s="984"/>
    </row>
    <row r="1046" spans="1:38" ht="12.6" customHeight="1">
      <c r="A1046" s="1121" t="s">
        <v>642</v>
      </c>
      <c r="B1046" s="1121"/>
      <c r="C1046" s="13">
        <v>6</v>
      </c>
      <c r="D1046" s="984" t="s">
        <v>1249</v>
      </c>
      <c r="E1046" s="984"/>
      <c r="F1046" s="984"/>
      <c r="G1046" s="984"/>
      <c r="H1046" s="984"/>
      <c r="I1046" s="984"/>
      <c r="J1046" s="984"/>
      <c r="K1046" s="984"/>
      <c r="L1046" s="984"/>
      <c r="M1046" s="984"/>
      <c r="N1046" s="984"/>
      <c r="O1046" s="984"/>
      <c r="P1046" s="984"/>
      <c r="Q1046" s="984"/>
      <c r="R1046" s="984"/>
      <c r="S1046" s="984"/>
      <c r="T1046" s="984"/>
      <c r="U1046" s="984"/>
      <c r="V1046" s="984"/>
      <c r="W1046" s="984"/>
      <c r="X1046" s="984"/>
      <c r="Y1046" s="984"/>
      <c r="Z1046" s="984"/>
      <c r="AA1046" s="984"/>
      <c r="AB1046" s="984"/>
      <c r="AC1046" s="984"/>
      <c r="AD1046" s="984"/>
      <c r="AE1046" s="984"/>
      <c r="AF1046" s="984"/>
      <c r="AG1046" s="984"/>
      <c r="AH1046" s="984"/>
      <c r="AI1046" s="984"/>
      <c r="AJ1046" s="984"/>
      <c r="AK1046" s="984"/>
    </row>
    <row r="1047" spans="1:38" ht="12.6" customHeight="1">
      <c r="A1047" s="62"/>
      <c r="B1047" s="327"/>
      <c r="C1047" s="13"/>
      <c r="D1047" s="984"/>
      <c r="E1047" s="984"/>
      <c r="F1047" s="984"/>
      <c r="G1047" s="984"/>
      <c r="H1047" s="984"/>
      <c r="I1047" s="984"/>
      <c r="J1047" s="984"/>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4"/>
      <c r="AJ1047" s="984"/>
      <c r="AK1047" s="984"/>
    </row>
    <row r="1048" spans="1:38" ht="12.6" customHeight="1">
      <c r="A1048" s="62"/>
      <c r="B1048" s="66"/>
      <c r="C1048" s="13"/>
      <c r="D1048" s="984"/>
      <c r="E1048" s="984"/>
      <c r="F1048" s="984"/>
      <c r="G1048" s="984"/>
      <c r="H1048" s="984"/>
      <c r="I1048" s="984"/>
      <c r="J1048" s="984"/>
      <c r="K1048" s="984"/>
      <c r="L1048" s="984"/>
      <c r="M1048" s="984"/>
      <c r="N1048" s="984"/>
      <c r="O1048" s="984"/>
      <c r="P1048" s="984"/>
      <c r="Q1048" s="984"/>
      <c r="R1048" s="984"/>
      <c r="S1048" s="984"/>
      <c r="T1048" s="984"/>
      <c r="U1048" s="984"/>
      <c r="V1048" s="984"/>
      <c r="W1048" s="984"/>
      <c r="X1048" s="984"/>
      <c r="Y1048" s="984"/>
      <c r="Z1048" s="984"/>
      <c r="AA1048" s="984"/>
      <c r="AB1048" s="984"/>
      <c r="AC1048" s="984"/>
      <c r="AD1048" s="984"/>
      <c r="AE1048" s="984"/>
      <c r="AF1048" s="984"/>
      <c r="AG1048" s="984"/>
      <c r="AH1048" s="984"/>
      <c r="AI1048" s="984"/>
      <c r="AJ1048" s="984"/>
      <c r="AK1048" s="984"/>
    </row>
    <row r="1049" spans="1:38" ht="12.6" customHeight="1">
      <c r="A1049" s="1121" t="s">
        <v>642</v>
      </c>
      <c r="B1049" s="1121"/>
      <c r="C1049" s="328">
        <v>7</v>
      </c>
      <c r="D1049" s="984" t="s">
        <v>1251</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32"/>
    </row>
    <row r="1050" spans="1:38" s="706" customFormat="1" ht="12.6" customHeight="1">
      <c r="A1050" s="243"/>
      <c r="B1050" s="243"/>
      <c r="C1050" s="329"/>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12"/>
    </row>
    <row r="1051" spans="1:38" ht="12.6" customHeight="1">
      <c r="A1051" s="243"/>
      <c r="B1051" s="243"/>
      <c r="C1051" s="329"/>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row>
    <row r="1052" spans="1:38" ht="12.6" customHeight="1">
      <c r="A1052" s="62"/>
      <c r="B1052" s="66"/>
      <c r="C1052" s="328"/>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row>
    <row r="1053" spans="1:38" ht="12.6" customHeight="1">
      <c r="A1053" s="1121" t="s">
        <v>642</v>
      </c>
      <c r="B1053" s="1121"/>
      <c r="C1053" s="328">
        <v>8</v>
      </c>
      <c r="D1053" s="984" t="s">
        <v>1478</v>
      </c>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row>
    <row r="1054" spans="1:38" ht="12.6" customHeight="1">
      <c r="A1054" s="243"/>
      <c r="B1054" s="243"/>
      <c r="C1054" s="328"/>
      <c r="D1054" s="984"/>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row>
    <row r="1055" spans="1:38" ht="12.6" customHeight="1">
      <c r="A1055" s="243"/>
      <c r="B1055" s="243"/>
      <c r="C1055" s="328"/>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706"/>
    </row>
    <row r="1056" spans="1:38" ht="15" customHeight="1">
      <c r="A1056" s="62"/>
      <c r="B1056" s="66"/>
      <c r="C1056" s="328"/>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row>
    <row r="1057" spans="1:37" ht="15" customHeight="1">
      <c r="A1057" s="1121" t="s">
        <v>642</v>
      </c>
      <c r="B1057" s="1121"/>
      <c r="C1057" s="328">
        <v>9</v>
      </c>
      <c r="D1057" s="984" t="s">
        <v>1250</v>
      </c>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row>
    <row r="1058" spans="1:37" ht="15" customHeight="1">
      <c r="A1058" s="62"/>
      <c r="B1058" s="66"/>
      <c r="C1058" s="328"/>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row>
    <row r="1059" spans="1:37" ht="15" hidden="1" customHeight="1">
      <c r="D1059" s="984"/>
      <c r="E1059" s="984"/>
      <c r="F1059" s="984"/>
      <c r="G1059" s="984"/>
      <c r="H1059" s="984"/>
      <c r="I1059" s="984"/>
      <c r="J1059" s="984"/>
      <c r="K1059" s="984"/>
      <c r="L1059" s="984"/>
      <c r="M1059" s="984"/>
      <c r="N1059" s="984"/>
      <c r="O1059" s="984"/>
      <c r="P1059" s="984"/>
      <c r="Q1059" s="984"/>
      <c r="R1059" s="984"/>
      <c r="S1059" s="984"/>
      <c r="T1059" s="984"/>
      <c r="U1059" s="984"/>
      <c r="V1059" s="984"/>
      <c r="W1059" s="984"/>
      <c r="X1059" s="984"/>
      <c r="Y1059" s="984"/>
      <c r="Z1059" s="984"/>
      <c r="AA1059" s="984"/>
      <c r="AB1059" s="984"/>
      <c r="AC1059" s="984"/>
      <c r="AD1059" s="984"/>
      <c r="AE1059" s="984"/>
      <c r="AF1059" s="984"/>
      <c r="AG1059" s="984"/>
      <c r="AH1059" s="984"/>
      <c r="AI1059" s="984"/>
      <c r="AJ1059" s="984"/>
      <c r="AK1059" s="98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8" zoomScaleSheetLayoutView="100" workbookViewId="0">
      <selection activeCell="E58" sqref="E5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7" t="s">
        <v>672</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406</v>
      </c>
      <c r="D2" s="216" t="s">
        <v>405</v>
      </c>
      <c r="E2" s="216" t="s">
        <v>27</v>
      </c>
      <c r="F2" s="217" t="str">
        <f>Application!B618&amp;Application!C618</f>
        <v>1)US Bank, N.A.</v>
      </c>
      <c r="G2" s="217" t="str">
        <f>Application!B619&amp;Application!C619</f>
        <v>2)HCD- MHP</v>
      </c>
      <c r="H2" s="217" t="str">
        <f>Application!B620&amp;Application!C620</f>
        <v>3)LACDA - NPLH</v>
      </c>
      <c r="I2" s="217" t="str">
        <f>Application!B621&amp;Application!C621</f>
        <v>4)LACDA - AHTF</v>
      </c>
      <c r="J2" s="217" t="str">
        <f>Application!B622&amp;Application!C622</f>
        <v>5)FHLB SF AHP</v>
      </c>
      <c r="K2" s="217" t="str">
        <f>Application!B623&amp;Application!C623</f>
        <v>6)GP Equity</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6890000</v>
      </c>
      <c r="C4" s="225">
        <v>6890000</v>
      </c>
      <c r="D4" s="225"/>
      <c r="E4" s="225"/>
      <c r="F4" s="225"/>
      <c r="G4" s="225"/>
      <c r="H4" s="225">
        <v>6440000</v>
      </c>
      <c r="I4" s="225">
        <v>450000</v>
      </c>
      <c r="J4" s="225"/>
      <c r="K4" s="225"/>
      <c r="L4" s="225"/>
      <c r="M4" s="225"/>
      <c r="N4" s="225"/>
      <c r="O4" s="225"/>
      <c r="P4" s="225"/>
      <c r="Q4" s="225"/>
      <c r="R4" s="916">
        <f>SUM(E4:Q4)</f>
        <v>6890000</v>
      </c>
      <c r="S4" s="226"/>
      <c r="T4" s="226"/>
      <c r="U4" s="221"/>
    </row>
    <row r="5" spans="1:21" s="222" customFormat="1">
      <c r="A5" s="223" t="s">
        <v>31</v>
      </c>
      <c r="B5" s="224">
        <f>SUM(C5+D5)</f>
        <v>145000</v>
      </c>
      <c r="C5" s="225">
        <v>145000</v>
      </c>
      <c r="D5" s="225"/>
      <c r="E5" s="225"/>
      <c r="F5" s="225"/>
      <c r="G5" s="225"/>
      <c r="H5" s="225"/>
      <c r="I5" s="225">
        <v>145000</v>
      </c>
      <c r="J5" s="225"/>
      <c r="K5" s="225"/>
      <c r="L5" s="225"/>
      <c r="M5" s="225"/>
      <c r="N5" s="225"/>
      <c r="O5" s="225"/>
      <c r="P5" s="225"/>
      <c r="Q5" s="225"/>
      <c r="R5" s="916">
        <f>SUM(E5:Q5)</f>
        <v>145000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7035000</v>
      </c>
      <c r="C8" s="224">
        <f t="shared" ref="C8:Q8" si="0">SUM(C4:C7)</f>
        <v>7035000</v>
      </c>
      <c r="D8" s="224">
        <f t="shared" si="0"/>
        <v>0</v>
      </c>
      <c r="E8" s="224">
        <f t="shared" si="0"/>
        <v>0</v>
      </c>
      <c r="F8" s="224">
        <f t="shared" si="0"/>
        <v>0</v>
      </c>
      <c r="G8" s="224">
        <f t="shared" si="0"/>
        <v>0</v>
      </c>
      <c r="H8" s="224">
        <f t="shared" si="0"/>
        <v>6440000</v>
      </c>
      <c r="I8" s="224">
        <f t="shared" si="0"/>
        <v>595000</v>
      </c>
      <c r="J8" s="224">
        <f t="shared" si="0"/>
        <v>0</v>
      </c>
      <c r="K8" s="224">
        <f t="shared" si="0"/>
        <v>0</v>
      </c>
      <c r="L8" s="224">
        <f t="shared" si="0"/>
        <v>0</v>
      </c>
      <c r="M8" s="224">
        <f t="shared" si="0"/>
        <v>0</v>
      </c>
      <c r="N8" s="224">
        <f t="shared" si="0"/>
        <v>0</v>
      </c>
      <c r="O8" s="224">
        <f t="shared" si="0"/>
        <v>0</v>
      </c>
      <c r="P8" s="224"/>
      <c r="Q8" s="224">
        <f t="shared" si="0"/>
        <v>0</v>
      </c>
      <c r="R8" s="558">
        <f>SUM(R4:R7)</f>
        <v>7035000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7035000</v>
      </c>
      <c r="C12" s="224">
        <f t="shared" si="2"/>
        <v>7035000</v>
      </c>
      <c r="D12" s="224">
        <f t="shared" si="2"/>
        <v>0</v>
      </c>
      <c r="E12" s="224">
        <f t="shared" si="2"/>
        <v>0</v>
      </c>
      <c r="F12" s="224">
        <f t="shared" si="2"/>
        <v>0</v>
      </c>
      <c r="G12" s="224">
        <f t="shared" si="2"/>
        <v>0</v>
      </c>
      <c r="H12" s="224">
        <f t="shared" si="2"/>
        <v>6440000</v>
      </c>
      <c r="I12" s="224">
        <f t="shared" si="2"/>
        <v>595000</v>
      </c>
      <c r="J12" s="224">
        <f t="shared" si="2"/>
        <v>0</v>
      </c>
      <c r="K12" s="224">
        <f t="shared" si="2"/>
        <v>0</v>
      </c>
      <c r="L12" s="224">
        <f t="shared" si="2"/>
        <v>0</v>
      </c>
      <c r="M12" s="224">
        <f t="shared" si="2"/>
        <v>0</v>
      </c>
      <c r="N12" s="224">
        <f t="shared" si="2"/>
        <v>0</v>
      </c>
      <c r="O12" s="224">
        <f t="shared" si="2"/>
        <v>0</v>
      </c>
      <c r="P12" s="224"/>
      <c r="Q12" s="224">
        <f t="shared" si="2"/>
        <v>0</v>
      </c>
      <c r="R12" s="558">
        <f>SUM(R8+R11)</f>
        <v>7035000</v>
      </c>
      <c r="S12" s="226"/>
      <c r="T12" s="226"/>
      <c r="U12" s="221"/>
    </row>
    <row r="13" spans="1:21" s="222" customFormat="1">
      <c r="A13" s="466" t="s">
        <v>1001</v>
      </c>
      <c r="B13" s="224">
        <f>SUM(C13+D13)</f>
        <v>250000</v>
      </c>
      <c r="C13" s="225">
        <v>250000</v>
      </c>
      <c r="D13" s="225"/>
      <c r="E13" s="225"/>
      <c r="F13" s="225"/>
      <c r="G13" s="225"/>
      <c r="H13" s="225"/>
      <c r="I13" s="225">
        <v>250000</v>
      </c>
      <c r="J13" s="225"/>
      <c r="K13" s="225"/>
      <c r="L13" s="225"/>
      <c r="M13" s="225"/>
      <c r="N13" s="225"/>
      <c r="O13" s="225"/>
      <c r="P13" s="225"/>
      <c r="Q13" s="225"/>
      <c r="R13" s="916">
        <f>SUM(E13:Q13)</f>
        <v>250000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801400</v>
      </c>
      <c r="C26" s="225">
        <v>801400</v>
      </c>
      <c r="D26" s="225"/>
      <c r="E26" s="225">
        <v>801400</v>
      </c>
      <c r="F26" s="225"/>
      <c r="G26" s="225"/>
      <c r="H26" s="225"/>
      <c r="I26" s="225"/>
      <c r="J26" s="225"/>
      <c r="K26" s="225"/>
      <c r="L26" s="225"/>
      <c r="M26" s="225"/>
      <c r="N26" s="225"/>
      <c r="O26" s="225"/>
      <c r="P26" s="225"/>
      <c r="Q26" s="225"/>
      <c r="R26" s="916">
        <f t="shared" si="4"/>
        <v>801400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2547380</v>
      </c>
      <c r="C28" s="225">
        <v>2547380</v>
      </c>
      <c r="D28" s="225"/>
      <c r="E28" s="225">
        <v>2547380</v>
      </c>
      <c r="F28" s="225"/>
      <c r="G28" s="225"/>
      <c r="H28" s="225"/>
      <c r="I28" s="225"/>
      <c r="J28" s="225"/>
      <c r="K28" s="225"/>
      <c r="L28" s="225"/>
      <c r="M28" s="225"/>
      <c r="N28" s="225"/>
      <c r="O28" s="225"/>
      <c r="P28" s="225"/>
      <c r="Q28" s="225"/>
      <c r="R28" s="916">
        <f t="shared" ref="R28:R35" si="7">SUM(E28:Q28)</f>
        <v>2547380</v>
      </c>
      <c r="S28" s="225">
        <v>2547380</v>
      </c>
      <c r="T28" s="225"/>
      <c r="U28" s="221"/>
    </row>
    <row r="29" spans="1:21" s="222" customFormat="1">
      <c r="A29" s="223" t="s">
        <v>650</v>
      </c>
      <c r="B29" s="224">
        <f t="shared" si="6"/>
        <v>21064690</v>
      </c>
      <c r="C29" s="225">
        <v>21064690</v>
      </c>
      <c r="D29" s="225"/>
      <c r="E29" s="225"/>
      <c r="F29" s="225">
        <v>4300000</v>
      </c>
      <c r="G29" s="225">
        <v>14719690</v>
      </c>
      <c r="H29" s="225"/>
      <c r="I29" s="225">
        <v>1155000</v>
      </c>
      <c r="J29" s="225">
        <v>890000</v>
      </c>
      <c r="K29" s="225"/>
      <c r="L29" s="225"/>
      <c r="M29" s="225"/>
      <c r="N29" s="225"/>
      <c r="O29" s="225"/>
      <c r="P29" s="225"/>
      <c r="Q29" s="225"/>
      <c r="R29" s="916">
        <f t="shared" si="7"/>
        <v>21064690</v>
      </c>
      <c r="S29" s="225">
        <v>21064690</v>
      </c>
      <c r="T29" s="225"/>
      <c r="U29" s="221"/>
    </row>
    <row r="30" spans="1:21" s="222" customFormat="1">
      <c r="A30" s="223" t="s">
        <v>651</v>
      </c>
      <c r="B30" s="224">
        <f t="shared" si="6"/>
        <v>1187854</v>
      </c>
      <c r="C30" s="225">
        <v>1187854</v>
      </c>
      <c r="D30" s="225"/>
      <c r="E30" s="225"/>
      <c r="F30" s="225"/>
      <c r="G30" s="225">
        <v>1187854</v>
      </c>
      <c r="H30" s="225"/>
      <c r="I30" s="225"/>
      <c r="J30" s="225"/>
      <c r="K30" s="225"/>
      <c r="L30" s="225"/>
      <c r="M30" s="225"/>
      <c r="N30" s="225"/>
      <c r="O30" s="225"/>
      <c r="P30" s="225"/>
      <c r="Q30" s="225"/>
      <c r="R30" s="916">
        <f t="shared" si="7"/>
        <v>1187854</v>
      </c>
      <c r="S30" s="225">
        <v>1187854</v>
      </c>
      <c r="T30" s="225"/>
      <c r="U30" s="221"/>
    </row>
    <row r="31" spans="1:21" s="222" customFormat="1">
      <c r="A31" s="223" t="s">
        <v>144</v>
      </c>
      <c r="B31" s="224">
        <f t="shared" si="6"/>
        <v>475141</v>
      </c>
      <c r="C31" s="225">
        <v>475141</v>
      </c>
      <c r="D31" s="225"/>
      <c r="E31" s="225">
        <v>71070</v>
      </c>
      <c r="F31" s="225"/>
      <c r="G31" s="225">
        <v>404071</v>
      </c>
      <c r="H31" s="225"/>
      <c r="I31" s="225"/>
      <c r="J31" s="225"/>
      <c r="K31" s="225"/>
      <c r="L31" s="225"/>
      <c r="M31" s="225"/>
      <c r="N31" s="225"/>
      <c r="O31" s="225"/>
      <c r="P31" s="225"/>
      <c r="Q31" s="225"/>
      <c r="R31" s="916">
        <f t="shared" si="7"/>
        <v>475141</v>
      </c>
      <c r="S31" s="225">
        <v>475141</v>
      </c>
      <c r="T31" s="225"/>
      <c r="U31" s="221"/>
    </row>
    <row r="32" spans="1:21" s="222" customFormat="1">
      <c r="A32" s="223" t="s">
        <v>145</v>
      </c>
      <c r="B32" s="224">
        <f t="shared" si="6"/>
        <v>1425424</v>
      </c>
      <c r="C32" s="225">
        <v>1425424</v>
      </c>
      <c r="D32" s="225"/>
      <c r="E32" s="225">
        <v>1425424</v>
      </c>
      <c r="F32" s="225"/>
      <c r="G32" s="225"/>
      <c r="H32" s="225"/>
      <c r="I32" s="225"/>
      <c r="J32" s="225"/>
      <c r="K32" s="225"/>
      <c r="L32" s="225"/>
      <c r="M32" s="225"/>
      <c r="N32" s="225"/>
      <c r="O32" s="225"/>
      <c r="P32" s="225"/>
      <c r="Q32" s="225"/>
      <c r="R32" s="916">
        <f t="shared" si="7"/>
        <v>1425424</v>
      </c>
      <c r="S32" s="225">
        <v>1425424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250000</v>
      </c>
      <c r="C34" s="225">
        <v>250000</v>
      </c>
      <c r="D34" s="225"/>
      <c r="E34" s="225">
        <v>250000</v>
      </c>
      <c r="F34" s="225"/>
      <c r="G34" s="225"/>
      <c r="H34" s="225"/>
      <c r="I34" s="225"/>
      <c r="J34" s="225"/>
      <c r="K34" s="225"/>
      <c r="L34" s="225"/>
      <c r="M34" s="225"/>
      <c r="N34" s="225"/>
      <c r="O34" s="225"/>
      <c r="P34" s="225"/>
      <c r="Q34" s="225"/>
      <c r="R34" s="916">
        <f t="shared" si="7"/>
        <v>250000</v>
      </c>
      <c r="S34" s="225">
        <v>250000</v>
      </c>
      <c r="T34" s="225"/>
      <c r="U34" s="221"/>
    </row>
    <row r="35" spans="1:21" s="222" customFormat="1">
      <c r="A35" s="955" t="s">
        <v>1752</v>
      </c>
      <c r="B35" s="224">
        <f t="shared" si="6"/>
        <v>270000</v>
      </c>
      <c r="C35" s="225">
        <v>270000</v>
      </c>
      <c r="D35" s="225"/>
      <c r="E35" s="225">
        <v>270000</v>
      </c>
      <c r="F35" s="225"/>
      <c r="G35" s="225"/>
      <c r="H35" s="225"/>
      <c r="I35" s="225"/>
      <c r="J35" s="225"/>
      <c r="K35" s="225"/>
      <c r="L35" s="225"/>
      <c r="M35" s="225"/>
      <c r="N35" s="225"/>
      <c r="O35" s="225"/>
      <c r="P35" s="225"/>
      <c r="Q35" s="225"/>
      <c r="R35" s="916">
        <f t="shared" si="7"/>
        <v>270000</v>
      </c>
      <c r="S35" s="225">
        <v>270000</v>
      </c>
      <c r="T35" s="225"/>
      <c r="U35" s="221"/>
    </row>
    <row r="36" spans="1:21" s="222" customFormat="1">
      <c r="A36" s="227" t="s">
        <v>150</v>
      </c>
      <c r="B36" s="224">
        <f t="shared" si="6"/>
        <v>27220489</v>
      </c>
      <c r="C36" s="224">
        <f>SUM(C28:C35)</f>
        <v>27220489</v>
      </c>
      <c r="D36" s="224">
        <f t="shared" ref="D36:Q36" si="8">SUM(D28:D35)</f>
        <v>0</v>
      </c>
      <c r="E36" s="224">
        <f t="shared" si="8"/>
        <v>4563874</v>
      </c>
      <c r="F36" s="224">
        <f t="shared" si="8"/>
        <v>4300000</v>
      </c>
      <c r="G36" s="224">
        <f t="shared" si="8"/>
        <v>16311615</v>
      </c>
      <c r="H36" s="224">
        <f t="shared" si="8"/>
        <v>0</v>
      </c>
      <c r="I36" s="224">
        <f t="shared" si="8"/>
        <v>1155000</v>
      </c>
      <c r="J36" s="224">
        <f t="shared" si="8"/>
        <v>890000</v>
      </c>
      <c r="K36" s="224">
        <f t="shared" si="8"/>
        <v>0</v>
      </c>
      <c r="L36" s="224">
        <f t="shared" si="8"/>
        <v>0</v>
      </c>
      <c r="M36" s="224">
        <f t="shared" si="8"/>
        <v>0</v>
      </c>
      <c r="N36" s="224">
        <f t="shared" si="8"/>
        <v>0</v>
      </c>
      <c r="O36" s="224">
        <f t="shared" si="8"/>
        <v>0</v>
      </c>
      <c r="P36" s="224">
        <f t="shared" si="8"/>
        <v>0</v>
      </c>
      <c r="Q36" s="224">
        <f t="shared" si="8"/>
        <v>0</v>
      </c>
      <c r="R36" s="558">
        <f>SUM(R28:R35)</f>
        <v>27220489</v>
      </c>
      <c r="S36" s="228">
        <f>SUM(S28:S35)</f>
        <v>27220489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759990</v>
      </c>
      <c r="C38" s="225">
        <v>759990</v>
      </c>
      <c r="D38" s="225"/>
      <c r="E38" s="225">
        <v>759990</v>
      </c>
      <c r="F38" s="225"/>
      <c r="G38" s="225"/>
      <c r="H38" s="225"/>
      <c r="I38" s="225"/>
      <c r="J38" s="225"/>
      <c r="K38" s="225"/>
      <c r="L38" s="225"/>
      <c r="M38" s="225"/>
      <c r="N38" s="225"/>
      <c r="O38" s="225"/>
      <c r="P38" s="225"/>
      <c r="Q38" s="225"/>
      <c r="R38" s="916">
        <f>SUM(E38:Q38)</f>
        <v>759990</v>
      </c>
      <c r="S38" s="225">
        <v>759990</v>
      </c>
      <c r="T38" s="225"/>
      <c r="U38" s="221"/>
    </row>
    <row r="39" spans="1:21" s="222" customFormat="1">
      <c r="A39" s="223" t="s">
        <v>153</v>
      </c>
      <c r="B39" s="224">
        <f>SUM(C39+D39)</f>
        <v>160000</v>
      </c>
      <c r="C39" s="225">
        <v>160000</v>
      </c>
      <c r="D39" s="225"/>
      <c r="E39" s="225">
        <v>160000</v>
      </c>
      <c r="F39" s="225"/>
      <c r="G39" s="225"/>
      <c r="H39" s="225"/>
      <c r="I39" s="225"/>
      <c r="J39" s="225"/>
      <c r="K39" s="225"/>
      <c r="L39" s="225"/>
      <c r="M39" s="225"/>
      <c r="N39" s="225"/>
      <c r="O39" s="225"/>
      <c r="P39" s="225"/>
      <c r="Q39" s="225"/>
      <c r="R39" s="916">
        <f>SUM(E39:Q39)</f>
        <v>160000</v>
      </c>
      <c r="S39" s="225">
        <v>160000</v>
      </c>
      <c r="T39" s="225"/>
      <c r="U39" s="221"/>
    </row>
    <row r="40" spans="1:21" s="222" customFormat="1">
      <c r="A40" s="227" t="s">
        <v>154</v>
      </c>
      <c r="B40" s="224">
        <f>SUM(C40:D40)</f>
        <v>919990</v>
      </c>
      <c r="C40" s="224">
        <f>SUM(C37:C39)</f>
        <v>919990</v>
      </c>
      <c r="D40" s="224">
        <f>SUM(D37:D39)</f>
        <v>0</v>
      </c>
      <c r="E40" s="224">
        <f t="shared" ref="E40:T40" si="9">SUM(E38:E39)</f>
        <v>919990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919990</v>
      </c>
      <c r="S40" s="228">
        <f t="shared" si="9"/>
        <v>919990</v>
      </c>
      <c r="T40" s="228">
        <f t="shared" si="9"/>
        <v>0</v>
      </c>
      <c r="U40" s="221"/>
    </row>
    <row r="41" spans="1:21" s="222" customFormat="1">
      <c r="A41" s="227" t="s">
        <v>155</v>
      </c>
      <c r="B41" s="224">
        <f>SUM(C41:D41)</f>
        <v>446660</v>
      </c>
      <c r="C41" s="225">
        <f>524160-77500</f>
        <v>446660</v>
      </c>
      <c r="D41" s="225"/>
      <c r="E41" s="225">
        <f>C41</f>
        <v>446660</v>
      </c>
      <c r="F41" s="225"/>
      <c r="G41" s="225"/>
      <c r="H41" s="225"/>
      <c r="I41" s="225"/>
      <c r="J41" s="225"/>
      <c r="K41" s="225"/>
      <c r="L41" s="225"/>
      <c r="M41" s="225"/>
      <c r="N41" s="225"/>
      <c r="O41" s="225"/>
      <c r="P41" s="225"/>
      <c r="Q41" s="225"/>
      <c r="R41" s="916">
        <f>SUM(E41:Q41)</f>
        <v>446660</v>
      </c>
      <c r="S41" s="225">
        <f>R41</f>
        <v>446660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1325000</v>
      </c>
      <c r="C43" s="225">
        <v>1325000</v>
      </c>
      <c r="D43" s="225"/>
      <c r="E43" s="225">
        <v>1325000</v>
      </c>
      <c r="F43" s="225"/>
      <c r="G43" s="225"/>
      <c r="H43" s="225"/>
      <c r="I43" s="225"/>
      <c r="J43" s="225"/>
      <c r="K43" s="225"/>
      <c r="L43" s="225"/>
      <c r="M43" s="225"/>
      <c r="N43" s="225"/>
      <c r="O43" s="225"/>
      <c r="P43" s="225"/>
      <c r="Q43" s="225"/>
      <c r="R43" s="916">
        <f t="shared" ref="R43:R52" si="11">SUM(E43:Q43)</f>
        <v>1325000</v>
      </c>
      <c r="S43" s="225">
        <v>1175150</v>
      </c>
      <c r="T43" s="225"/>
      <c r="U43" s="221"/>
    </row>
    <row r="44" spans="1:21" s="222" customFormat="1">
      <c r="A44" s="223" t="s">
        <v>158</v>
      </c>
      <c r="B44" s="224">
        <f t="shared" si="10"/>
        <v>270000</v>
      </c>
      <c r="C44" s="225">
        <v>270000</v>
      </c>
      <c r="D44" s="225"/>
      <c r="E44" s="225">
        <v>270000</v>
      </c>
      <c r="F44" s="225"/>
      <c r="G44" s="225"/>
      <c r="H44" s="225"/>
      <c r="I44" s="225"/>
      <c r="J44" s="225"/>
      <c r="K44" s="225"/>
      <c r="L44" s="225"/>
      <c r="M44" s="225"/>
      <c r="N44" s="225"/>
      <c r="O44" s="225"/>
      <c r="P44" s="225"/>
      <c r="Q44" s="225"/>
      <c r="R44" s="916">
        <f t="shared" si="11"/>
        <v>270000</v>
      </c>
      <c r="S44" s="225">
        <f>18000+112500</f>
        <v>130500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460000</v>
      </c>
      <c r="C47" s="225">
        <v>460000</v>
      </c>
      <c r="D47" s="225"/>
      <c r="E47" s="225">
        <v>460000</v>
      </c>
      <c r="F47" s="225"/>
      <c r="G47" s="225"/>
      <c r="H47" s="225"/>
      <c r="I47" s="225"/>
      <c r="J47" s="225"/>
      <c r="K47" s="225"/>
      <c r="L47" s="225"/>
      <c r="M47" s="225"/>
      <c r="N47" s="225"/>
      <c r="O47" s="225"/>
      <c r="P47" s="225"/>
      <c r="Q47" s="225"/>
      <c r="R47" s="916">
        <f t="shared" si="11"/>
        <v>460000</v>
      </c>
      <c r="S47" s="225">
        <v>46666</v>
      </c>
      <c r="T47" s="225"/>
      <c r="U47" s="221"/>
    </row>
    <row r="48" spans="1:21" s="222" customFormat="1">
      <c r="A48" s="223" t="s">
        <v>163</v>
      </c>
      <c r="B48" s="224">
        <f t="shared" si="10"/>
        <v>50000</v>
      </c>
      <c r="C48" s="225">
        <v>50000</v>
      </c>
      <c r="D48" s="225"/>
      <c r="E48" s="225">
        <v>50000</v>
      </c>
      <c r="F48" s="225"/>
      <c r="G48" s="225"/>
      <c r="H48" s="225"/>
      <c r="I48" s="225"/>
      <c r="J48" s="225"/>
      <c r="K48" s="225"/>
      <c r="L48" s="225"/>
      <c r="M48" s="225"/>
      <c r="N48" s="225"/>
      <c r="O48" s="225"/>
      <c r="P48" s="225"/>
      <c r="Q48" s="225"/>
      <c r="R48" s="916">
        <f t="shared" si="11"/>
        <v>50000</v>
      </c>
      <c r="S48" s="225">
        <v>50000</v>
      </c>
      <c r="T48" s="225"/>
      <c r="U48" s="221"/>
    </row>
    <row r="49" spans="1:21" s="222" customFormat="1">
      <c r="A49" s="457" t="s">
        <v>161</v>
      </c>
      <c r="B49" s="224">
        <f t="shared" si="10"/>
        <v>126000</v>
      </c>
      <c r="C49" s="225">
        <v>126000</v>
      </c>
      <c r="D49" s="225"/>
      <c r="E49" s="225">
        <v>126000</v>
      </c>
      <c r="F49" s="225"/>
      <c r="G49" s="225"/>
      <c r="H49" s="225"/>
      <c r="I49" s="225"/>
      <c r="J49" s="225"/>
      <c r="K49" s="225"/>
      <c r="L49" s="225"/>
      <c r="M49" s="225"/>
      <c r="N49" s="225"/>
      <c r="O49" s="225"/>
      <c r="P49" s="225"/>
      <c r="Q49" s="225"/>
      <c r="R49" s="916">
        <f t="shared" si="11"/>
        <v>126000</v>
      </c>
      <c r="S49" s="225">
        <v>126000</v>
      </c>
      <c r="T49" s="225"/>
      <c r="U49" s="221"/>
    </row>
    <row r="50" spans="1:21" s="222" customFormat="1">
      <c r="A50" s="223" t="s">
        <v>162</v>
      </c>
      <c r="B50" s="224">
        <f t="shared" si="10"/>
        <v>40000</v>
      </c>
      <c r="C50" s="225">
        <v>40000</v>
      </c>
      <c r="D50" s="225"/>
      <c r="E50" s="225">
        <v>40000</v>
      </c>
      <c r="F50" s="225"/>
      <c r="G50" s="225"/>
      <c r="H50" s="225"/>
      <c r="I50" s="225"/>
      <c r="J50" s="225"/>
      <c r="K50" s="225"/>
      <c r="L50" s="225"/>
      <c r="M50" s="225"/>
      <c r="N50" s="225"/>
      <c r="O50" s="225"/>
      <c r="P50" s="225"/>
      <c r="Q50" s="225"/>
      <c r="R50" s="916">
        <f t="shared" si="11"/>
        <v>40000</v>
      </c>
      <c r="S50" s="225">
        <v>40000</v>
      </c>
      <c r="T50" s="225"/>
      <c r="U50" s="221"/>
    </row>
    <row r="51" spans="1:21" s="222" customFormat="1">
      <c r="A51" s="955" t="s">
        <v>1753</v>
      </c>
      <c r="B51" s="224">
        <f t="shared" si="10"/>
        <v>24000</v>
      </c>
      <c r="C51" s="225">
        <v>24000</v>
      </c>
      <c r="D51" s="225"/>
      <c r="E51" s="225">
        <v>24000</v>
      </c>
      <c r="F51" s="225"/>
      <c r="G51" s="225"/>
      <c r="H51" s="225"/>
      <c r="I51" s="225"/>
      <c r="J51" s="225"/>
      <c r="K51" s="225"/>
      <c r="L51" s="225"/>
      <c r="M51" s="225"/>
      <c r="N51" s="225"/>
      <c r="O51" s="225"/>
      <c r="P51" s="225"/>
      <c r="Q51" s="225"/>
      <c r="R51" s="916">
        <f t="shared" si="11"/>
        <v>24000</v>
      </c>
      <c r="S51" s="225">
        <v>24000</v>
      </c>
      <c r="T51" s="225"/>
      <c r="U51" s="221"/>
    </row>
    <row r="52" spans="1:21" s="222" customFormat="1">
      <c r="A52" s="955" t="s">
        <v>1754</v>
      </c>
      <c r="B52" s="224">
        <f t="shared" si="10"/>
        <v>275000</v>
      </c>
      <c r="C52" s="225">
        <v>275000</v>
      </c>
      <c r="D52" s="225"/>
      <c r="E52" s="225">
        <v>275000</v>
      </c>
      <c r="F52" s="225"/>
      <c r="G52" s="225"/>
      <c r="H52" s="225"/>
      <c r="I52" s="225"/>
      <c r="J52" s="225"/>
      <c r="K52" s="225"/>
      <c r="L52" s="225"/>
      <c r="M52" s="225"/>
      <c r="N52" s="225"/>
      <c r="O52" s="225"/>
      <c r="P52" s="225"/>
      <c r="Q52" s="225"/>
      <c r="R52" s="916">
        <f t="shared" si="11"/>
        <v>275000</v>
      </c>
      <c r="S52" s="225">
        <v>225000</v>
      </c>
      <c r="T52" s="225"/>
      <c r="U52" s="221"/>
    </row>
    <row r="53" spans="1:21" s="232" customFormat="1">
      <c r="A53" s="227" t="s">
        <v>164</v>
      </c>
      <c r="B53" s="228">
        <f>SUM(C53:D53)</f>
        <v>2570000</v>
      </c>
      <c r="C53" s="228">
        <f t="shared" ref="C53:T53" si="12">SUM(C43:C52)</f>
        <v>2570000</v>
      </c>
      <c r="D53" s="228">
        <f t="shared" si="12"/>
        <v>0</v>
      </c>
      <c r="E53" s="228">
        <f t="shared" si="12"/>
        <v>2570000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2570000</v>
      </c>
      <c r="S53" s="228">
        <f t="shared" si="12"/>
        <v>1817316</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43000</v>
      </c>
      <c r="C55" s="225">
        <v>43000</v>
      </c>
      <c r="D55" s="225"/>
      <c r="E55" s="225">
        <v>43000</v>
      </c>
      <c r="F55" s="225"/>
      <c r="G55" s="225"/>
      <c r="H55" s="225"/>
      <c r="I55" s="225"/>
      <c r="J55" s="225"/>
      <c r="K55" s="225"/>
      <c r="L55" s="225"/>
      <c r="M55" s="225"/>
      <c r="N55" s="225"/>
      <c r="O55" s="225"/>
      <c r="P55" s="225"/>
      <c r="Q55" s="225"/>
      <c r="R55" s="916">
        <f t="shared" ref="R55:R61" si="14">SUM(E55:Q55)</f>
        <v>43000</v>
      </c>
      <c r="S55" s="226"/>
      <c r="T55" s="226"/>
      <c r="U55" s="221"/>
    </row>
    <row r="56" spans="1:21" s="313" customFormat="1">
      <c r="A56" s="307" t="s">
        <v>159</v>
      </c>
      <c r="B56" s="314">
        <f t="shared" si="13"/>
        <v>15000</v>
      </c>
      <c r="C56" s="311">
        <v>15000</v>
      </c>
      <c r="D56" s="311"/>
      <c r="E56" s="311">
        <v>15000</v>
      </c>
      <c r="F56" s="311"/>
      <c r="G56" s="311"/>
      <c r="H56" s="311"/>
      <c r="I56" s="311"/>
      <c r="J56" s="311"/>
      <c r="K56" s="311"/>
      <c r="L56" s="311"/>
      <c r="M56" s="311"/>
      <c r="N56" s="311"/>
      <c r="O56" s="311"/>
      <c r="P56" s="311"/>
      <c r="Q56" s="311"/>
      <c r="R56" s="916">
        <f t="shared" si="14"/>
        <v>15000</v>
      </c>
      <c r="S56" s="315"/>
      <c r="T56" s="315"/>
      <c r="U56" s="312"/>
    </row>
    <row r="57" spans="1:21" s="222" customFormat="1">
      <c r="A57" s="223" t="s">
        <v>163</v>
      </c>
      <c r="B57" s="224">
        <f t="shared" si="13"/>
        <v>18834</v>
      </c>
      <c r="C57" s="225">
        <v>18834</v>
      </c>
      <c r="D57" s="225"/>
      <c r="E57" s="225">
        <v>18834</v>
      </c>
      <c r="F57" s="225"/>
      <c r="G57" s="225"/>
      <c r="H57" s="225"/>
      <c r="I57" s="225"/>
      <c r="J57" s="225"/>
      <c r="K57" s="225"/>
      <c r="L57" s="225"/>
      <c r="M57" s="225"/>
      <c r="N57" s="225"/>
      <c r="O57" s="225"/>
      <c r="P57" s="225"/>
      <c r="Q57" s="225"/>
      <c r="R57" s="916">
        <f t="shared" si="14"/>
        <v>18834</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76834</v>
      </c>
      <c r="C62" s="224">
        <f t="shared" ref="C62:Q62" si="15">SUM(C55:C61)</f>
        <v>76834</v>
      </c>
      <c r="D62" s="224">
        <f t="shared" si="15"/>
        <v>0</v>
      </c>
      <c r="E62" s="224">
        <f t="shared" si="15"/>
        <v>76834</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76834</v>
      </c>
      <c r="S62" s="226"/>
      <c r="T62" s="226"/>
      <c r="U62" s="221"/>
    </row>
    <row r="63" spans="1:21" s="222" customFormat="1">
      <c r="A63" s="233" t="s">
        <v>321</v>
      </c>
      <c r="B63" s="224">
        <f>SUM(B8+B11+B13+B14+B15+B25+B26+B36+B40+B41+B53+B62)</f>
        <v>39320373</v>
      </c>
      <c r="C63" s="224">
        <f t="shared" ref="C63:Q63" si="16">SUM(C8+C11+C13+C14+C15+C25+C26+C36+C40+C41+C53+C62)</f>
        <v>39320373</v>
      </c>
      <c r="D63" s="224">
        <f t="shared" si="16"/>
        <v>0</v>
      </c>
      <c r="E63" s="224">
        <f t="shared" si="16"/>
        <v>9378758</v>
      </c>
      <c r="F63" s="224">
        <f t="shared" si="16"/>
        <v>4300000</v>
      </c>
      <c r="G63" s="224">
        <f t="shared" si="16"/>
        <v>16311615</v>
      </c>
      <c r="H63" s="224">
        <f t="shared" si="16"/>
        <v>6440000</v>
      </c>
      <c r="I63" s="224">
        <f t="shared" si="16"/>
        <v>2000000</v>
      </c>
      <c r="J63" s="224">
        <f t="shared" si="16"/>
        <v>890000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39320373</v>
      </c>
      <c r="S63" s="224">
        <f>SUM(S10+S13+S14+S15+S25+S26+S36+S40+S41+S53)</f>
        <v>30404455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110000</v>
      </c>
      <c r="C65" s="225">
        <f>180000-70000</f>
        <v>110000</v>
      </c>
      <c r="D65" s="225"/>
      <c r="E65" s="225">
        <f>C65</f>
        <v>110000</v>
      </c>
      <c r="F65" s="225"/>
      <c r="G65" s="225"/>
      <c r="H65" s="225"/>
      <c r="I65" s="225"/>
      <c r="J65" s="225"/>
      <c r="K65" s="225"/>
      <c r="L65" s="225"/>
      <c r="M65" s="225"/>
      <c r="N65" s="225"/>
      <c r="O65" s="225"/>
      <c r="P65" s="225"/>
      <c r="Q65" s="225"/>
      <c r="R65" s="916">
        <f>SUM(E65:Q65)</f>
        <v>110000</v>
      </c>
      <c r="S65" s="225">
        <v>100000</v>
      </c>
      <c r="T65" s="225"/>
      <c r="U65" s="221"/>
    </row>
    <row r="66" spans="1:21" s="222" customFormat="1">
      <c r="A66" s="955"/>
      <c r="B66" s="224">
        <f>SUM(C66+D66)</f>
        <v>0</v>
      </c>
      <c r="C66" s="225"/>
      <c r="D66" s="225"/>
      <c r="E66" s="225">
        <f>C66</f>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110000</v>
      </c>
      <c r="C67" s="224">
        <f>SUM(C64:C66)</f>
        <v>110000</v>
      </c>
      <c r="D67" s="224">
        <f>SUM(D64:D66)</f>
        <v>0</v>
      </c>
      <c r="E67" s="224">
        <f t="shared" ref="E67:T67" si="17">SUM(E65:E66)</f>
        <v>110000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110000</v>
      </c>
      <c r="S67" s="228">
        <f>SUM(S65:S66)</f>
        <v>100000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588288</v>
      </c>
      <c r="C70" s="225">
        <v>588288</v>
      </c>
      <c r="D70" s="225"/>
      <c r="E70" s="225">
        <v>588288</v>
      </c>
      <c r="F70" s="225"/>
      <c r="G70" s="225"/>
      <c r="H70" s="225"/>
      <c r="I70" s="225"/>
      <c r="J70" s="225"/>
      <c r="K70" s="225"/>
      <c r="L70" s="225"/>
      <c r="M70" s="225"/>
      <c r="N70" s="225"/>
      <c r="O70" s="225"/>
      <c r="P70" s="225"/>
      <c r="Q70" s="225"/>
      <c r="R70" s="916">
        <f>SUM(E70:Q70)</f>
        <v>588288</v>
      </c>
      <c r="S70" s="226"/>
      <c r="T70" s="226"/>
      <c r="U70" s="221"/>
    </row>
    <row r="71" spans="1:21" s="222" customFormat="1">
      <c r="A71" s="762" t="s">
        <v>1123</v>
      </c>
      <c r="B71" s="224">
        <f>SUM(C71+D71)</f>
        <v>45500</v>
      </c>
      <c r="C71" s="225">
        <v>45500</v>
      </c>
      <c r="D71" s="225"/>
      <c r="E71" s="225">
        <v>45500</v>
      </c>
      <c r="F71" s="225"/>
      <c r="G71" s="225"/>
      <c r="H71" s="225"/>
      <c r="I71" s="225"/>
      <c r="J71" s="225"/>
      <c r="K71" s="225"/>
      <c r="L71" s="225"/>
      <c r="M71" s="225"/>
      <c r="N71" s="225"/>
      <c r="O71" s="225"/>
      <c r="P71" s="225"/>
      <c r="Q71" s="225"/>
      <c r="R71" s="916">
        <f>SUM(E71:Q71)</f>
        <v>45500</v>
      </c>
      <c r="S71" s="226"/>
      <c r="T71" s="226"/>
      <c r="U71" s="221"/>
    </row>
    <row r="72" spans="1:21" s="222" customFormat="1">
      <c r="A72" s="223" t="s">
        <v>656</v>
      </c>
      <c r="B72" s="224">
        <f>SUM(C72+D72)</f>
        <v>294563</v>
      </c>
      <c r="C72" s="225">
        <v>294563</v>
      </c>
      <c r="D72" s="225"/>
      <c r="E72" s="225">
        <v>294563</v>
      </c>
      <c r="F72" s="225"/>
      <c r="G72" s="225"/>
      <c r="H72" s="225"/>
      <c r="I72" s="225"/>
      <c r="J72" s="225"/>
      <c r="K72" s="225"/>
      <c r="L72" s="225"/>
      <c r="M72" s="225"/>
      <c r="N72" s="225"/>
      <c r="O72" s="225"/>
      <c r="P72" s="225"/>
      <c r="Q72" s="225"/>
      <c r="R72" s="916">
        <f>SUM(E72:Q72)</f>
        <v>294563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928351</v>
      </c>
      <c r="C74" s="224">
        <f>SUM(C69:C73)</f>
        <v>928351</v>
      </c>
      <c r="D74" s="224">
        <f>SUM(D69:D73)</f>
        <v>0</v>
      </c>
      <c r="E74" s="224">
        <f t="shared" ref="E74:Q74" si="18">SUM(E69:E73)</f>
        <v>928351</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928351</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1544210</v>
      </c>
      <c r="C76" s="225">
        <v>1544210</v>
      </c>
      <c r="D76" s="225"/>
      <c r="E76" s="225">
        <v>1544210</v>
      </c>
      <c r="F76" s="225"/>
      <c r="G76" s="225"/>
      <c r="H76" s="225"/>
      <c r="I76" s="225"/>
      <c r="J76" s="225"/>
      <c r="K76" s="225"/>
      <c r="L76" s="225"/>
      <c r="M76" s="225"/>
      <c r="N76" s="225"/>
      <c r="O76" s="225"/>
      <c r="P76" s="225"/>
      <c r="Q76" s="225"/>
      <c r="R76" s="916">
        <f>SUM(E76:Q76)</f>
        <v>1544210</v>
      </c>
      <c r="S76" s="225">
        <v>1544210</v>
      </c>
      <c r="T76" s="225"/>
      <c r="U76" s="221"/>
    </row>
    <row r="77" spans="1:21" s="222" customFormat="1">
      <c r="A77" s="457" t="s">
        <v>63</v>
      </c>
      <c r="B77" s="224">
        <f>SUM(C77:D77)</f>
        <v>120000</v>
      </c>
      <c r="C77" s="225">
        <v>120000</v>
      </c>
      <c r="D77" s="225"/>
      <c r="E77" s="225">
        <v>120000</v>
      </c>
      <c r="F77" s="225"/>
      <c r="G77" s="225"/>
      <c r="H77" s="225"/>
      <c r="I77" s="225"/>
      <c r="J77" s="225"/>
      <c r="K77" s="225"/>
      <c r="L77" s="225"/>
      <c r="M77" s="225"/>
      <c r="N77" s="225"/>
      <c r="O77" s="225"/>
      <c r="P77" s="225"/>
      <c r="Q77" s="225"/>
      <c r="R77" s="916">
        <f>SUM(E77:Q77)</f>
        <v>120000</v>
      </c>
      <c r="S77" s="225">
        <v>100000</v>
      </c>
      <c r="T77" s="225"/>
      <c r="U77" s="221"/>
    </row>
    <row r="78" spans="1:21" s="222" customFormat="1">
      <c r="A78" s="227" t="s">
        <v>1468</v>
      </c>
      <c r="B78" s="224">
        <f>SUM(C78:D78)</f>
        <v>1664210</v>
      </c>
      <c r="C78" s="890">
        <f>SUM(C76:C77)</f>
        <v>1664210</v>
      </c>
      <c r="D78" s="890">
        <f t="shared" ref="D78:T78" si="19">SUM(D76:D77)</f>
        <v>0</v>
      </c>
      <c r="E78" s="890">
        <f t="shared" si="19"/>
        <v>1664210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1664210</v>
      </c>
      <c r="S78" s="890">
        <f t="shared" si="19"/>
        <v>1644210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89086</v>
      </c>
      <c r="C80" s="225">
        <v>89086</v>
      </c>
      <c r="D80" s="225"/>
      <c r="E80" s="225">
        <v>89086</v>
      </c>
      <c r="F80" s="225"/>
      <c r="G80" s="225"/>
      <c r="H80" s="225"/>
      <c r="I80" s="225"/>
      <c r="J80" s="225"/>
      <c r="K80" s="225"/>
      <c r="L80" s="225"/>
      <c r="M80" s="225"/>
      <c r="N80" s="225"/>
      <c r="O80" s="225"/>
      <c r="P80" s="225"/>
      <c r="Q80" s="225"/>
      <c r="R80" s="916">
        <f t="shared" ref="R80:R94" si="21">SUM(E80:Q80)</f>
        <v>89086</v>
      </c>
      <c r="S80" s="226"/>
      <c r="T80" s="226"/>
      <c r="U80" s="221"/>
    </row>
    <row r="81" spans="1:21" s="222" customFormat="1">
      <c r="A81" s="223" t="s">
        <v>846</v>
      </c>
      <c r="B81" s="224">
        <f t="shared" si="20"/>
        <v>40000</v>
      </c>
      <c r="C81" s="225">
        <v>40000</v>
      </c>
      <c r="D81" s="225"/>
      <c r="E81" s="225">
        <v>40000</v>
      </c>
      <c r="F81" s="225"/>
      <c r="G81" s="225"/>
      <c r="H81" s="225"/>
      <c r="I81" s="225"/>
      <c r="J81" s="225"/>
      <c r="K81" s="225"/>
      <c r="L81" s="225"/>
      <c r="M81" s="225"/>
      <c r="N81" s="225"/>
      <c r="O81" s="225"/>
      <c r="P81" s="225"/>
      <c r="Q81" s="225"/>
      <c r="R81" s="916">
        <f t="shared" si="21"/>
        <v>40000</v>
      </c>
      <c r="S81" s="225">
        <v>40000</v>
      </c>
      <c r="T81" s="225"/>
      <c r="U81" s="221"/>
    </row>
    <row r="82" spans="1:21" s="222" customFormat="1">
      <c r="A82" s="223" t="s">
        <v>847</v>
      </c>
      <c r="B82" s="224">
        <f t="shared" si="20"/>
        <v>450965</v>
      </c>
      <c r="C82" s="225">
        <v>450965</v>
      </c>
      <c r="D82" s="225"/>
      <c r="E82" s="225">
        <v>450965</v>
      </c>
      <c r="F82" s="225"/>
      <c r="G82" s="225"/>
      <c r="H82" s="225"/>
      <c r="I82" s="225"/>
      <c r="J82" s="225"/>
      <c r="K82" s="225"/>
      <c r="L82" s="225"/>
      <c r="M82" s="225"/>
      <c r="N82" s="225"/>
      <c r="O82" s="225"/>
      <c r="P82" s="225"/>
      <c r="Q82" s="225"/>
      <c r="R82" s="916">
        <f t="shared" si="21"/>
        <v>450965</v>
      </c>
      <c r="S82" s="225">
        <v>450965</v>
      </c>
      <c r="T82" s="225"/>
      <c r="U82" s="221"/>
    </row>
    <row r="83" spans="1:21" s="222" customFormat="1">
      <c r="A83" s="223" t="s">
        <v>848</v>
      </c>
      <c r="B83" s="224">
        <f t="shared" si="20"/>
        <v>520000</v>
      </c>
      <c r="C83" s="225">
        <v>520000</v>
      </c>
      <c r="D83" s="225"/>
      <c r="E83" s="225">
        <v>520000</v>
      </c>
      <c r="F83" s="225"/>
      <c r="G83" s="225"/>
      <c r="H83" s="225"/>
      <c r="I83" s="225"/>
      <c r="J83" s="225"/>
      <c r="K83" s="225"/>
      <c r="L83" s="225"/>
      <c r="M83" s="225"/>
      <c r="N83" s="225"/>
      <c r="O83" s="225"/>
      <c r="P83" s="225"/>
      <c r="Q83" s="225"/>
      <c r="R83" s="916">
        <f t="shared" si="21"/>
        <v>520000</v>
      </c>
      <c r="S83" s="225">
        <v>520000</v>
      </c>
      <c r="T83" s="225"/>
      <c r="U83" s="221"/>
    </row>
    <row r="84" spans="1:21" s="222" customFormat="1">
      <c r="A84" s="223" t="s">
        <v>849</v>
      </c>
      <c r="B84" s="224">
        <f t="shared" si="20"/>
        <v>60000</v>
      </c>
      <c r="C84" s="225">
        <v>60000</v>
      </c>
      <c r="D84" s="225"/>
      <c r="E84" s="225">
        <v>60000</v>
      </c>
      <c r="F84" s="225"/>
      <c r="G84" s="225"/>
      <c r="H84" s="225"/>
      <c r="I84" s="225"/>
      <c r="J84" s="225"/>
      <c r="K84" s="225"/>
      <c r="L84" s="225"/>
      <c r="M84" s="225"/>
      <c r="N84" s="225"/>
      <c r="O84" s="225"/>
      <c r="P84" s="225"/>
      <c r="Q84" s="225"/>
      <c r="R84" s="916">
        <f t="shared" si="21"/>
        <v>60000</v>
      </c>
      <c r="S84" s="225">
        <v>60000</v>
      </c>
      <c r="T84" s="225"/>
      <c r="U84" s="221"/>
    </row>
    <row r="85" spans="1:21" s="222" customFormat="1">
      <c r="A85" s="223" t="s">
        <v>850</v>
      </c>
      <c r="B85" s="224">
        <f t="shared" si="20"/>
        <v>100000</v>
      </c>
      <c r="C85" s="225">
        <v>100000</v>
      </c>
      <c r="D85" s="225"/>
      <c r="E85" s="225">
        <v>100000</v>
      </c>
      <c r="F85" s="225"/>
      <c r="G85" s="225"/>
      <c r="H85" s="225"/>
      <c r="I85" s="225"/>
      <c r="J85" s="225"/>
      <c r="K85" s="225"/>
      <c r="L85" s="225"/>
      <c r="M85" s="225"/>
      <c r="N85" s="225"/>
      <c r="O85" s="225"/>
      <c r="P85" s="225"/>
      <c r="Q85" s="225"/>
      <c r="R85" s="916">
        <f t="shared" si="21"/>
        <v>100000</v>
      </c>
      <c r="S85" s="226"/>
      <c r="T85" s="226"/>
      <c r="U85" s="221"/>
    </row>
    <row r="86" spans="1:21" s="222" customFormat="1">
      <c r="A86" s="223" t="s">
        <v>851</v>
      </c>
      <c r="B86" s="224">
        <f t="shared" si="20"/>
        <v>135000</v>
      </c>
      <c r="C86" s="225">
        <v>135000</v>
      </c>
      <c r="D86" s="225"/>
      <c r="E86" s="225">
        <v>135000</v>
      </c>
      <c r="F86" s="225"/>
      <c r="G86" s="225"/>
      <c r="H86" s="225"/>
      <c r="I86" s="225"/>
      <c r="J86" s="225"/>
      <c r="K86" s="225"/>
      <c r="L86" s="225"/>
      <c r="M86" s="225"/>
      <c r="N86" s="225"/>
      <c r="O86" s="225"/>
      <c r="P86" s="225"/>
      <c r="Q86" s="225"/>
      <c r="R86" s="916">
        <f t="shared" si="21"/>
        <v>135000</v>
      </c>
      <c r="S86" s="225">
        <v>135000</v>
      </c>
      <c r="T86" s="225"/>
      <c r="U86" s="221"/>
    </row>
    <row r="87" spans="1:21" s="222" customFormat="1">
      <c r="A87" s="223" t="s">
        <v>852</v>
      </c>
      <c r="B87" s="224">
        <f t="shared" si="20"/>
        <v>11075</v>
      </c>
      <c r="C87" s="225">
        <v>11075</v>
      </c>
      <c r="D87" s="225"/>
      <c r="E87" s="225">
        <v>11075</v>
      </c>
      <c r="F87" s="225"/>
      <c r="G87" s="225"/>
      <c r="H87" s="225"/>
      <c r="I87" s="225"/>
      <c r="J87" s="225"/>
      <c r="K87" s="225"/>
      <c r="L87" s="225"/>
      <c r="M87" s="225"/>
      <c r="N87" s="225"/>
      <c r="O87" s="225"/>
      <c r="P87" s="225"/>
      <c r="Q87" s="225"/>
      <c r="R87" s="916">
        <f t="shared" si="21"/>
        <v>11075</v>
      </c>
      <c r="S87" s="225">
        <v>11075</v>
      </c>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1470</v>
      </c>
      <c r="B89" s="224">
        <f t="shared" si="20"/>
        <v>12000</v>
      </c>
      <c r="C89" s="225">
        <v>12000</v>
      </c>
      <c r="D89" s="225"/>
      <c r="E89" s="225">
        <v>12000</v>
      </c>
      <c r="F89" s="225"/>
      <c r="G89" s="225"/>
      <c r="H89" s="225"/>
      <c r="I89" s="225"/>
      <c r="J89" s="225"/>
      <c r="K89" s="225"/>
      <c r="L89" s="225"/>
      <c r="M89" s="225"/>
      <c r="N89" s="225"/>
      <c r="O89" s="225"/>
      <c r="P89" s="225"/>
      <c r="Q89" s="225"/>
      <c r="R89" s="916">
        <f t="shared" si="21"/>
        <v>12000</v>
      </c>
      <c r="S89" s="225">
        <v>12000</v>
      </c>
      <c r="T89" s="225"/>
      <c r="U89" s="221"/>
    </row>
    <row r="90" spans="1:21" s="222" customFormat="1">
      <c r="A90" s="955" t="s">
        <v>1755</v>
      </c>
      <c r="B90" s="224">
        <f t="shared" si="20"/>
        <v>21000</v>
      </c>
      <c r="C90" s="225">
        <v>21000</v>
      </c>
      <c r="D90" s="225"/>
      <c r="E90" s="225">
        <v>21000</v>
      </c>
      <c r="F90" s="225"/>
      <c r="G90" s="225"/>
      <c r="H90" s="225"/>
      <c r="I90" s="225"/>
      <c r="J90" s="225"/>
      <c r="K90" s="225"/>
      <c r="L90" s="225"/>
      <c r="M90" s="225"/>
      <c r="N90" s="225"/>
      <c r="O90" s="225"/>
      <c r="P90" s="225"/>
      <c r="Q90" s="225"/>
      <c r="R90" s="916">
        <f t="shared" si="21"/>
        <v>21000</v>
      </c>
      <c r="S90" s="225"/>
      <c r="T90" s="225"/>
      <c r="U90" s="221"/>
    </row>
    <row r="91" spans="1:21" s="222" customFormat="1">
      <c r="A91" s="955" t="s">
        <v>1756</v>
      </c>
      <c r="B91" s="224">
        <f t="shared" si="20"/>
        <v>20000</v>
      </c>
      <c r="C91" s="225">
        <v>20000</v>
      </c>
      <c r="D91" s="225"/>
      <c r="E91" s="225">
        <v>20000</v>
      </c>
      <c r="F91" s="225"/>
      <c r="G91" s="225"/>
      <c r="H91" s="225"/>
      <c r="I91" s="225"/>
      <c r="J91" s="225"/>
      <c r="K91" s="225"/>
      <c r="L91" s="225"/>
      <c r="M91" s="225"/>
      <c r="N91" s="225"/>
      <c r="O91" s="225"/>
      <c r="P91" s="225"/>
      <c r="Q91" s="225"/>
      <c r="R91" s="916">
        <f t="shared" si="21"/>
        <v>20000</v>
      </c>
      <c r="S91" s="225">
        <v>20000</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1459126</v>
      </c>
      <c r="C95" s="224">
        <f t="shared" ref="C95:Q95" si="22">SUM(C80:C94)</f>
        <v>1459126</v>
      </c>
      <c r="D95" s="224">
        <f t="shared" si="22"/>
        <v>0</v>
      </c>
      <c r="E95" s="224">
        <f t="shared" si="22"/>
        <v>1459126</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1459126</v>
      </c>
      <c r="S95" s="228">
        <f>SUM(S81:S84,S86:S94)</f>
        <v>1249040</v>
      </c>
      <c r="T95" s="224">
        <f>SUM(T81:T84,T86:T94)</f>
        <v>0</v>
      </c>
      <c r="U95" s="221"/>
    </row>
    <row r="96" spans="1:21" s="222" customFormat="1">
      <c r="A96" s="227" t="s">
        <v>854</v>
      </c>
      <c r="B96" s="224">
        <f>SUM(C96:D96)</f>
        <v>43482060</v>
      </c>
      <c r="C96" s="224">
        <f>SUM(C63+C67+C74+C78+C95)</f>
        <v>43482060</v>
      </c>
      <c r="D96" s="224">
        <f t="shared" ref="D96:R96" si="23">SUM(D63+D67+D74+D78+D95)</f>
        <v>0</v>
      </c>
      <c r="E96" s="224">
        <f t="shared" si="23"/>
        <v>13540445</v>
      </c>
      <c r="F96" s="224">
        <f t="shared" si="23"/>
        <v>4300000</v>
      </c>
      <c r="G96" s="224">
        <f t="shared" si="23"/>
        <v>16311615</v>
      </c>
      <c r="H96" s="224">
        <f t="shared" si="23"/>
        <v>6440000</v>
      </c>
      <c r="I96" s="224">
        <f t="shared" si="23"/>
        <v>2000000</v>
      </c>
      <c r="J96" s="224">
        <f t="shared" si="23"/>
        <v>890000</v>
      </c>
      <c r="K96" s="224">
        <f t="shared" si="23"/>
        <v>0</v>
      </c>
      <c r="L96" s="224">
        <f t="shared" si="23"/>
        <v>0</v>
      </c>
      <c r="M96" s="224">
        <f t="shared" si="23"/>
        <v>0</v>
      </c>
      <c r="N96" s="224">
        <f t="shared" si="23"/>
        <v>0</v>
      </c>
      <c r="O96" s="224">
        <f t="shared" si="23"/>
        <v>0</v>
      </c>
      <c r="P96" s="224">
        <f t="shared" si="23"/>
        <v>0</v>
      </c>
      <c r="Q96" s="224">
        <f t="shared" si="23"/>
        <v>0</v>
      </c>
      <c r="R96" s="224">
        <f t="shared" si="23"/>
        <v>43482060</v>
      </c>
      <c r="S96" s="224">
        <f>SUM(S63+S67+S78+S95)</f>
        <v>33397705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5009656</v>
      </c>
      <c r="C98" s="225">
        <v>5009656</v>
      </c>
      <c r="D98" s="225"/>
      <c r="E98" s="225">
        <v>2295518</v>
      </c>
      <c r="F98" s="225"/>
      <c r="G98" s="225"/>
      <c r="H98" s="225"/>
      <c r="I98" s="225"/>
      <c r="J98" s="225"/>
      <c r="K98" s="225">
        <v>2509656</v>
      </c>
      <c r="L98" s="225">
        <v>204482</v>
      </c>
      <c r="M98" s="225"/>
      <c r="N98" s="225"/>
      <c r="O98" s="225"/>
      <c r="P98" s="225"/>
      <c r="Q98" s="225"/>
      <c r="R98" s="916">
        <f t="shared" ref="R98:R103" si="25">SUM(E98:Q98)</f>
        <v>5009656</v>
      </c>
      <c r="S98" s="225">
        <v>5009656</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5009656</v>
      </c>
      <c r="C104" s="224">
        <f t="shared" ref="C104:T104" si="26">SUM(C98:C103)</f>
        <v>5009656</v>
      </c>
      <c r="D104" s="224">
        <f t="shared" si="26"/>
        <v>0</v>
      </c>
      <c r="E104" s="224">
        <f t="shared" si="26"/>
        <v>2295518</v>
      </c>
      <c r="F104" s="224">
        <f t="shared" si="26"/>
        <v>0</v>
      </c>
      <c r="G104" s="224">
        <f t="shared" si="26"/>
        <v>0</v>
      </c>
      <c r="H104" s="224">
        <f t="shared" si="26"/>
        <v>0</v>
      </c>
      <c r="I104" s="224">
        <f t="shared" si="26"/>
        <v>0</v>
      </c>
      <c r="J104" s="224">
        <f t="shared" si="26"/>
        <v>0</v>
      </c>
      <c r="K104" s="224">
        <f t="shared" si="26"/>
        <v>2509656</v>
      </c>
      <c r="L104" s="224">
        <f t="shared" si="26"/>
        <v>204482</v>
      </c>
      <c r="M104" s="224">
        <f t="shared" si="26"/>
        <v>0</v>
      </c>
      <c r="N104" s="224">
        <f t="shared" si="26"/>
        <v>0</v>
      </c>
      <c r="O104" s="224">
        <f t="shared" si="26"/>
        <v>0</v>
      </c>
      <c r="P104" s="224">
        <f t="shared" si="26"/>
        <v>0</v>
      </c>
      <c r="Q104" s="224">
        <f t="shared" si="26"/>
        <v>0</v>
      </c>
      <c r="R104" s="558">
        <f>SUM(R98:R103)</f>
        <v>5009656</v>
      </c>
      <c r="S104" s="228">
        <f t="shared" si="26"/>
        <v>5009656</v>
      </c>
      <c r="T104" s="228">
        <f t="shared" si="26"/>
        <v>0</v>
      </c>
      <c r="U104" s="221"/>
    </row>
    <row r="105" spans="1:21" s="222" customFormat="1">
      <c r="A105" s="227" t="s">
        <v>862</v>
      </c>
      <c r="B105" s="228">
        <f>SUM(C105:D105)</f>
        <v>48491716</v>
      </c>
      <c r="C105" s="228">
        <f t="shared" ref="C105:R105" si="27">SUM(C96+C104)</f>
        <v>48491716</v>
      </c>
      <c r="D105" s="228">
        <f t="shared" si="27"/>
        <v>0</v>
      </c>
      <c r="E105" s="228">
        <f t="shared" si="27"/>
        <v>15835963</v>
      </c>
      <c r="F105" s="228">
        <f t="shared" si="27"/>
        <v>4300000</v>
      </c>
      <c r="G105" s="228">
        <f t="shared" si="27"/>
        <v>16311615</v>
      </c>
      <c r="H105" s="228">
        <f t="shared" si="27"/>
        <v>6440000</v>
      </c>
      <c r="I105" s="228">
        <f t="shared" si="27"/>
        <v>2000000</v>
      </c>
      <c r="J105" s="228">
        <f t="shared" si="27"/>
        <v>890000</v>
      </c>
      <c r="K105" s="228">
        <f t="shared" si="27"/>
        <v>2509656</v>
      </c>
      <c r="L105" s="228">
        <f t="shared" si="27"/>
        <v>204482</v>
      </c>
      <c r="M105" s="228">
        <f t="shared" si="27"/>
        <v>0</v>
      </c>
      <c r="N105" s="228">
        <f t="shared" si="27"/>
        <v>0</v>
      </c>
      <c r="O105" s="228">
        <f t="shared" si="27"/>
        <v>0</v>
      </c>
      <c r="P105" s="228">
        <f t="shared" si="27"/>
        <v>0</v>
      </c>
      <c r="Q105" s="228">
        <f t="shared" si="27"/>
        <v>0</v>
      </c>
      <c r="R105" s="558">
        <f t="shared" si="27"/>
        <v>48491716</v>
      </c>
      <c r="S105" s="228">
        <f>S96+S104</f>
        <v>38407361</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38407361</v>
      </c>
      <c r="T107" s="242">
        <f>T105+T106</f>
        <v>0</v>
      </c>
    </row>
    <row r="108" spans="1:21" s="310" customFormat="1">
      <c r="A108" s="241" t="s">
        <v>974</v>
      </c>
      <c r="B108" s="236"/>
      <c r="C108" s="236"/>
      <c r="D108" s="236"/>
      <c r="E108" s="481">
        <f>Application!AG631</f>
        <v>15835963</v>
      </c>
      <c r="F108" s="481">
        <f>Application!AG618</f>
        <v>4300000</v>
      </c>
      <c r="G108" s="481">
        <f>Application!AG619</f>
        <v>16311615</v>
      </c>
      <c r="H108" s="481">
        <f>Application!AG620</f>
        <v>6440000</v>
      </c>
      <c r="I108" s="481">
        <f>Application!AG621</f>
        <v>2000000</v>
      </c>
      <c r="J108" s="481">
        <f>Application!AG622</f>
        <v>890000</v>
      </c>
      <c r="K108" s="481">
        <f>Application!AG623</f>
        <v>2509656</v>
      </c>
      <c r="L108" s="481">
        <f>Application!AG624</f>
        <v>204482</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2" t="s">
        <v>1134</v>
      </c>
      <c r="E122" s="1612"/>
      <c r="F122" s="1612"/>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2" t="s">
        <v>1492</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1136</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1137</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1138</v>
      </c>
      <c r="B126" s="544">
        <v>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v>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t="s">
        <v>1761</v>
      </c>
      <c r="C128" s="534"/>
      <c r="D128" s="1610"/>
      <c r="E128" s="1610"/>
      <c r="F128" s="1610"/>
      <c r="G128" s="1610"/>
      <c r="H128" s="1610"/>
      <c r="I128" s="534"/>
      <c r="J128" s="1601"/>
      <c r="K128" s="1601"/>
      <c r="L128" s="534"/>
      <c r="M128" s="534"/>
      <c r="N128" s="534"/>
      <c r="O128" s="534"/>
      <c r="P128" s="534"/>
      <c r="Q128" s="534"/>
      <c r="R128" s="534"/>
      <c r="S128" s="534"/>
      <c r="T128" s="535"/>
      <c r="U128" s="537"/>
    </row>
    <row r="129" spans="1:21" ht="12.75">
      <c r="A129" s="534" t="s">
        <v>319</v>
      </c>
      <c r="B129" s="544"/>
      <c r="C129" s="534"/>
      <c r="D129" s="1611" t="s">
        <v>1141</v>
      </c>
      <c r="E129" s="1611"/>
      <c r="F129" s="1611"/>
      <c r="G129" s="1611"/>
      <c r="H129" s="1611"/>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4" t="s">
        <v>1144</v>
      </c>
      <c r="E132" s="1604"/>
      <c r="F132" s="1604"/>
      <c r="G132" s="1604"/>
      <c r="H132" s="1604"/>
      <c r="I132" s="534"/>
      <c r="J132" s="1604" t="s">
        <v>1145</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1"/>
      <c r="F138" s="1601"/>
      <c r="G138" s="534"/>
      <c r="H138" s="534"/>
      <c r="I138" s="534"/>
      <c r="J138" s="534"/>
      <c r="K138" s="534"/>
      <c r="L138" s="534"/>
      <c r="M138" s="534"/>
      <c r="N138" s="534"/>
      <c r="O138" s="534"/>
      <c r="P138" s="534"/>
      <c r="Q138" s="534"/>
      <c r="R138" s="534"/>
      <c r="S138" s="534"/>
      <c r="T138" s="541"/>
      <c r="U138" s="542"/>
    </row>
    <row r="139" spans="1:21" ht="12.75">
      <c r="A139" s="1599" t="s">
        <v>1148</v>
      </c>
      <c r="B139" s="1600"/>
      <c r="C139" s="1600"/>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4" zoomScaleSheetLayoutView="100" workbookViewId="0">
      <selection activeCell="D28" sqref="D2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1495</v>
      </c>
      <c r="B1" s="1620"/>
      <c r="C1" s="1620"/>
      <c r="D1" s="1620"/>
      <c r="E1" s="1620"/>
      <c r="F1" s="1620"/>
      <c r="G1" s="1620"/>
      <c r="H1" s="1620"/>
      <c r="I1" s="1620"/>
      <c r="J1" s="1621"/>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6890000</v>
      </c>
      <c r="C4" s="590"/>
      <c r="D4" s="590"/>
      <c r="E4" s="591"/>
      <c r="F4" s="591"/>
      <c r="G4" s="591"/>
      <c r="H4" s="591"/>
      <c r="I4" s="591"/>
      <c r="J4" s="591"/>
      <c r="K4" s="587"/>
    </row>
    <row r="5" spans="1:11" s="588" customFormat="1">
      <c r="A5" s="592" t="s">
        <v>31</v>
      </c>
      <c r="B5" s="589">
        <f>'Sources and Uses Budget'!C5</f>
        <v>145000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7035000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7035000</v>
      </c>
      <c r="C12" s="589">
        <f>SUM(C8+C11)</f>
        <v>0</v>
      </c>
      <c r="D12" s="589">
        <f>SUM(D8+D11)</f>
        <v>0</v>
      </c>
      <c r="E12" s="591"/>
      <c r="F12" s="591"/>
      <c r="G12" s="591"/>
      <c r="H12" s="591"/>
      <c r="I12" s="591"/>
      <c r="J12" s="591"/>
      <c r="K12" s="587"/>
    </row>
    <row r="13" spans="1:11" s="588" customFormat="1">
      <c r="A13" s="594" t="s">
        <v>1001</v>
      </c>
      <c r="B13" s="589">
        <f>'Sources and Uses Budget'!C13</f>
        <v>250000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801400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2547380</v>
      </c>
      <c r="C28" s="590"/>
      <c r="D28" s="590"/>
      <c r="E28" s="589">
        <f>'Sources and Uses Budget'!S28</f>
        <v>2547380</v>
      </c>
      <c r="F28" s="590"/>
      <c r="G28" s="590"/>
      <c r="H28" s="589">
        <f>'Sources and Uses Budget'!T28</f>
        <v>0</v>
      </c>
      <c r="I28" s="590"/>
      <c r="J28" s="590"/>
      <c r="K28" s="587"/>
    </row>
    <row r="29" spans="1:11" s="588" customFormat="1">
      <c r="A29" s="223" t="s">
        <v>650</v>
      </c>
      <c r="B29" s="589">
        <f>'Sources and Uses Budget'!C29</f>
        <v>21064690</v>
      </c>
      <c r="C29" s="590"/>
      <c r="D29" s="590"/>
      <c r="E29" s="589">
        <f>'Sources and Uses Budget'!S29</f>
        <v>21064690</v>
      </c>
      <c r="F29" s="590"/>
      <c r="G29" s="590"/>
      <c r="H29" s="589">
        <f>'Sources and Uses Budget'!T29</f>
        <v>0</v>
      </c>
      <c r="I29" s="590"/>
      <c r="J29" s="590"/>
      <c r="K29" s="587"/>
    </row>
    <row r="30" spans="1:11" s="588" customFormat="1">
      <c r="A30" s="223" t="s">
        <v>651</v>
      </c>
      <c r="B30" s="589">
        <f>'Sources and Uses Budget'!C30</f>
        <v>1187854</v>
      </c>
      <c r="C30" s="590"/>
      <c r="D30" s="590"/>
      <c r="E30" s="589">
        <f>'Sources and Uses Budget'!S30</f>
        <v>1187854</v>
      </c>
      <c r="F30" s="590"/>
      <c r="G30" s="590"/>
      <c r="H30" s="589">
        <f>'Sources and Uses Budget'!T30</f>
        <v>0</v>
      </c>
      <c r="I30" s="590"/>
      <c r="J30" s="590"/>
      <c r="K30" s="587"/>
    </row>
    <row r="31" spans="1:11" s="588" customFormat="1">
      <c r="A31" s="223" t="s">
        <v>144</v>
      </c>
      <c r="B31" s="589">
        <f>'Sources and Uses Budget'!C31</f>
        <v>475141</v>
      </c>
      <c r="C31" s="590"/>
      <c r="D31" s="590"/>
      <c r="E31" s="589">
        <f>'Sources and Uses Budget'!S31</f>
        <v>475141</v>
      </c>
      <c r="F31" s="590"/>
      <c r="G31" s="590"/>
      <c r="H31" s="589">
        <f>'Sources and Uses Budget'!T31</f>
        <v>0</v>
      </c>
      <c r="I31" s="590"/>
      <c r="J31" s="590"/>
      <c r="K31" s="587"/>
    </row>
    <row r="32" spans="1:11" s="588" customFormat="1">
      <c r="A32" s="223" t="s">
        <v>145</v>
      </c>
      <c r="B32" s="589">
        <f>'Sources and Uses Budget'!C32</f>
        <v>1425424</v>
      </c>
      <c r="C32" s="590"/>
      <c r="D32" s="590"/>
      <c r="E32" s="589">
        <f>'Sources and Uses Budget'!S32</f>
        <v>1425424</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250000</v>
      </c>
      <c r="C34" s="590"/>
      <c r="D34" s="590"/>
      <c r="E34" s="589">
        <f>'Sources and Uses Budget'!S34</f>
        <v>250000</v>
      </c>
      <c r="F34" s="590"/>
      <c r="G34" s="590"/>
      <c r="H34" s="589">
        <f>'Sources and Uses Budget'!T34</f>
        <v>0</v>
      </c>
      <c r="I34" s="590"/>
      <c r="J34" s="590"/>
      <c r="K34" s="587"/>
    </row>
    <row r="35" spans="1:11" s="588" customFormat="1">
      <c r="A35" s="595" t="str">
        <f>'Sources and Uses Budget'!$A35</f>
        <v>Payment &amp; Performance Bond</v>
      </c>
      <c r="B35" s="589">
        <f>'Sources and Uses Budget'!C35</f>
        <v>270000</v>
      </c>
      <c r="C35" s="590"/>
      <c r="D35" s="590"/>
      <c r="E35" s="589">
        <f>'Sources and Uses Budget'!S35</f>
        <v>270000</v>
      </c>
      <c r="F35" s="590"/>
      <c r="G35" s="590"/>
      <c r="H35" s="589">
        <f>'Sources and Uses Budget'!T35</f>
        <v>0</v>
      </c>
      <c r="I35" s="590"/>
      <c r="J35" s="590"/>
      <c r="K35" s="587"/>
    </row>
    <row r="36" spans="1:11" s="588" customFormat="1">
      <c r="A36" s="597" t="s">
        <v>150</v>
      </c>
      <c r="B36" s="589">
        <f>'Sources and Uses Budget'!C36</f>
        <v>27220489</v>
      </c>
      <c r="C36" s="589">
        <f>SUM(C28:C35)</f>
        <v>0</v>
      </c>
      <c r="D36" s="589">
        <f>SUM(D28:D35)</f>
        <v>0</v>
      </c>
      <c r="E36" s="589">
        <f>'Sources and Uses Budget'!S36</f>
        <v>27220489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759990</v>
      </c>
      <c r="C38" s="590"/>
      <c r="D38" s="590"/>
      <c r="E38" s="589">
        <f>'Sources and Uses Budget'!S38</f>
        <v>759990</v>
      </c>
      <c r="F38" s="590"/>
      <c r="G38" s="590"/>
      <c r="H38" s="589">
        <f>'Sources and Uses Budget'!T38</f>
        <v>0</v>
      </c>
      <c r="I38" s="590"/>
      <c r="J38" s="590"/>
      <c r="K38" s="587"/>
    </row>
    <row r="39" spans="1:11" s="588" customFormat="1">
      <c r="A39" s="592" t="s">
        <v>153</v>
      </c>
      <c r="B39" s="589">
        <f>'Sources and Uses Budget'!C39</f>
        <v>160000</v>
      </c>
      <c r="C39" s="590"/>
      <c r="D39" s="590"/>
      <c r="E39" s="589">
        <f>'Sources and Uses Budget'!S39</f>
        <v>160000</v>
      </c>
      <c r="F39" s="590"/>
      <c r="G39" s="590"/>
      <c r="H39" s="589">
        <f>'Sources and Uses Budget'!T39</f>
        <v>0</v>
      </c>
      <c r="I39" s="590"/>
      <c r="J39" s="590"/>
      <c r="K39" s="587"/>
    </row>
    <row r="40" spans="1:11" s="588" customFormat="1">
      <c r="A40" s="593" t="s">
        <v>154</v>
      </c>
      <c r="B40" s="589">
        <f>'Sources and Uses Budget'!C40</f>
        <v>919990</v>
      </c>
      <c r="C40" s="589">
        <f>SUM(C37:C39)</f>
        <v>0</v>
      </c>
      <c r="D40" s="589">
        <f>SUM(D37:D39)</f>
        <v>0</v>
      </c>
      <c r="E40" s="589">
        <f>'Sources and Uses Budget'!S40</f>
        <v>919990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446660</v>
      </c>
      <c r="C41" s="590"/>
      <c r="D41" s="590"/>
      <c r="E41" s="589">
        <f>'Sources and Uses Budget'!S41</f>
        <v>446660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1325000</v>
      </c>
      <c r="C43" s="590"/>
      <c r="D43" s="590"/>
      <c r="E43" s="589">
        <f>'Sources and Uses Budget'!S43</f>
        <v>1175150</v>
      </c>
      <c r="F43" s="590"/>
      <c r="G43" s="590"/>
      <c r="H43" s="589">
        <f>'Sources and Uses Budget'!T43</f>
        <v>0</v>
      </c>
      <c r="I43" s="590"/>
      <c r="J43" s="590"/>
      <c r="K43" s="587"/>
    </row>
    <row r="44" spans="1:11" s="588" customFormat="1">
      <c r="A44" s="592" t="s">
        <v>158</v>
      </c>
      <c r="B44" s="589">
        <f>'Sources and Uses Budget'!C44</f>
        <v>270000</v>
      </c>
      <c r="C44" s="590"/>
      <c r="D44" s="590"/>
      <c r="E44" s="589">
        <f>'Sources and Uses Budget'!S44</f>
        <v>130500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460000</v>
      </c>
      <c r="C47" s="590"/>
      <c r="D47" s="590"/>
      <c r="E47" s="589">
        <f>'Sources and Uses Budget'!S47</f>
        <v>46666</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126000</v>
      </c>
      <c r="C49" s="590"/>
      <c r="D49" s="590"/>
      <c r="E49" s="589">
        <f>'Sources and Uses Budget'!S49</f>
        <v>126000</v>
      </c>
      <c r="F49" s="590"/>
      <c r="G49" s="590"/>
      <c r="H49" s="589">
        <f>'Sources and Uses Budget'!T49</f>
        <v>0</v>
      </c>
      <c r="I49" s="590"/>
      <c r="J49" s="590"/>
      <c r="K49" s="587"/>
    </row>
    <row r="50" spans="1:11" s="588" customFormat="1">
      <c r="A50" s="592" t="s">
        <v>162</v>
      </c>
      <c r="B50" s="589">
        <f>'Sources and Uses Budget'!C50</f>
        <v>40000</v>
      </c>
      <c r="C50" s="590"/>
      <c r="D50" s="590"/>
      <c r="E50" s="589">
        <f>'Sources and Uses Budget'!S50</f>
        <v>40000</v>
      </c>
      <c r="F50" s="590"/>
      <c r="G50" s="590"/>
      <c r="H50" s="589">
        <f>'Sources and Uses Budget'!T50</f>
        <v>0</v>
      </c>
      <c r="I50" s="590"/>
      <c r="J50" s="590"/>
      <c r="K50" s="587"/>
    </row>
    <row r="51" spans="1:11" s="588" customFormat="1">
      <c r="A51" s="595" t="str">
        <f>'Sources and Uses Budget'!$A60</f>
        <v>Other: (Specify)</v>
      </c>
      <c r="B51" s="589">
        <f>'Sources and Uses Budget'!C51</f>
        <v>24000</v>
      </c>
      <c r="C51" s="590"/>
      <c r="D51" s="590"/>
      <c r="E51" s="589">
        <f>'Sources and Uses Budget'!S51</f>
        <v>24000</v>
      </c>
      <c r="F51" s="590"/>
      <c r="G51" s="590"/>
      <c r="H51" s="589">
        <f>'Sources and Uses Budget'!T51</f>
        <v>0</v>
      </c>
      <c r="I51" s="590"/>
      <c r="J51" s="590"/>
      <c r="K51" s="587"/>
    </row>
    <row r="52" spans="1:11" s="588" customFormat="1">
      <c r="A52" s="595" t="str">
        <f>'Sources and Uses Budget'!$A61</f>
        <v>Other: (Specify)</v>
      </c>
      <c r="B52" s="589">
        <f>'Sources and Uses Budget'!C52</f>
        <v>275000</v>
      </c>
      <c r="C52" s="590"/>
      <c r="D52" s="590"/>
      <c r="E52" s="589">
        <f>'Sources and Uses Budget'!S52</f>
        <v>225000</v>
      </c>
      <c r="F52" s="590"/>
      <c r="G52" s="590"/>
      <c r="H52" s="589">
        <f>'Sources and Uses Budget'!T52</f>
        <v>0</v>
      </c>
      <c r="I52" s="590"/>
      <c r="J52" s="590"/>
      <c r="K52" s="587"/>
    </row>
    <row r="53" spans="1:11" s="599" customFormat="1">
      <c r="A53" s="593" t="s">
        <v>164</v>
      </c>
      <c r="B53" s="589">
        <f>'Sources and Uses Budget'!C53</f>
        <v>2570000</v>
      </c>
      <c r="C53" s="596">
        <f>SUM(C43:C52)</f>
        <v>0</v>
      </c>
      <c r="D53" s="596">
        <f>SUM(D43:D52)</f>
        <v>0</v>
      </c>
      <c r="E53" s="589">
        <f>'Sources and Uses Budget'!S53</f>
        <v>1817316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43000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18834</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76834</v>
      </c>
      <c r="C62" s="589">
        <f>SUM(C55:C61)</f>
        <v>0</v>
      </c>
      <c r="D62" s="589">
        <f>SUM(D55:D61)</f>
        <v>0</v>
      </c>
      <c r="E62" s="591"/>
      <c r="F62" s="591"/>
      <c r="G62" s="591"/>
      <c r="H62" s="591"/>
      <c r="I62" s="591"/>
      <c r="J62" s="591"/>
      <c r="K62" s="587"/>
    </row>
    <row r="63" spans="1:11" s="588" customFormat="1">
      <c r="A63" s="600" t="s">
        <v>321</v>
      </c>
      <c r="B63" s="589">
        <f>'Sources and Uses Budget'!C63</f>
        <v>39320373</v>
      </c>
      <c r="C63" s="589">
        <f>SUM(C8+C11+C13+C14+C15+C25+C26+C36+C40+C41+C53+C62)</f>
        <v>0</v>
      </c>
      <c r="D63" s="589">
        <f>SUM(D8+D11+D13+D14+D15+D25+D26+D36+D40+D41+D53+D62)</f>
        <v>0</v>
      </c>
      <c r="E63" s="589">
        <f>'Sources and Uses Budget'!S63</f>
        <v>30404455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110000</v>
      </c>
      <c r="C65" s="590"/>
      <c r="D65" s="590"/>
      <c r="E65" s="589">
        <f>'Sources and Uses Budget'!S65</f>
        <v>100000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110000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588288</v>
      </c>
      <c r="C70" s="590"/>
      <c r="D70" s="590"/>
      <c r="E70" s="591"/>
      <c r="F70" s="591"/>
      <c r="G70" s="591"/>
      <c r="H70" s="591"/>
      <c r="I70" s="591"/>
      <c r="J70" s="591"/>
      <c r="K70" s="587"/>
    </row>
    <row r="71" spans="1:11" s="588" customFormat="1">
      <c r="A71" s="763" t="s">
        <v>1123</v>
      </c>
      <c r="B71" s="589">
        <f>'Sources and Uses Budget'!C71</f>
        <v>45500</v>
      </c>
      <c r="C71" s="590"/>
      <c r="D71" s="590"/>
      <c r="E71" s="591"/>
      <c r="F71" s="591"/>
      <c r="G71" s="591"/>
      <c r="H71" s="591"/>
      <c r="I71" s="591"/>
      <c r="J71" s="591"/>
      <c r="K71" s="587"/>
    </row>
    <row r="72" spans="1:11" s="588" customFormat="1">
      <c r="A72" s="592" t="s">
        <v>656</v>
      </c>
      <c r="B72" s="589">
        <f>'Sources and Uses Budget'!C72</f>
        <v>294563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928351</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1544210</v>
      </c>
      <c r="C76" s="590"/>
      <c r="D76" s="590"/>
      <c r="E76" s="589">
        <f>'Sources and Uses Budget'!S76</f>
        <v>1544210</v>
      </c>
      <c r="F76" s="590"/>
      <c r="G76" s="590"/>
      <c r="H76" s="589">
        <f>'Sources and Uses Budget'!T76</f>
        <v>0</v>
      </c>
      <c r="I76" s="590"/>
      <c r="J76" s="590"/>
      <c r="K76" s="587"/>
    </row>
    <row r="77" spans="1:11" s="588" customFormat="1">
      <c r="A77" s="592" t="s">
        <v>63</v>
      </c>
      <c r="B77" s="589">
        <f>'Sources and Uses Budget'!C77</f>
        <v>120000</v>
      </c>
      <c r="C77" s="590"/>
      <c r="D77" s="590"/>
      <c r="E77" s="589">
        <f>'Sources and Uses Budget'!S77</f>
        <v>100000</v>
      </c>
      <c r="F77" s="590"/>
      <c r="G77" s="590"/>
      <c r="H77" s="589">
        <f>'Sources and Uses Budget'!T77</f>
        <v>0</v>
      </c>
      <c r="I77" s="590"/>
      <c r="J77" s="590"/>
      <c r="K77" s="587"/>
    </row>
    <row r="78" spans="1:11" s="588" customFormat="1">
      <c r="A78" s="593" t="s">
        <v>1468</v>
      </c>
      <c r="B78" s="589">
        <f>'Sources and Uses Budget'!C78</f>
        <v>1664210</v>
      </c>
      <c r="C78" s="589">
        <f>SUM(C76:C77)</f>
        <v>0</v>
      </c>
      <c r="D78" s="589">
        <f>SUM(D76:D77)</f>
        <v>0</v>
      </c>
      <c r="E78" s="589">
        <f>'Sources and Uses Budget'!S78</f>
        <v>1644210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89086</v>
      </c>
      <c r="C80" s="590"/>
      <c r="D80" s="590"/>
      <c r="E80" s="591"/>
      <c r="F80" s="591"/>
      <c r="G80" s="591"/>
      <c r="H80" s="591"/>
      <c r="I80" s="591"/>
      <c r="J80" s="591"/>
      <c r="K80" s="587"/>
    </row>
    <row r="81" spans="1:11" s="588" customFormat="1">
      <c r="A81" s="223" t="s">
        <v>846</v>
      </c>
      <c r="B81" s="589">
        <f>'Sources and Uses Budget'!C81</f>
        <v>40000</v>
      </c>
      <c r="C81" s="590"/>
      <c r="D81" s="590"/>
      <c r="E81" s="589">
        <f>'Sources and Uses Budget'!S81</f>
        <v>40000</v>
      </c>
      <c r="F81" s="590"/>
      <c r="G81" s="590"/>
      <c r="H81" s="589">
        <f>'Sources and Uses Budget'!T81</f>
        <v>0</v>
      </c>
      <c r="I81" s="590"/>
      <c r="J81" s="590"/>
      <c r="K81" s="587"/>
    </row>
    <row r="82" spans="1:11" s="588" customFormat="1">
      <c r="A82" s="223" t="s">
        <v>847</v>
      </c>
      <c r="B82" s="589">
        <f>'Sources and Uses Budget'!C82</f>
        <v>450965</v>
      </c>
      <c r="C82" s="590"/>
      <c r="D82" s="590"/>
      <c r="E82" s="589">
        <f>'Sources and Uses Budget'!S82</f>
        <v>450965</v>
      </c>
      <c r="F82" s="590"/>
      <c r="G82" s="590"/>
      <c r="H82" s="589">
        <f>'Sources and Uses Budget'!T82</f>
        <v>0</v>
      </c>
      <c r="I82" s="590"/>
      <c r="J82" s="590"/>
      <c r="K82" s="587"/>
    </row>
    <row r="83" spans="1:11" s="588" customFormat="1">
      <c r="A83" s="223" t="s">
        <v>848</v>
      </c>
      <c r="B83" s="589">
        <f>'Sources and Uses Budget'!C83</f>
        <v>520000</v>
      </c>
      <c r="C83" s="590"/>
      <c r="D83" s="590"/>
      <c r="E83" s="589">
        <f>'Sources and Uses Budget'!S83</f>
        <v>520000</v>
      </c>
      <c r="F83" s="590"/>
      <c r="G83" s="590"/>
      <c r="H83" s="589">
        <f>'Sources and Uses Budget'!T83</f>
        <v>0</v>
      </c>
      <c r="I83" s="590"/>
      <c r="J83" s="590"/>
      <c r="K83" s="587"/>
    </row>
    <row r="84" spans="1:11" s="588" customFormat="1">
      <c r="A84" s="223" t="s">
        <v>849</v>
      </c>
      <c r="B84" s="589">
        <f>'Sources and Uses Budget'!C84</f>
        <v>60000</v>
      </c>
      <c r="C84" s="590"/>
      <c r="D84" s="590"/>
      <c r="E84" s="589">
        <f>'Sources and Uses Budget'!S84</f>
        <v>60000</v>
      </c>
      <c r="F84" s="590"/>
      <c r="G84" s="590"/>
      <c r="H84" s="589">
        <f>'Sources and Uses Budget'!T84</f>
        <v>0</v>
      </c>
      <c r="I84" s="590"/>
      <c r="J84" s="590"/>
      <c r="K84" s="587"/>
    </row>
    <row r="85" spans="1:11" s="588" customFormat="1">
      <c r="A85" s="223" t="s">
        <v>850</v>
      </c>
      <c r="B85" s="589">
        <f>'Sources and Uses Budget'!C85</f>
        <v>100000</v>
      </c>
      <c r="C85" s="590"/>
      <c r="D85" s="590"/>
      <c r="E85" s="591"/>
      <c r="F85" s="591"/>
      <c r="G85" s="591"/>
      <c r="H85" s="591"/>
      <c r="I85" s="591"/>
      <c r="J85" s="591"/>
      <c r="K85" s="587"/>
    </row>
    <row r="86" spans="1:11" s="588" customFormat="1">
      <c r="A86" s="223" t="s">
        <v>851</v>
      </c>
      <c r="B86" s="589">
        <f>'Sources and Uses Budget'!C86</f>
        <v>135000</v>
      </c>
      <c r="C86" s="590"/>
      <c r="D86" s="590"/>
      <c r="E86" s="589">
        <f>'Sources and Uses Budget'!S86</f>
        <v>135000</v>
      </c>
      <c r="F86" s="590"/>
      <c r="G86" s="590"/>
      <c r="H86" s="589">
        <f>'Sources and Uses Budget'!T86</f>
        <v>0</v>
      </c>
      <c r="I86" s="590"/>
      <c r="J86" s="590"/>
      <c r="K86" s="587"/>
    </row>
    <row r="87" spans="1:11" s="588" customFormat="1">
      <c r="A87" s="223" t="s">
        <v>852</v>
      </c>
      <c r="B87" s="589">
        <f>'Sources and Uses Budget'!C87</f>
        <v>11075</v>
      </c>
      <c r="C87" s="590"/>
      <c r="D87" s="590"/>
      <c r="E87" s="589">
        <f>'Sources and Uses Budget'!S87</f>
        <v>11075</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12000</v>
      </c>
      <c r="C89" s="590"/>
      <c r="D89" s="590"/>
      <c r="E89" s="589">
        <f>'Sources and Uses Budget'!S89</f>
        <v>12000</v>
      </c>
      <c r="F89" s="590"/>
      <c r="G89" s="590"/>
      <c r="H89" s="589">
        <f>'Sources and Uses Budget'!T89</f>
        <v>0</v>
      </c>
      <c r="I89" s="590"/>
      <c r="J89" s="590"/>
      <c r="K89" s="587"/>
    </row>
    <row r="90" spans="1:11" s="588" customFormat="1">
      <c r="A90" s="595" t="str">
        <f>'Sources and Uses Budget'!$A90</f>
        <v>HACLA Monitoring Fees</v>
      </c>
      <c r="B90" s="589">
        <f>'Sources and Uses Budget'!C90</f>
        <v>21000</v>
      </c>
      <c r="C90" s="590"/>
      <c r="D90" s="590"/>
      <c r="E90" s="589">
        <f>'Sources and Uses Budget'!S90</f>
        <v>0</v>
      </c>
      <c r="F90" s="590"/>
      <c r="G90" s="590"/>
      <c r="H90" s="589">
        <f>'Sources and Uses Budget'!T90</f>
        <v>0</v>
      </c>
      <c r="I90" s="590"/>
      <c r="J90" s="590"/>
      <c r="K90" s="587"/>
    </row>
    <row r="91" spans="1:11" s="588" customFormat="1">
      <c r="A91" s="595" t="str">
        <f>'Sources and Uses Budget'!$A91</f>
        <v>Wage Compliance Monioring</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1459126</v>
      </c>
      <c r="C95" s="589">
        <f>SUM(C80:C94)</f>
        <v>0</v>
      </c>
      <c r="D95" s="589">
        <f>SUM(D80:D94)</f>
        <v>0</v>
      </c>
      <c r="E95" s="589">
        <f>'Sources and Uses Budget'!S95</f>
        <v>1249040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43482060</v>
      </c>
      <c r="C96" s="589">
        <f>SUM(C63+C67+C74+C78+C95)</f>
        <v>0</v>
      </c>
      <c r="D96" s="589">
        <f>SUM(D63+D67+D74+D78+D95)</f>
        <v>0</v>
      </c>
      <c r="E96" s="589">
        <f>'Sources and Uses Budget'!S96</f>
        <v>33397705</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5009656</v>
      </c>
      <c r="C98" s="590"/>
      <c r="D98" s="590"/>
      <c r="E98" s="589">
        <f>'Sources and Uses Budget'!S98</f>
        <v>5009656</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5009656</v>
      </c>
      <c r="C104" s="589">
        <f>SUM(C98:C103)</f>
        <v>0</v>
      </c>
      <c r="D104" s="589">
        <f>SUM(D98:D103)</f>
        <v>0</v>
      </c>
      <c r="E104" s="589">
        <f>'Sources and Uses Budget'!S104</f>
        <v>5009656</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48491716</v>
      </c>
      <c r="C105" s="596">
        <f>SUM(C96+C104)</f>
        <v>0</v>
      </c>
      <c r="D105" s="596">
        <f>SUM(D96+D104)</f>
        <v>0</v>
      </c>
      <c r="E105" s="589">
        <f>'Sources and Uses Budget'!S105</f>
        <v>38407361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38407361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8" zoomScaleSheetLayoutView="100" workbookViewId="0">
      <selection activeCell="AB78" sqref="AB78:AF78"/>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0" t="s">
        <v>1600</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NON-DDA/
NON-QCT Building(s)</v>
      </c>
      <c r="U7" s="1662"/>
      <c r="V7" s="1662"/>
      <c r="W7" s="1662"/>
      <c r="X7" s="1662"/>
      <c r="Y7" s="1662" t="str">
        <f>IF(T25=100%," ",'Sources and Basis Breakdown'!G2)</f>
        <v xml:space="preserve"> </v>
      </c>
      <c r="Z7" s="1662"/>
      <c r="AA7" s="1662"/>
      <c r="AB7" s="1662"/>
      <c r="AC7" s="1662"/>
      <c r="AD7" s="1662" t="str">
        <f xml:space="preserve"> IF(T25=100%, 'Sources and Basis Breakdown'!J2,'Sources and Basis Breakdown'!I2)</f>
        <v>30% PVC for Acquisition
NON-DDA/
NON-QCT Building(s)</v>
      </c>
      <c r="AE7" s="1662"/>
      <c r="AF7" s="1662"/>
      <c r="AG7" s="1662"/>
      <c r="AH7" s="1662"/>
      <c r="AI7" s="1662" t="str">
        <f>IF(T25=100%," ",'Sources and Basis Breakdown'!J2)</f>
        <v xml:space="preserve"> </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38407361</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0</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5" t="s">
        <v>544</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8" t="s">
        <v>545</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8" t="s">
        <v>546</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8" t="s">
        <v>547</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8" t="s">
        <v>888</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8" t="s">
        <v>548</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3" t="s">
        <v>1070</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3" t="s">
        <v>1070</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549</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1552</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550</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4" t="s">
        <v>551</v>
      </c>
      <c r="C23" s="1635"/>
      <c r="D23" s="1635"/>
      <c r="E23" s="1635"/>
      <c r="F23" s="1635"/>
      <c r="G23" s="1635"/>
      <c r="H23" s="1635"/>
      <c r="I23" s="1635"/>
      <c r="J23" s="1635"/>
      <c r="K23" s="1635"/>
      <c r="L23" s="1635"/>
      <c r="M23" s="1635"/>
      <c r="N23" s="1635"/>
      <c r="O23" s="1635"/>
      <c r="P23" s="1635"/>
      <c r="Q23" s="1635"/>
      <c r="R23" s="1635"/>
      <c r="S23" s="1636"/>
      <c r="T23" s="1624">
        <f>T11+T22</f>
        <v>38407361</v>
      </c>
      <c r="U23" s="1625"/>
      <c r="V23" s="1625"/>
      <c r="W23" s="1625"/>
      <c r="X23" s="1625"/>
      <c r="Y23" s="1624">
        <f>Y11+Y22</f>
        <v>0</v>
      </c>
      <c r="Z23" s="1625"/>
      <c r="AA23" s="1625"/>
      <c r="AB23" s="1625"/>
      <c r="AC23" s="1625"/>
      <c r="AD23" s="1624">
        <f>AD11+AD22</f>
        <v>0</v>
      </c>
      <c r="AE23" s="1625"/>
      <c r="AF23" s="1625"/>
      <c r="AG23" s="1625"/>
      <c r="AH23" s="1625"/>
      <c r="AI23" s="1624">
        <f>AI11+AI22</f>
        <v>0</v>
      </c>
      <c r="AJ23" s="1625"/>
      <c r="AK23" s="1625"/>
      <c r="AL23" s="1625"/>
      <c r="AM23" s="162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1071</v>
      </c>
      <c r="C24" s="1632"/>
      <c r="D24" s="1632"/>
      <c r="E24" s="1632"/>
      <c r="F24" s="1632"/>
      <c r="G24" s="1632"/>
      <c r="H24" s="1632"/>
      <c r="I24" s="1632"/>
      <c r="J24" s="1632"/>
      <c r="K24" s="1632"/>
      <c r="L24" s="1632"/>
      <c r="M24" s="1632"/>
      <c r="N24" s="1632"/>
      <c r="O24" s="1632"/>
      <c r="P24" s="1632"/>
      <c r="Q24" s="1632"/>
      <c r="R24" s="1632"/>
      <c r="S24" s="1633"/>
      <c r="T24" s="1626">
        <f>Application!AD1004</f>
        <v>55696996.799999997</v>
      </c>
      <c r="U24" s="1627"/>
      <c r="V24" s="1627"/>
      <c r="W24" s="1627"/>
      <c r="X24" s="1627"/>
      <c r="Y24" s="1627"/>
      <c r="Z24" s="1627"/>
      <c r="AA24" s="1627"/>
      <c r="AB24" s="1627"/>
      <c r="AC24" s="1627"/>
      <c r="AD24" s="1627"/>
      <c r="AE24" s="1627"/>
      <c r="AF24" s="1627"/>
      <c r="AG24" s="1627"/>
      <c r="AH24" s="1627"/>
      <c r="AI24" s="1627"/>
      <c r="AJ24" s="1627"/>
      <c r="AK24" s="1627"/>
      <c r="AL24" s="1627"/>
      <c r="AM24" s="162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9" t="s">
        <v>1553</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552</v>
      </c>
      <c r="C26" s="1632"/>
      <c r="D26" s="1632"/>
      <c r="E26" s="1632"/>
      <c r="F26" s="1632"/>
      <c r="G26" s="1632"/>
      <c r="H26" s="1632"/>
      <c r="I26" s="1632"/>
      <c r="J26" s="1632"/>
      <c r="K26" s="1632"/>
      <c r="L26" s="1632"/>
      <c r="M26" s="1632"/>
      <c r="N26" s="1632"/>
      <c r="O26" s="1632"/>
      <c r="P26" s="1632"/>
      <c r="Q26" s="1632"/>
      <c r="R26" s="1632"/>
      <c r="S26" s="1633"/>
      <c r="T26" s="1675">
        <f>T23*T25</f>
        <v>38407361</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2" t="s">
        <v>461</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553</v>
      </c>
      <c r="C28" s="1632"/>
      <c r="D28" s="1632"/>
      <c r="E28" s="1632"/>
      <c r="F28" s="1632"/>
      <c r="G28" s="1632"/>
      <c r="H28" s="1632"/>
      <c r="I28" s="1632"/>
      <c r="J28" s="1632"/>
      <c r="K28" s="1632"/>
      <c r="L28" s="1632"/>
      <c r="M28" s="1632"/>
      <c r="N28" s="1632"/>
      <c r="O28" s="1632"/>
      <c r="P28" s="1632"/>
      <c r="Q28" s="1632"/>
      <c r="R28" s="1632"/>
      <c r="S28" s="1633"/>
      <c r="T28" s="1645">
        <f>IF(ISERROR((T26*T27)),0,(T26*T27))</f>
        <v>38407361</v>
      </c>
      <c r="U28" s="1646"/>
      <c r="V28" s="1646"/>
      <c r="W28" s="1646"/>
      <c r="X28" s="1646"/>
      <c r="Y28" s="1645">
        <f>IF(ISERROR((Y26*Y27)),0,(Y26*Y27))</f>
        <v>0</v>
      </c>
      <c r="Z28" s="1646"/>
      <c r="AA28" s="1646"/>
      <c r="AB28" s="1646"/>
      <c r="AC28" s="1646"/>
      <c r="AD28" s="1645">
        <f>IF(ISERROR((AD26*AD27)),0,(AD26*AD27))</f>
        <v>0</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570</v>
      </c>
      <c r="C29" s="1632"/>
      <c r="D29" s="1632"/>
      <c r="E29" s="1632"/>
      <c r="F29" s="1632"/>
      <c r="G29" s="1632"/>
      <c r="H29" s="1632"/>
      <c r="I29" s="1632"/>
      <c r="J29" s="1632"/>
      <c r="K29" s="1632"/>
      <c r="L29" s="1632"/>
      <c r="M29" s="1632"/>
      <c r="N29" s="1632"/>
      <c r="O29" s="1632"/>
      <c r="P29" s="1632"/>
      <c r="Q29" s="1632"/>
      <c r="R29" s="1632"/>
      <c r="S29" s="1633"/>
      <c r="T29" s="1626">
        <f>T28+Y28+AD28+AI28</f>
        <v>38407361</v>
      </c>
      <c r="U29" s="1627"/>
      <c r="V29" s="1627"/>
      <c r="W29" s="1627"/>
      <c r="X29" s="1627"/>
      <c r="Y29" s="1627"/>
      <c r="Z29" s="1627"/>
      <c r="AA29" s="1627"/>
      <c r="AB29" s="1627"/>
      <c r="AC29" s="1627"/>
      <c r="AD29" s="1627"/>
      <c r="AE29" s="1627"/>
      <c r="AF29" s="1627"/>
      <c r="AG29" s="1627"/>
      <c r="AH29" s="1627"/>
      <c r="AI29" s="1627"/>
      <c r="AJ29" s="1627"/>
      <c r="AK29" s="1627"/>
      <c r="AL29" s="1627"/>
      <c r="AM29" s="162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7" t="s">
        <v>1557</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7" t="s">
        <v>1554</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1386</v>
      </c>
      <c r="Z35" s="1662"/>
      <c r="AA35" s="1662"/>
      <c r="AB35" s="1662"/>
      <c r="AC35" s="1662"/>
      <c r="AD35" s="1694" t="s">
        <v>394</v>
      </c>
      <c r="AE35" s="1694"/>
      <c r="AF35" s="1694"/>
      <c r="AG35" s="1694"/>
      <c r="AH35" s="169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94"/>
      <c r="AE36" s="1694"/>
      <c r="AF36" s="1694"/>
      <c r="AG36" s="1694"/>
      <c r="AH36" s="169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94"/>
      <c r="AE37" s="1694"/>
      <c r="AF37" s="1694"/>
      <c r="AG37" s="1694"/>
      <c r="AH37" s="169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553</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38407361</v>
      </c>
      <c r="Z38" s="1625"/>
      <c r="AA38" s="1625"/>
      <c r="AB38" s="1625"/>
      <c r="AC38" s="1625"/>
      <c r="AD38" s="1625">
        <f>IF(T24&gt;=(T23+Y23+AD23+AI23),AD28+AI28,0)</f>
        <v>0</v>
      </c>
      <c r="AE38" s="1625"/>
      <c r="AF38" s="1625"/>
      <c r="AG38" s="1625"/>
      <c r="AH38" s="162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1555</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693</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1244398</v>
      </c>
      <c r="Z40" s="1625"/>
      <c r="AA40" s="1625"/>
      <c r="AB40" s="1625"/>
      <c r="AC40" s="1625"/>
      <c r="AD40" s="1624">
        <f>ROUND(AD38*AD39,0)</f>
        <v>0</v>
      </c>
      <c r="AE40" s="1625"/>
      <c r="AF40" s="1625"/>
      <c r="AG40" s="1625"/>
      <c r="AH40" s="162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694</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1244398</v>
      </c>
      <c r="Z41" s="1648"/>
      <c r="AA41" s="1648"/>
      <c r="AB41" s="1648"/>
      <c r="AC41" s="1648"/>
      <c r="AD41" s="1648"/>
      <c r="AE41" s="1648"/>
      <c r="AF41" s="1648"/>
      <c r="AG41" s="1648"/>
      <c r="AH41" s="164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8" t="s">
        <v>1556</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9" t="s">
        <v>1587</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48491716</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32655753</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15835963</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7">
        <v>0.96362944147552132</v>
      </c>
      <c r="AC50" s="1688"/>
      <c r="AD50" s="1688"/>
      <c r="AE50" s="1688"/>
      <c r="AF50" s="168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0" t="s">
        <v>1182</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16433665</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1643366.5</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1">
        <f>(IF((Y41&lt;AB55),Y41,AB55))</f>
        <v>1244398</v>
      </c>
      <c r="AC56" s="1692"/>
      <c r="AD56" s="1692"/>
      <c r="AE56" s="1692"/>
      <c r="AF56" s="169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11991385</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1">
        <f>AB49-AB57</f>
        <v>3844578</v>
      </c>
      <c r="AC59" s="1681"/>
      <c r="AD59" s="1681"/>
      <c r="AE59" s="1681"/>
      <c r="AF59" s="168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2" t="s">
        <v>1101</v>
      </c>
      <c r="Z63" s="1682"/>
      <c r="AA63" s="1682"/>
      <c r="AB63" s="1682"/>
      <c r="AC63" s="1682"/>
      <c r="AD63" s="1682" t="s">
        <v>394</v>
      </c>
      <c r="AE63" s="1682"/>
      <c r="AF63" s="1682"/>
      <c r="AG63" s="1682"/>
      <c r="AH63" s="168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83">
        <f>IF(OR(Application!M350="yes",Application!AF204="yes"),(T23*T27)+Y28,0)</f>
        <v>38407361</v>
      </c>
      <c r="Z64" s="1684"/>
      <c r="AA64" s="1684"/>
      <c r="AB64" s="1684"/>
      <c r="AC64" s="1685"/>
      <c r="AD64" s="1683">
        <f>IF(AND(Application!AF204="yes",Application!M353="yes"),AD28+AI28,0)</f>
        <v>0</v>
      </c>
      <c r="AE64" s="1684"/>
      <c r="AF64" s="1684"/>
      <c r="AG64" s="1684"/>
      <c r="AH64" s="168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6" t="s">
        <v>1537</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1">
        <f>IF(Application!AF204="yes",0.75,0.3)</f>
        <v>0.3</v>
      </c>
      <c r="Z67" s="1701"/>
      <c r="AA67" s="1701"/>
      <c r="AB67" s="1701"/>
      <c r="AC67" s="1701"/>
      <c r="AD67" s="1701">
        <f>IF(Application!AF204="yes",0.75,0.3)</f>
        <v>0.3</v>
      </c>
      <c r="AE67" s="1701"/>
      <c r="AF67" s="1701"/>
      <c r="AG67" s="1701"/>
      <c r="AH67" s="170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2">
        <f>ROUND(Y64*Y67,0)</f>
        <v>11522208</v>
      </c>
      <c r="Z68" s="1703"/>
      <c r="AA68" s="1703"/>
      <c r="AB68" s="1703"/>
      <c r="AC68" s="1703"/>
      <c r="AD68" s="1702" t="str">
        <f>IF(Application!D210="At-Risk",AD64*AD67,"$0")</f>
        <v>$0</v>
      </c>
      <c r="AE68" s="1703"/>
      <c r="AF68" s="1703"/>
      <c r="AG68" s="1703"/>
      <c r="AH68" s="170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7">
        <v>0.77</v>
      </c>
      <c r="AC71" s="1688"/>
      <c r="AD71" s="1688"/>
      <c r="AE71" s="1688"/>
      <c r="AF71" s="168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4" t="s">
        <v>1540</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6">
        <f>ROUND(IF(ISERROR((AB59/AB71)),0,(AB59/AB71)),0)</f>
        <v>4992958</v>
      </c>
      <c r="AC76" s="1696"/>
      <c r="AD76" s="1696"/>
      <c r="AE76" s="1696"/>
      <c r="AF76" s="169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7">
        <f>IF((Y68+AD68&lt;AB76),Y68+AD68,AB76)</f>
        <v>4992958</v>
      </c>
      <c r="AC77" s="1698"/>
      <c r="AD77" s="1698"/>
      <c r="AE77" s="1698"/>
      <c r="AF77" s="169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0">
        <f>AB77*AB71</f>
        <v>3844577.66</v>
      </c>
      <c r="AC78" s="1700"/>
      <c r="AD78" s="1700"/>
      <c r="AE78" s="1700"/>
      <c r="AF78" s="170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1">
        <f>AB49-(AB57+AB78)</f>
        <v>0.33999999985098839</v>
      </c>
      <c r="AC80" s="1681"/>
      <c r="AD80" s="1681"/>
      <c r="AE80" s="1681"/>
      <c r="AF80" s="168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9" t="s">
        <v>1588</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9" t="s">
        <v>643</v>
      </c>
      <c r="C85" s="344" t="s">
        <v>1586</v>
      </c>
    </row>
    <row r="86" spans="1:98" ht="12.75">
      <c r="D86" s="344" t="s">
        <v>1642</v>
      </c>
      <c r="AB86" s="1630">
        <f>IF(A61="$500M State Credit",AB77/(Application!AG424-Application!AG425),"N/A")</f>
        <v>54867.670329670327</v>
      </c>
      <c r="AC86" s="1630"/>
      <c r="AD86" s="1630"/>
      <c r="AE86" s="1630"/>
      <c r="AF86" s="1630"/>
    </row>
    <row r="87" spans="1:98" ht="13.5" thickBot="1">
      <c r="D87" s="344" t="s">
        <v>1643</v>
      </c>
      <c r="AB87" s="1628">
        <f>IF(A61="$500M State Credit",(Application!AG424-Application!AG425)/AB77,"N/A")</f>
        <v>1.8225669032265043E-5</v>
      </c>
      <c r="AC87" s="1628"/>
      <c r="AD87" s="1628"/>
      <c r="AE87" s="1628"/>
      <c r="AF87" s="162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6" zoomScaleSheetLayoutView="100" workbookViewId="0">
      <selection activeCell="C60" sqref="C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850740</v>
      </c>
      <c r="G4" s="366">
        <f>E4*$C$4</f>
        <v>872008.49999999988</v>
      </c>
      <c r="I4" s="366">
        <f>G4*$C$4</f>
        <v>893808.71249999979</v>
      </c>
      <c r="K4" s="366">
        <f>I4*$C$4</f>
        <v>916153.93031249975</v>
      </c>
      <c r="M4" s="366">
        <f>K4*$C$4</f>
        <v>939057.77857031219</v>
      </c>
      <c r="O4" s="366">
        <f>M4*$C$4</f>
        <v>962534.22303456988</v>
      </c>
      <c r="Q4" s="366">
        <f>O4*$C$4</f>
        <v>986597.57861043408</v>
      </c>
      <c r="S4" s="366">
        <f>Q4*$C$4</f>
        <v>1011262.5180756948</v>
      </c>
      <c r="U4" s="366">
        <f>S4*$C$4</f>
        <v>1036544.0810275871</v>
      </c>
      <c r="W4" s="366">
        <f>U4*$C$4</f>
        <v>1062457.6830532767</v>
      </c>
      <c r="Y4" s="366">
        <f>W4*$C$4</f>
        <v>1089019.1251296087</v>
      </c>
      <c r="AA4" s="366">
        <f>Y4*$C$4</f>
        <v>1116244.6032578489</v>
      </c>
      <c r="AC4" s="366">
        <f>AA4*$C$4</f>
        <v>1144150.7183392949</v>
      </c>
      <c r="AE4" s="366">
        <f>AC4*$C$4</f>
        <v>1172754.4862977772</v>
      </c>
      <c r="AG4" s="366">
        <f>AE4*$C$4</f>
        <v>1202073.3484552214</v>
      </c>
    </row>
    <row r="5" spans="1:34" s="350" customFormat="1" ht="14.25">
      <c r="B5" s="350" t="s">
        <v>925</v>
      </c>
      <c r="C5" s="391">
        <v>7.4999999999999997E-2</v>
      </c>
      <c r="E5" s="368">
        <f>-E4*$C$5</f>
        <v>-63805.5</v>
      </c>
      <c r="F5" s="368"/>
      <c r="G5" s="368">
        <f>-G4*$C$5</f>
        <v>-65400.63749999999</v>
      </c>
      <c r="H5" s="368"/>
      <c r="I5" s="368">
        <f>-I4*$C$5</f>
        <v>-67035.653437499976</v>
      </c>
      <c r="J5" s="368"/>
      <c r="K5" s="368">
        <f>-K4*$C$5</f>
        <v>-68711.544773437476</v>
      </c>
      <c r="L5" s="368"/>
      <c r="M5" s="368">
        <f>-M4*$C$5</f>
        <v>-70429.333392773406</v>
      </c>
      <c r="N5" s="368"/>
      <c r="O5" s="368">
        <f>-O4*$C$5</f>
        <v>-72190.066727592741</v>
      </c>
      <c r="P5" s="368"/>
      <c r="Q5" s="368">
        <f>-Q4*$C$5</f>
        <v>-73994.818395782553</v>
      </c>
      <c r="R5" s="368"/>
      <c r="S5" s="368">
        <f>-S4*$C$5</f>
        <v>-75844.688855677101</v>
      </c>
      <c r="T5" s="368"/>
      <c r="U5" s="368">
        <f>-U4*$C$5</f>
        <v>-77740.806077069021</v>
      </c>
      <c r="V5" s="368"/>
      <c r="W5" s="368">
        <f>-W4*$C$5</f>
        <v>-79684.326228995749</v>
      </c>
      <c r="X5" s="368"/>
      <c r="Y5" s="368">
        <f>-Y4*$C$5</f>
        <v>-81676.434384720647</v>
      </c>
      <c r="Z5" s="368"/>
      <c r="AA5" s="368">
        <f>-AA4*$C$5</f>
        <v>-83718.345244338663</v>
      </c>
      <c r="AB5" s="368"/>
      <c r="AC5" s="368">
        <f>-AC4*$C$5</f>
        <v>-85811.30387544712</v>
      </c>
      <c r="AD5" s="368"/>
      <c r="AE5" s="368">
        <f>-AE4*$C$5</f>
        <v>-87956.586472333278</v>
      </c>
      <c r="AF5" s="368"/>
      <c r="AG5" s="368">
        <f>-AG4*$C$5</f>
        <v>-90155.501134141596</v>
      </c>
    </row>
    <row r="6" spans="1:34" s="350" customFormat="1" ht="14.25">
      <c r="A6" s="350" t="s">
        <v>923</v>
      </c>
      <c r="C6" s="390">
        <v>1.0249999999999999</v>
      </c>
      <c r="E6" s="369">
        <f>Application!Z789</f>
        <v>588288</v>
      </c>
      <c r="F6" s="369"/>
      <c r="G6" s="369">
        <f>E6*$C$6</f>
        <v>602995.19999999995</v>
      </c>
      <c r="H6" s="369"/>
      <c r="I6" s="369">
        <f>G6*$C$6</f>
        <v>618070.07999999984</v>
      </c>
      <c r="J6" s="369"/>
      <c r="K6" s="369">
        <f>I6*$C$6</f>
        <v>633521.83199999982</v>
      </c>
      <c r="L6" s="369"/>
      <c r="M6" s="369">
        <f>K6*$C$6</f>
        <v>649359.87779999978</v>
      </c>
      <c r="N6" s="369"/>
      <c r="O6" s="369">
        <f>M6*$C$6</f>
        <v>665593.87474499969</v>
      </c>
      <c r="P6" s="369"/>
      <c r="Q6" s="369">
        <f>O6*$C$6</f>
        <v>682233.7216136246</v>
      </c>
      <c r="R6" s="369"/>
      <c r="S6" s="369">
        <f>Q6*$C$6</f>
        <v>699289.56465396518</v>
      </c>
      <c r="T6" s="369"/>
      <c r="U6" s="369">
        <f>S6*$C$6</f>
        <v>716771.8037703142</v>
      </c>
      <c r="V6" s="369"/>
      <c r="W6" s="369">
        <f>U6*$C$6</f>
        <v>734691.09886457201</v>
      </c>
      <c r="X6" s="369"/>
      <c r="Y6" s="369">
        <f>W6*$C$6</f>
        <v>753058.37633618619</v>
      </c>
      <c r="Z6" s="369"/>
      <c r="AA6" s="369">
        <f>Y6*$C$6</f>
        <v>771884.83574459073</v>
      </c>
      <c r="AB6" s="369"/>
      <c r="AC6" s="369">
        <f>AA6*$C$6</f>
        <v>791181.95663820545</v>
      </c>
      <c r="AD6" s="369"/>
      <c r="AE6" s="369">
        <f>AC6*$C$6</f>
        <v>810961.50555416057</v>
      </c>
      <c r="AF6" s="369"/>
      <c r="AG6" s="369">
        <f>AE6*$C$6</f>
        <v>831235.54319301446</v>
      </c>
    </row>
    <row r="7" spans="1:34" s="350" customFormat="1" ht="14.25">
      <c r="B7" s="350" t="s">
        <v>925</v>
      </c>
      <c r="C7" s="391">
        <v>7.4999999999999997E-2</v>
      </c>
      <c r="E7" s="368">
        <f>-E6*$C$7</f>
        <v>-44121.599999999999</v>
      </c>
      <c r="F7" s="368"/>
      <c r="G7" s="368">
        <f>-G6*$C$7</f>
        <v>-45224.639999999992</v>
      </c>
      <c r="H7" s="368"/>
      <c r="I7" s="368">
        <f>-I6*$C$7</f>
        <v>-46355.255999999987</v>
      </c>
      <c r="J7" s="368"/>
      <c r="K7" s="368">
        <f>-K6*$C$7</f>
        <v>-47514.137399999985</v>
      </c>
      <c r="L7" s="368"/>
      <c r="M7" s="368">
        <f>-M6*$C$7</f>
        <v>-48701.990834999982</v>
      </c>
      <c r="N7" s="368"/>
      <c r="O7" s="368">
        <f>-O6*$C$7</f>
        <v>-49919.540605874972</v>
      </c>
      <c r="P7" s="368"/>
      <c r="Q7" s="368">
        <f>-Q6*$C$7</f>
        <v>-51167.529121021842</v>
      </c>
      <c r="R7" s="368"/>
      <c r="S7" s="368">
        <f>-S6*$C$7</f>
        <v>-52446.717349047387</v>
      </c>
      <c r="T7" s="368"/>
      <c r="U7" s="368">
        <f>-U6*$C$7</f>
        <v>-53757.885282773561</v>
      </c>
      <c r="V7" s="368"/>
      <c r="W7" s="368">
        <f>-W6*$C$7</f>
        <v>-55101.832414842902</v>
      </c>
      <c r="X7" s="368"/>
      <c r="Y7" s="368">
        <f>-Y6*$C$7</f>
        <v>-56479.378225213964</v>
      </c>
      <c r="Z7" s="368"/>
      <c r="AA7" s="368">
        <f>-AA6*$C$7</f>
        <v>-57891.3626808443</v>
      </c>
      <c r="AB7" s="368"/>
      <c r="AC7" s="368">
        <f>-AC6*$C$7</f>
        <v>-59338.646747865409</v>
      </c>
      <c r="AD7" s="368"/>
      <c r="AE7" s="368">
        <f>-AE6*$C$7</f>
        <v>-60822.112916562037</v>
      </c>
      <c r="AF7" s="368"/>
      <c r="AG7" s="368">
        <f>-AG6*$C$7</f>
        <v>-62342.665739476084</v>
      </c>
    </row>
    <row r="8" spans="1:34" s="350" customFormat="1" ht="14.25">
      <c r="A8" s="350" t="s">
        <v>307</v>
      </c>
      <c r="C8" s="390">
        <v>1.0249999999999999</v>
      </c>
      <c r="E8" s="369">
        <f>Application!Z797</f>
        <v>13650</v>
      </c>
      <c r="F8" s="369"/>
      <c r="G8" s="369">
        <f>E8*$C$8</f>
        <v>13991.249999999998</v>
      </c>
      <c r="H8" s="369"/>
      <c r="I8" s="369">
        <f>G8*$C$8</f>
        <v>14341.031249999996</v>
      </c>
      <c r="J8" s="369"/>
      <c r="K8" s="369">
        <f>I8*$C$8</f>
        <v>14699.557031249995</v>
      </c>
      <c r="L8" s="369"/>
      <c r="M8" s="369">
        <f>K8*$C$8</f>
        <v>15067.045957031243</v>
      </c>
      <c r="N8" s="369"/>
      <c r="O8" s="369">
        <f>M8*$C$8</f>
        <v>15443.722105957024</v>
      </c>
      <c r="P8" s="369"/>
      <c r="Q8" s="369">
        <f>O8*$C$8</f>
        <v>15829.815158605948</v>
      </c>
      <c r="R8" s="369"/>
      <c r="S8" s="369">
        <f>Q8*$C$8</f>
        <v>16225.560537571097</v>
      </c>
      <c r="T8" s="369"/>
      <c r="U8" s="369">
        <f>S8*$C$8</f>
        <v>16631.199551010373</v>
      </c>
      <c r="V8" s="369"/>
      <c r="W8" s="369">
        <f>U8*$C$8</f>
        <v>17046.979539785632</v>
      </c>
      <c r="X8" s="369"/>
      <c r="Y8" s="369">
        <f>W8*$C$8</f>
        <v>17473.154028280271</v>
      </c>
      <c r="Z8" s="369"/>
      <c r="AA8" s="369">
        <f>Y8*$C$8</f>
        <v>17909.982878987277</v>
      </c>
      <c r="AB8" s="369"/>
      <c r="AC8" s="369">
        <f>AA8*$C$8</f>
        <v>18357.732450961958</v>
      </c>
      <c r="AD8" s="369"/>
      <c r="AE8" s="369">
        <f>AC8*$C$8</f>
        <v>18816.675762236006</v>
      </c>
      <c r="AF8" s="369"/>
      <c r="AG8" s="369">
        <f>AE8*$C$8</f>
        <v>19287.092656291905</v>
      </c>
    </row>
    <row r="9" spans="1:34" s="350" customFormat="1" ht="14.25">
      <c r="B9" s="350" t="s">
        <v>925</v>
      </c>
      <c r="C9" s="391">
        <v>7.4999999999999997E-2</v>
      </c>
      <c r="E9" s="388">
        <f>-E8*$C$9</f>
        <v>-1023.75</v>
      </c>
      <c r="F9" s="368"/>
      <c r="G9" s="388">
        <f>-G8*$C$9</f>
        <v>-1049.3437499999998</v>
      </c>
      <c r="H9" s="368"/>
      <c r="I9" s="388">
        <f>-I8*$C$9</f>
        <v>-1075.5773437499997</v>
      </c>
      <c r="J9" s="368"/>
      <c r="K9" s="388">
        <f>-K8*$C$9</f>
        <v>-1102.4667773437495</v>
      </c>
      <c r="L9" s="368"/>
      <c r="M9" s="388">
        <f>-M8*$C$9</f>
        <v>-1130.0284467773431</v>
      </c>
      <c r="N9" s="368"/>
      <c r="O9" s="388">
        <f>-O8*$C$9</f>
        <v>-1158.2791579467766</v>
      </c>
      <c r="P9" s="368"/>
      <c r="Q9" s="388">
        <f>-Q8*$C$9</f>
        <v>-1187.2361368954462</v>
      </c>
      <c r="R9" s="368"/>
      <c r="S9" s="388">
        <f>-S8*$C$9</f>
        <v>-1216.9170403178323</v>
      </c>
      <c r="T9" s="368"/>
      <c r="U9" s="388">
        <f>-U8*$C$9</f>
        <v>-1247.3399663257781</v>
      </c>
      <c r="V9" s="368"/>
      <c r="W9" s="388">
        <f>-W8*$C$9</f>
        <v>-1278.5234654839223</v>
      </c>
      <c r="X9" s="368"/>
      <c r="Y9" s="388">
        <f>-Y8*$C$9</f>
        <v>-1310.4865521210202</v>
      </c>
      <c r="Z9" s="368"/>
      <c r="AA9" s="388">
        <f>-AA8*$C$9</f>
        <v>-1343.2487159240457</v>
      </c>
      <c r="AB9" s="368"/>
      <c r="AC9" s="388">
        <f>-AC8*$C$9</f>
        <v>-1376.8299338221468</v>
      </c>
      <c r="AD9" s="368"/>
      <c r="AE9" s="388">
        <f>-AE8*$C$9</f>
        <v>-1411.2506821677005</v>
      </c>
      <c r="AF9" s="368"/>
      <c r="AG9" s="388">
        <f>-AG8*$C$9</f>
        <v>-1446.5319492218928</v>
      </c>
    </row>
    <row r="10" spans="1:34" s="370" customFormat="1" ht="15">
      <c r="A10" s="370" t="s">
        <v>947</v>
      </c>
      <c r="C10" s="361"/>
      <c r="E10" s="370">
        <f>SUM(E4:E9)</f>
        <v>1343727.15</v>
      </c>
      <c r="G10" s="370">
        <f>SUM(G4:G9)</f>
        <v>1377320.3287500001</v>
      </c>
      <c r="I10" s="370">
        <f>SUM(I4:I9)</f>
        <v>1411753.3369687495</v>
      </c>
      <c r="K10" s="370">
        <f>SUM(K4:K9)</f>
        <v>1447047.1703929687</v>
      </c>
      <c r="M10" s="370">
        <f>SUM(M4:M9)</f>
        <v>1483223.3496527926</v>
      </c>
      <c r="O10" s="370">
        <f>SUM(O4:O9)</f>
        <v>1520303.9333941122</v>
      </c>
      <c r="Q10" s="370">
        <f>SUM(Q4:Q9)</f>
        <v>1558311.531728965</v>
      </c>
      <c r="S10" s="370">
        <f>SUM(S4:S9)</f>
        <v>1597269.3200221888</v>
      </c>
      <c r="U10" s="370">
        <f>SUM(U4:U9)</f>
        <v>1637201.0530227432</v>
      </c>
      <c r="W10" s="370">
        <f>SUM(W4:W9)</f>
        <v>1678131.0793483115</v>
      </c>
      <c r="Y10" s="370">
        <f>SUM(Y4:Y9)</f>
        <v>1720084.3563320194</v>
      </c>
      <c r="AA10" s="370">
        <f>SUM(AA4:AA9)</f>
        <v>1763086.46524032</v>
      </c>
      <c r="AC10" s="370">
        <f>SUM(AC4:AC9)</f>
        <v>1807163.6268713276</v>
      </c>
      <c r="AE10" s="370">
        <f>SUM(AE4:AE9)</f>
        <v>1852342.7175431109</v>
      </c>
      <c r="AG10" s="370">
        <f>SUM(AG4:AG9)</f>
        <v>1898651.2854816883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66900</v>
      </c>
      <c r="G14" s="366">
        <f>E14*$C$13</f>
        <v>69241.5</v>
      </c>
      <c r="I14" s="366">
        <f>G14*$C$13</f>
        <v>71664.952499999999</v>
      </c>
      <c r="K14" s="366">
        <f>I14*$C$13</f>
        <v>74173.225837499995</v>
      </c>
      <c r="M14" s="366">
        <f>K14*$C$13</f>
        <v>76769.288741812488</v>
      </c>
      <c r="O14" s="366">
        <f>M14*$C$13</f>
        <v>79456.213847775914</v>
      </c>
      <c r="Q14" s="366">
        <f>O14*$C$13</f>
        <v>82237.181332448061</v>
      </c>
      <c r="S14" s="366">
        <f>Q14*$C$13</f>
        <v>85115.48267908374</v>
      </c>
      <c r="U14" s="366">
        <f>S14*$C$13</f>
        <v>88094.52457285166</v>
      </c>
      <c r="W14" s="366">
        <f>U14*$C$13</f>
        <v>91177.832932901467</v>
      </c>
      <c r="Y14" s="366">
        <f>W14*$C$13</f>
        <v>94369.05708555301</v>
      </c>
      <c r="AA14" s="366">
        <f>Y14*$C$13</f>
        <v>97671.974083547364</v>
      </c>
      <c r="AC14" s="366">
        <f>AA14*$C$13</f>
        <v>101090.49317647151</v>
      </c>
      <c r="AE14" s="366">
        <f>AC14*$C$13</f>
        <v>104628.66043764801</v>
      </c>
      <c r="AG14" s="366">
        <f>AE14*$C$13</f>
        <v>108290.66355296568</v>
      </c>
    </row>
    <row r="15" spans="1:34" s="350" customFormat="1" ht="14.25">
      <c r="A15" s="350" t="s">
        <v>368</v>
      </c>
      <c r="C15" s="380"/>
      <c r="E15" s="369">
        <f>Application!W829</f>
        <v>65520</v>
      </c>
      <c r="F15" s="369"/>
      <c r="G15" s="369">
        <f t="shared" ref="G15:AG20" si="0">E15*$C$13</f>
        <v>67813.2</v>
      </c>
      <c r="H15" s="369"/>
      <c r="I15" s="369">
        <f t="shared" si="0"/>
        <v>70186.661999999997</v>
      </c>
      <c r="J15" s="369"/>
      <c r="K15" s="369">
        <f t="shared" si="0"/>
        <v>72643.195169999992</v>
      </c>
      <c r="L15" s="369"/>
      <c r="M15" s="369">
        <f t="shared" si="0"/>
        <v>75185.707000949988</v>
      </c>
      <c r="N15" s="369"/>
      <c r="O15" s="369">
        <f t="shared" si="0"/>
        <v>77817.206745983232</v>
      </c>
      <c r="P15" s="369"/>
      <c r="Q15" s="369">
        <f t="shared" si="0"/>
        <v>80540.80898209264</v>
      </c>
      <c r="R15" s="369"/>
      <c r="S15" s="369">
        <f t="shared" si="0"/>
        <v>83359.737296465872</v>
      </c>
      <c r="T15" s="369"/>
      <c r="U15" s="369">
        <f t="shared" si="0"/>
        <v>86277.328101842169</v>
      </c>
      <c r="V15" s="369"/>
      <c r="W15" s="369">
        <f t="shared" si="0"/>
        <v>89297.03458540664</v>
      </c>
      <c r="X15" s="369"/>
      <c r="Y15" s="369">
        <f t="shared" si="0"/>
        <v>92422.430795895867</v>
      </c>
      <c r="Z15" s="369"/>
      <c r="AA15" s="369">
        <f t="shared" si="0"/>
        <v>95657.215873752211</v>
      </c>
      <c r="AB15" s="369"/>
      <c r="AC15" s="369">
        <f t="shared" si="0"/>
        <v>99005.21842933353</v>
      </c>
      <c r="AD15" s="369"/>
      <c r="AE15" s="369">
        <f t="shared" si="0"/>
        <v>102470.4010743602</v>
      </c>
      <c r="AF15" s="369"/>
      <c r="AG15" s="369">
        <f t="shared" si="0"/>
        <v>106056.86511196279</v>
      </c>
    </row>
    <row r="16" spans="1:34" s="350" customFormat="1" ht="14.25">
      <c r="A16" s="350" t="s">
        <v>610</v>
      </c>
      <c r="C16" s="380"/>
      <c r="E16" s="369">
        <f>Application!W835</f>
        <v>125000</v>
      </c>
      <c r="F16" s="369"/>
      <c r="G16" s="369">
        <f t="shared" si="0"/>
        <v>129374.99999999999</v>
      </c>
      <c r="H16" s="369"/>
      <c r="I16" s="369">
        <f t="shared" si="0"/>
        <v>133903.12499999997</v>
      </c>
      <c r="J16" s="369"/>
      <c r="K16" s="369">
        <f t="shared" si="0"/>
        <v>138589.73437499997</v>
      </c>
      <c r="L16" s="369"/>
      <c r="M16" s="369">
        <f t="shared" si="0"/>
        <v>143440.37507812495</v>
      </c>
      <c r="N16" s="369"/>
      <c r="O16" s="369">
        <f t="shared" si="0"/>
        <v>148460.78820585931</v>
      </c>
      <c r="P16" s="369"/>
      <c r="Q16" s="369">
        <f t="shared" si="0"/>
        <v>153656.91579306437</v>
      </c>
      <c r="R16" s="369"/>
      <c r="S16" s="369">
        <f t="shared" si="0"/>
        <v>159034.90784582161</v>
      </c>
      <c r="T16" s="369"/>
      <c r="U16" s="369">
        <f t="shared" si="0"/>
        <v>164601.12962042534</v>
      </c>
      <c r="V16" s="369"/>
      <c r="W16" s="369">
        <f t="shared" si="0"/>
        <v>170362.16915714022</v>
      </c>
      <c r="X16" s="369"/>
      <c r="Y16" s="369">
        <f t="shared" si="0"/>
        <v>176324.84507764012</v>
      </c>
      <c r="Z16" s="369"/>
      <c r="AA16" s="369">
        <f t="shared" si="0"/>
        <v>182496.2146553575</v>
      </c>
      <c r="AB16" s="369"/>
      <c r="AC16" s="369">
        <f t="shared" si="0"/>
        <v>188883.58216829499</v>
      </c>
      <c r="AD16" s="369"/>
      <c r="AE16" s="369">
        <f t="shared" si="0"/>
        <v>195494.5075441853</v>
      </c>
      <c r="AF16" s="369"/>
      <c r="AG16" s="369">
        <f t="shared" si="0"/>
        <v>202336.81530823177</v>
      </c>
    </row>
    <row r="17" spans="1:33" s="350" customFormat="1" ht="14.25">
      <c r="A17" s="350" t="s">
        <v>929</v>
      </c>
      <c r="C17" s="380"/>
      <c r="E17" s="369">
        <f>Application!W840</f>
        <v>184950</v>
      </c>
      <c r="F17" s="369"/>
      <c r="G17" s="369">
        <f t="shared" si="0"/>
        <v>191423.24999999997</v>
      </c>
      <c r="H17" s="369"/>
      <c r="I17" s="369">
        <f t="shared" si="0"/>
        <v>198123.06374999994</v>
      </c>
      <c r="J17" s="369"/>
      <c r="K17" s="369">
        <f t="shared" si="0"/>
        <v>205057.37098124993</v>
      </c>
      <c r="L17" s="369"/>
      <c r="M17" s="369">
        <f t="shared" si="0"/>
        <v>212234.37896559367</v>
      </c>
      <c r="N17" s="369"/>
      <c r="O17" s="369">
        <f t="shared" si="0"/>
        <v>219662.58222938943</v>
      </c>
      <c r="P17" s="369"/>
      <c r="Q17" s="369">
        <f t="shared" si="0"/>
        <v>227350.77260741804</v>
      </c>
      <c r="R17" s="369"/>
      <c r="S17" s="369">
        <f t="shared" si="0"/>
        <v>235308.04964867764</v>
      </c>
      <c r="T17" s="369"/>
      <c r="U17" s="369">
        <f t="shared" si="0"/>
        <v>243543.83138638132</v>
      </c>
      <c r="V17" s="369"/>
      <c r="W17" s="369">
        <f t="shared" si="0"/>
        <v>252067.86548490464</v>
      </c>
      <c r="X17" s="369"/>
      <c r="Y17" s="369">
        <f t="shared" si="0"/>
        <v>260890.24077687628</v>
      </c>
      <c r="Z17" s="369"/>
      <c r="AA17" s="369">
        <f t="shared" si="0"/>
        <v>270021.39920406695</v>
      </c>
      <c r="AB17" s="369"/>
      <c r="AC17" s="369">
        <f t="shared" si="0"/>
        <v>279472.1481762093</v>
      </c>
      <c r="AD17" s="369"/>
      <c r="AE17" s="369">
        <f t="shared" si="0"/>
        <v>289253.67336237663</v>
      </c>
      <c r="AF17" s="369"/>
      <c r="AG17" s="369">
        <f t="shared" si="0"/>
        <v>299377.5519300598</v>
      </c>
    </row>
    <row r="18" spans="1:33" s="350" customFormat="1" ht="14.25">
      <c r="A18" s="350" t="s">
        <v>162</v>
      </c>
      <c r="C18" s="380"/>
      <c r="E18" s="369">
        <f>Application!W841</f>
        <v>54600</v>
      </c>
      <c r="F18" s="369"/>
      <c r="G18" s="369">
        <f t="shared" si="0"/>
        <v>56510.999999999993</v>
      </c>
      <c r="H18" s="369"/>
      <c r="I18" s="369">
        <f t="shared" si="0"/>
        <v>58488.884999999987</v>
      </c>
      <c r="J18" s="369"/>
      <c r="K18" s="369">
        <f t="shared" si="0"/>
        <v>60535.995974999983</v>
      </c>
      <c r="L18" s="369"/>
      <c r="M18" s="369">
        <f t="shared" si="0"/>
        <v>62654.755834124975</v>
      </c>
      <c r="N18" s="369"/>
      <c r="O18" s="369">
        <f t="shared" si="0"/>
        <v>64847.672288319343</v>
      </c>
      <c r="P18" s="369"/>
      <c r="Q18" s="369">
        <f t="shared" si="0"/>
        <v>67117.340818410521</v>
      </c>
      <c r="R18" s="369"/>
      <c r="S18" s="369">
        <f t="shared" si="0"/>
        <v>69466.447747054888</v>
      </c>
      <c r="T18" s="369"/>
      <c r="U18" s="369">
        <f t="shared" si="0"/>
        <v>71897.773418201803</v>
      </c>
      <c r="V18" s="369"/>
      <c r="W18" s="369">
        <f t="shared" si="0"/>
        <v>74414.195487838864</v>
      </c>
      <c r="X18" s="369"/>
      <c r="Y18" s="369">
        <f t="shared" si="0"/>
        <v>77018.692329913218</v>
      </c>
      <c r="Z18" s="369"/>
      <c r="AA18" s="369">
        <f t="shared" si="0"/>
        <v>79714.346561460174</v>
      </c>
      <c r="AB18" s="369"/>
      <c r="AC18" s="369">
        <f t="shared" si="0"/>
        <v>82504.34869111127</v>
      </c>
      <c r="AD18" s="369"/>
      <c r="AE18" s="369">
        <f t="shared" si="0"/>
        <v>85392.000895300152</v>
      </c>
      <c r="AF18" s="369"/>
      <c r="AG18" s="369">
        <f t="shared" si="0"/>
        <v>88380.720926635651</v>
      </c>
    </row>
    <row r="19" spans="1:33" s="350" customFormat="1" ht="14.25">
      <c r="A19" s="350" t="s">
        <v>423</v>
      </c>
      <c r="C19" s="380"/>
      <c r="E19" s="369">
        <f>Application!W850</f>
        <v>168860</v>
      </c>
      <c r="F19" s="369"/>
      <c r="G19" s="369">
        <f t="shared" si="0"/>
        <v>174770.09999999998</v>
      </c>
      <c r="H19" s="369"/>
      <c r="I19" s="369">
        <f t="shared" si="0"/>
        <v>180887.05349999995</v>
      </c>
      <c r="J19" s="369"/>
      <c r="K19" s="369">
        <f t="shared" si="0"/>
        <v>187218.10037249993</v>
      </c>
      <c r="L19" s="369"/>
      <c r="M19" s="369">
        <f t="shared" si="0"/>
        <v>193770.73388553743</v>
      </c>
      <c r="N19" s="369"/>
      <c r="O19" s="369">
        <f t="shared" si="0"/>
        <v>200552.70957153122</v>
      </c>
      <c r="P19" s="369"/>
      <c r="Q19" s="369">
        <f t="shared" si="0"/>
        <v>207572.05440653479</v>
      </c>
      <c r="R19" s="369"/>
      <c r="S19" s="369">
        <f t="shared" si="0"/>
        <v>214837.07631076348</v>
      </c>
      <c r="T19" s="369"/>
      <c r="U19" s="369">
        <f t="shared" si="0"/>
        <v>222356.37398164018</v>
      </c>
      <c r="V19" s="369"/>
      <c r="W19" s="369">
        <f t="shared" si="0"/>
        <v>230138.84707099758</v>
      </c>
      <c r="X19" s="369"/>
      <c r="Y19" s="369">
        <f t="shared" si="0"/>
        <v>238193.70671848248</v>
      </c>
      <c r="Z19" s="369"/>
      <c r="AA19" s="369">
        <f t="shared" si="0"/>
        <v>246530.48645362936</v>
      </c>
      <c r="AB19" s="369"/>
      <c r="AC19" s="369">
        <f t="shared" si="0"/>
        <v>255159.05347950637</v>
      </c>
      <c r="AD19" s="369"/>
      <c r="AE19" s="369">
        <f t="shared" si="0"/>
        <v>264089.62035128905</v>
      </c>
      <c r="AF19" s="369"/>
      <c r="AG19" s="369">
        <f t="shared" si="0"/>
        <v>273332.75706358417</v>
      </c>
    </row>
    <row r="20" spans="1:33" s="350" customFormat="1" ht="14.25">
      <c r="A20" s="373" t="s">
        <v>1746</v>
      </c>
      <c r="B20" s="373"/>
      <c r="C20" s="380"/>
      <c r="E20" s="379">
        <f>Application!W857</f>
        <v>46745</v>
      </c>
      <c r="F20" s="369"/>
      <c r="G20" s="379">
        <f t="shared" si="0"/>
        <v>48381.074999999997</v>
      </c>
      <c r="H20" s="369"/>
      <c r="I20" s="379">
        <f t="shared" si="0"/>
        <v>50074.41262499999</v>
      </c>
      <c r="J20" s="369"/>
      <c r="K20" s="379">
        <f t="shared" si="0"/>
        <v>51827.017066874985</v>
      </c>
      <c r="L20" s="369"/>
      <c r="M20" s="379">
        <f t="shared" si="0"/>
        <v>53640.962664215607</v>
      </c>
      <c r="N20" s="369"/>
      <c r="O20" s="379">
        <f t="shared" si="0"/>
        <v>55518.396357463149</v>
      </c>
      <c r="P20" s="369"/>
      <c r="Q20" s="379">
        <f t="shared" si="0"/>
        <v>57461.540229974358</v>
      </c>
      <c r="R20" s="369"/>
      <c r="S20" s="379">
        <f t="shared" si="0"/>
        <v>59472.694138023457</v>
      </c>
      <c r="T20" s="369"/>
      <c r="U20" s="379">
        <f t="shared" si="0"/>
        <v>61554.238432854276</v>
      </c>
      <c r="V20" s="369"/>
      <c r="W20" s="379">
        <f t="shared" si="0"/>
        <v>63708.636778004169</v>
      </c>
      <c r="X20" s="369"/>
      <c r="Y20" s="379">
        <f t="shared" si="0"/>
        <v>65938.439065234314</v>
      </c>
      <c r="Z20" s="369"/>
      <c r="AA20" s="379">
        <f t="shared" si="0"/>
        <v>68246.28443251751</v>
      </c>
      <c r="AB20" s="369"/>
      <c r="AC20" s="379">
        <f t="shared" si="0"/>
        <v>70634.904387655624</v>
      </c>
      <c r="AD20" s="369"/>
      <c r="AE20" s="379">
        <f t="shared" si="0"/>
        <v>73107.126041223572</v>
      </c>
      <c r="AF20" s="369"/>
      <c r="AG20" s="379">
        <f t="shared" si="0"/>
        <v>75665.875452666398</v>
      </c>
    </row>
    <row r="21" spans="1:33" s="370" customFormat="1" ht="15">
      <c r="A21" s="370" t="s">
        <v>930</v>
      </c>
      <c r="C21" s="380"/>
      <c r="E21" s="370">
        <f>SUM(E14:E20)</f>
        <v>712575</v>
      </c>
      <c r="G21" s="370">
        <f>SUM(G14:G20)</f>
        <v>737515.12499999988</v>
      </c>
      <c r="I21" s="370">
        <f>SUM(I14:I20)</f>
        <v>763328.15437499981</v>
      </c>
      <c r="K21" s="370">
        <f>SUM(K14:K20)</f>
        <v>790044.63977812475</v>
      </c>
      <c r="M21" s="370">
        <f>SUM(M14:M20)</f>
        <v>817696.20217035897</v>
      </c>
      <c r="O21" s="370">
        <f>SUM(O14:O20)</f>
        <v>846315.56924632168</v>
      </c>
      <c r="Q21" s="370">
        <f>SUM(Q14:Q20)</f>
        <v>875936.61416994268</v>
      </c>
      <c r="S21" s="370">
        <f>SUM(S14:S20)</f>
        <v>906594.39566589065</v>
      </c>
      <c r="U21" s="370">
        <f>SUM(U14:U20)</f>
        <v>938325.19951419684</v>
      </c>
      <c r="W21" s="370">
        <f>SUM(W14:W20)</f>
        <v>971166.58149719343</v>
      </c>
      <c r="Y21" s="370">
        <f>SUM(Y14:Y20)</f>
        <v>1005157.4118495951</v>
      </c>
      <c r="AA21" s="370">
        <f>SUM(AA14:AA20)</f>
        <v>1040337.921264331</v>
      </c>
      <c r="AC21" s="370">
        <f>SUM(AC14:AC20)</f>
        <v>1076749.7485085826</v>
      </c>
      <c r="AE21" s="370">
        <f>SUM(AE14:AE20)</f>
        <v>1114435.9897063829</v>
      </c>
      <c r="AG21" s="370">
        <f>SUM(AG14:AG20)</f>
        <v>1153441.2493461061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933</v>
      </c>
      <c r="C25" s="392"/>
      <c r="E25" s="369">
        <f>Application!AC867</f>
        <v>45500</v>
      </c>
      <c r="F25" s="369"/>
      <c r="G25" s="369">
        <f>$E$25</f>
        <v>45500</v>
      </c>
      <c r="H25" s="369"/>
      <c r="I25" s="369">
        <f>$E$25</f>
        <v>45500</v>
      </c>
      <c r="J25" s="369"/>
      <c r="K25" s="369">
        <f>$E$25</f>
        <v>45500</v>
      </c>
      <c r="L25" s="369"/>
      <c r="M25" s="369">
        <f>$E$25</f>
        <v>45500</v>
      </c>
      <c r="N25" s="369"/>
      <c r="O25" s="369">
        <f>$E$25</f>
        <v>45500</v>
      </c>
      <c r="P25" s="369"/>
      <c r="Q25" s="369">
        <f>$E$25</f>
        <v>45500</v>
      </c>
      <c r="R25" s="369"/>
      <c r="S25" s="369">
        <f>$E$25</f>
        <v>45500</v>
      </c>
      <c r="T25" s="369"/>
      <c r="U25" s="369">
        <f>$E$25</f>
        <v>45500</v>
      </c>
      <c r="V25" s="369"/>
      <c r="W25" s="369">
        <f>$E$25</f>
        <v>45500</v>
      </c>
      <c r="X25" s="369"/>
      <c r="Y25" s="369">
        <f>$E$25</f>
        <v>45500</v>
      </c>
      <c r="Z25" s="369"/>
      <c r="AA25" s="369">
        <f>$E$25</f>
        <v>45500</v>
      </c>
      <c r="AB25" s="369"/>
      <c r="AC25" s="369">
        <f>$E$25</f>
        <v>45500</v>
      </c>
      <c r="AD25" s="369"/>
      <c r="AE25" s="369">
        <f>$E$25</f>
        <v>45500</v>
      </c>
      <c r="AF25" s="369"/>
      <c r="AG25" s="369">
        <f>$E$25</f>
        <v>45500</v>
      </c>
    </row>
    <row r="26" spans="1:33" s="350" customFormat="1" ht="14.25">
      <c r="A26" s="350" t="s">
        <v>931</v>
      </c>
      <c r="C26" s="390">
        <v>1.02</v>
      </c>
      <c r="E26" s="369">
        <f>Application!AC868</f>
        <v>8600</v>
      </c>
      <c r="F26" s="369"/>
      <c r="G26" s="369">
        <f>E26*$C$26</f>
        <v>8772</v>
      </c>
      <c r="H26" s="369"/>
      <c r="I26" s="369">
        <f>G26*$C$26</f>
        <v>8947.44</v>
      </c>
      <c r="J26" s="369"/>
      <c r="K26" s="369">
        <f>I26*$C$26</f>
        <v>9126.3888000000006</v>
      </c>
      <c r="L26" s="369"/>
      <c r="M26" s="369">
        <f>K26*$C$26</f>
        <v>9308.9165760000014</v>
      </c>
      <c r="N26" s="369"/>
      <c r="O26" s="369">
        <f>M26*$C$26</f>
        <v>9495.0949075200024</v>
      </c>
      <c r="P26" s="369"/>
      <c r="Q26" s="369">
        <f>O26*$C$26</f>
        <v>9684.996805670402</v>
      </c>
      <c r="R26" s="369"/>
      <c r="S26" s="369">
        <f>Q26*$C$26</f>
        <v>9878.6967417838096</v>
      </c>
      <c r="T26" s="369"/>
      <c r="U26" s="369">
        <f>S26*$C$26</f>
        <v>10076.270676619486</v>
      </c>
      <c r="V26" s="369"/>
      <c r="W26" s="369">
        <f>U26*$C$26</f>
        <v>10277.796090151876</v>
      </c>
      <c r="X26" s="369"/>
      <c r="Y26" s="369">
        <f>W26*$C$26</f>
        <v>10483.352011954914</v>
      </c>
      <c r="Z26" s="369"/>
      <c r="AA26" s="369">
        <f>Y26*$C$26</f>
        <v>10693.019052194013</v>
      </c>
      <c r="AB26" s="369"/>
      <c r="AC26" s="369">
        <f>AA26*$C$26</f>
        <v>10906.879433237893</v>
      </c>
      <c r="AD26" s="369"/>
      <c r="AE26" s="369">
        <f>AC26*$C$26</f>
        <v>11125.017021902651</v>
      </c>
      <c r="AF26" s="369"/>
      <c r="AG26" s="369">
        <f>AE26*$C$26</f>
        <v>11347.517362340704</v>
      </c>
    </row>
    <row r="27" spans="1:33" s="350" customFormat="1" ht="14.25">
      <c r="A27" s="373" t="str">
        <f>Application!E869</f>
        <v>Bond Trustee Fees</v>
      </c>
      <c r="B27" s="373"/>
      <c r="C27" s="509">
        <v>1.0349999999999999</v>
      </c>
      <c r="E27" s="369">
        <f>Application!AC869</f>
        <v>5375</v>
      </c>
      <c r="F27" s="369"/>
      <c r="G27" s="369">
        <f>E27*$C$27</f>
        <v>5563.125</v>
      </c>
      <c r="H27" s="369"/>
      <c r="I27" s="369">
        <f>G27*$C$27</f>
        <v>5757.8343749999995</v>
      </c>
      <c r="J27" s="369"/>
      <c r="K27" s="369">
        <f>I27*$C$27</f>
        <v>5959.3585781249985</v>
      </c>
      <c r="L27" s="369"/>
      <c r="M27" s="369">
        <f>K27*$C$27</f>
        <v>6167.9361283593726</v>
      </c>
      <c r="N27" s="369"/>
      <c r="O27" s="369">
        <f>M27*$C$27</f>
        <v>6383.8138928519502</v>
      </c>
      <c r="P27" s="369"/>
      <c r="Q27" s="369">
        <f>O27*$C$27</f>
        <v>6607.2473791017683</v>
      </c>
      <c r="R27" s="369"/>
      <c r="S27" s="369">
        <f>Q27*$C$27</f>
        <v>6838.5010373703299</v>
      </c>
      <c r="T27" s="369"/>
      <c r="U27" s="369">
        <f>S27*$C$27</f>
        <v>7077.8485736782904</v>
      </c>
      <c r="V27" s="369"/>
      <c r="W27" s="369">
        <f>U27*$C$27</f>
        <v>7325.5732737570297</v>
      </c>
      <c r="X27" s="369"/>
      <c r="Y27" s="369">
        <f>W27*$C$27</f>
        <v>7581.9683383385254</v>
      </c>
      <c r="Z27" s="369"/>
      <c r="AA27" s="369">
        <f>Y27*$C$27</f>
        <v>7847.3372301803729</v>
      </c>
      <c r="AB27" s="369"/>
      <c r="AC27" s="369">
        <f>AA27*$C$27</f>
        <v>8121.994033236685</v>
      </c>
      <c r="AD27" s="369"/>
      <c r="AE27" s="369">
        <f>AC27*$C$27</f>
        <v>8406.2638243999681</v>
      </c>
      <c r="AF27" s="369"/>
      <c r="AG27" s="369">
        <f>AE27*$C$27</f>
        <v>8700.4830582539671</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872050</v>
      </c>
      <c r="G30" s="370">
        <f>SUM(G21:G28)</f>
        <v>900850.24999999988</v>
      </c>
      <c r="I30" s="370">
        <f>SUM(I21:I28)</f>
        <v>930655.92874999973</v>
      </c>
      <c r="K30" s="370">
        <f>SUM(K21:K28)</f>
        <v>961502.1746562497</v>
      </c>
      <c r="M30" s="370">
        <f>SUM(M21:M28)</f>
        <v>993425.35493721836</v>
      </c>
      <c r="O30" s="370">
        <f>SUM(O21:O28)</f>
        <v>1026463.108611381</v>
      </c>
      <c r="Q30" s="370">
        <f>SUM(Q21:Q28)</f>
        <v>1060654.3909891665</v>
      </c>
      <c r="S30" s="370">
        <f>SUM(S21:S28)</f>
        <v>1096039.519721702</v>
      </c>
      <c r="U30" s="370">
        <f>SUM(U21:U28)</f>
        <v>1132660.222460835</v>
      </c>
      <c r="W30" s="370">
        <f>SUM(W21:W28)</f>
        <v>1170559.6861868144</v>
      </c>
      <c r="Y30" s="370">
        <f>SUM(Y21:Y28)</f>
        <v>1209782.6082620006</v>
      </c>
      <c r="AA30" s="370">
        <f>SUM(AA21:AA28)</f>
        <v>1250375.2492709914</v>
      </c>
      <c r="AC30" s="370">
        <f>SUM(AC21:AC28)</f>
        <v>1292385.4877096934</v>
      </c>
      <c r="AE30" s="370">
        <f>SUM(AE21:AE28)</f>
        <v>1335862.8765880337</v>
      </c>
      <c r="AG30" s="370">
        <f>SUM(AG21:AG28)</f>
        <v>1380858.7020132863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471677.14999999991</v>
      </c>
      <c r="G32" s="370">
        <f>G10-G30</f>
        <v>476470.07875000022</v>
      </c>
      <c r="I32" s="370">
        <f>I10-I30</f>
        <v>481097.4082187498</v>
      </c>
      <c r="K32" s="370">
        <f>K10-K30</f>
        <v>485544.99573671899</v>
      </c>
      <c r="M32" s="370">
        <f>M10-M30</f>
        <v>489797.9947155742</v>
      </c>
      <c r="O32" s="370">
        <f>O10-O30</f>
        <v>493840.82478273113</v>
      </c>
      <c r="Q32" s="370">
        <f>Q10-Q30</f>
        <v>497657.14073979855</v>
      </c>
      <c r="S32" s="370">
        <f>S10-S30</f>
        <v>501229.80030048685</v>
      </c>
      <c r="U32" s="370">
        <f>U10-U30</f>
        <v>504540.83056190819</v>
      </c>
      <c r="W32" s="370">
        <f>W10-W30</f>
        <v>507571.39316149708</v>
      </c>
      <c r="Y32" s="370">
        <f>Y10-Y30</f>
        <v>510301.74807001883</v>
      </c>
      <c r="AA32" s="370">
        <f>AA10-AA30</f>
        <v>512711.21596932854</v>
      </c>
      <c r="AC32" s="370">
        <f>AC10-AC30</f>
        <v>514778.13916163426</v>
      </c>
      <c r="AE32" s="370">
        <f>AE10-AE30</f>
        <v>516479.8409550772</v>
      </c>
      <c r="AG32" s="370">
        <f>AG10-AG30</f>
        <v>517792.58346840204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N.A.</v>
      </c>
      <c r="B35" s="373"/>
      <c r="C35" s="367"/>
      <c r="E35" s="369">
        <f>Application!AB618</f>
        <v>337693</v>
      </c>
      <c r="F35" s="369"/>
      <c r="G35" s="369">
        <f>$E$35</f>
        <v>337693</v>
      </c>
      <c r="H35" s="369"/>
      <c r="I35" s="369">
        <f>$E$35</f>
        <v>337693</v>
      </c>
      <c r="J35" s="369"/>
      <c r="K35" s="369">
        <f>$E$35</f>
        <v>337693</v>
      </c>
      <c r="L35" s="369"/>
      <c r="M35" s="369">
        <f>$E$35</f>
        <v>337693</v>
      </c>
      <c r="N35" s="369"/>
      <c r="O35" s="369">
        <f>$E$35</f>
        <v>337693</v>
      </c>
      <c r="P35" s="369"/>
      <c r="Q35" s="369">
        <f>$E$35</f>
        <v>337693</v>
      </c>
      <c r="R35" s="369"/>
      <c r="S35" s="369">
        <f>$E$35</f>
        <v>337693</v>
      </c>
      <c r="T35" s="369"/>
      <c r="U35" s="369">
        <f>$E$35</f>
        <v>337693</v>
      </c>
      <c r="V35" s="369"/>
      <c r="W35" s="369">
        <f>$E$35</f>
        <v>337693</v>
      </c>
      <c r="X35" s="369"/>
      <c r="Y35" s="369">
        <f>$E$35</f>
        <v>337693</v>
      </c>
      <c r="Z35" s="369"/>
      <c r="AA35" s="369">
        <f>$E$35</f>
        <v>337693</v>
      </c>
      <c r="AB35" s="369"/>
      <c r="AC35" s="369">
        <f>$E$35</f>
        <v>337693</v>
      </c>
      <c r="AD35" s="369"/>
      <c r="AE35" s="369">
        <f>$E$35</f>
        <v>337693</v>
      </c>
      <c r="AF35" s="369"/>
      <c r="AG35" s="369">
        <f>$E$35</f>
        <v>337693</v>
      </c>
    </row>
    <row r="36" spans="1:35" s="350" customFormat="1" ht="14.25">
      <c r="A36" s="372" t="str">
        <f>[7]Application!C619</f>
        <v>HCD - MHP</v>
      </c>
      <c r="B36" s="373"/>
      <c r="C36" s="367"/>
      <c r="E36" s="369">
        <v>68509</v>
      </c>
      <c r="F36" s="369"/>
      <c r="G36" s="369">
        <f>$E$36</f>
        <v>68509</v>
      </c>
      <c r="H36" s="369"/>
      <c r="I36" s="369">
        <f>$E$36</f>
        <v>68509</v>
      </c>
      <c r="J36" s="369"/>
      <c r="K36" s="369">
        <f>$E$36</f>
        <v>68509</v>
      </c>
      <c r="L36" s="369"/>
      <c r="M36" s="369">
        <f>$E$36</f>
        <v>68509</v>
      </c>
      <c r="N36" s="369"/>
      <c r="O36" s="369">
        <f>$E$36</f>
        <v>68509</v>
      </c>
      <c r="P36" s="369"/>
      <c r="Q36" s="369">
        <f>$E$36</f>
        <v>68509</v>
      </c>
      <c r="R36" s="369"/>
      <c r="S36" s="369">
        <f>$E$36</f>
        <v>68509</v>
      </c>
      <c r="T36" s="369"/>
      <c r="U36" s="369">
        <f>$E$36</f>
        <v>68509</v>
      </c>
      <c r="V36" s="369"/>
      <c r="W36" s="369">
        <f>$E$36</f>
        <v>68509</v>
      </c>
      <c r="X36" s="369"/>
      <c r="Y36" s="369">
        <f>$E$36</f>
        <v>68509</v>
      </c>
      <c r="Z36" s="369"/>
      <c r="AA36" s="369">
        <f>$E$36</f>
        <v>68509</v>
      </c>
      <c r="AB36" s="369"/>
      <c r="AC36" s="369">
        <f>$E$36</f>
        <v>68509</v>
      </c>
      <c r="AD36" s="369"/>
      <c r="AE36" s="369">
        <f>$E$36</f>
        <v>68509</v>
      </c>
      <c r="AF36" s="369"/>
      <c r="AG36" s="369">
        <f>$E$36</f>
        <v>68509</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406202</v>
      </c>
      <c r="G38" s="370">
        <f>SUM(G35:G37)</f>
        <v>406202</v>
      </c>
      <c r="I38" s="370">
        <f>SUM(I35:I37)</f>
        <v>406202</v>
      </c>
      <c r="K38" s="370">
        <f>SUM(K35:K37)</f>
        <v>406202</v>
      </c>
      <c r="M38" s="370">
        <f>SUM(M35:M37)</f>
        <v>406202</v>
      </c>
      <c r="O38" s="370">
        <f>SUM(O35:O37)</f>
        <v>406202</v>
      </c>
      <c r="Q38" s="370">
        <f>SUM(Q35:Q37)</f>
        <v>406202</v>
      </c>
      <c r="S38" s="370">
        <f>SUM(S35:S37)</f>
        <v>406202</v>
      </c>
      <c r="U38" s="370">
        <f>SUM(U35:U37)</f>
        <v>406202</v>
      </c>
      <c r="W38" s="370">
        <f>SUM(W35:W37)</f>
        <v>406202</v>
      </c>
      <c r="Y38" s="370">
        <f>SUM(Y35:Y37)</f>
        <v>406202</v>
      </c>
      <c r="AA38" s="370">
        <f>SUM(AA35:AA37)</f>
        <v>406202</v>
      </c>
      <c r="AC38" s="370">
        <f>SUM(AC35:AC37)</f>
        <v>406202</v>
      </c>
      <c r="AE38" s="370">
        <f>SUM(AE35:AE37)</f>
        <v>406202</v>
      </c>
      <c r="AG38" s="370">
        <f>SUM(AG35:AG37)</f>
        <v>406202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65475.149999999907</v>
      </c>
      <c r="G40" s="370">
        <f>G32-G38</f>
        <v>70268.078750000219</v>
      </c>
      <c r="I40" s="370">
        <f>I32-I38</f>
        <v>74895.408218749799</v>
      </c>
      <c r="K40" s="370">
        <f>K32-K38</f>
        <v>79342.995736718993</v>
      </c>
      <c r="M40" s="370">
        <f>M32-M38</f>
        <v>83595.994715574197</v>
      </c>
      <c r="O40" s="370">
        <f>O32-O38</f>
        <v>87638.824782731128</v>
      </c>
      <c r="Q40" s="370">
        <f>Q32-Q38</f>
        <v>91455.140739798546</v>
      </c>
      <c r="S40" s="370">
        <f>S32-S38</f>
        <v>95027.800300486851</v>
      </c>
      <c r="U40" s="370">
        <f>U32-U38</f>
        <v>98338.830561908195</v>
      </c>
      <c r="W40" s="370">
        <f>W32-W38</f>
        <v>101369.39316149708</v>
      </c>
      <c r="Y40" s="370">
        <f>Y32-Y38</f>
        <v>104099.74807001883</v>
      </c>
      <c r="AA40" s="370">
        <f>AA32-AA38</f>
        <v>106509.21596932854</v>
      </c>
      <c r="AC40" s="370">
        <f>AC32-AC38</f>
        <v>108576.13916163426</v>
      </c>
      <c r="AE40" s="370">
        <f>AE32-AE38</f>
        <v>110277.8409550772</v>
      </c>
      <c r="AG40" s="370">
        <f>AG32-AG38</f>
        <v>111590.58346840204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4.5072032480701095E-2</v>
      </c>
      <c r="G42" s="374">
        <f>G40/(G4+G6+G8)</f>
        <v>4.7191616566597643E-2</v>
      </c>
      <c r="I42" s="374">
        <f>I40/(I4+I6+I8)</f>
        <v>4.9072490773136454E-2</v>
      </c>
      <c r="K42" s="374">
        <f>K40/(K4+K6+K8)</f>
        <v>5.0718644532184977E-2</v>
      </c>
      <c r="M42" s="374">
        <f>M40/(M4+M6+M8)</f>
        <v>5.2133952132028823E-2</v>
      </c>
      <c r="O42" s="374">
        <f>O40/(O4+O6+O8)</f>
        <v>5.3322175351506747E-2</v>
      </c>
      <c r="Q42" s="374">
        <f>Q40/(Q4+Q6+Q8)</f>
        <v>5.4286966028194245E-2</v>
      </c>
      <c r="S42" s="374">
        <f>S40/(S4+S6+S8)</f>
        <v>5.5031868562234229E-2</v>
      </c>
      <c r="U42" s="374">
        <f>U40/(U4+U6+U8)</f>
        <v>5.5560322357367464E-2</v>
      </c>
      <c r="W42" s="374">
        <f>W40/(W4+W6+W8)</f>
        <v>5.5875664200676335E-2</v>
      </c>
      <c r="Y42" s="374">
        <f>Y40/(Y4+Y6+Y8)</f>
        <v>5.5981130582516962E-2</v>
      </c>
      <c r="AA42" s="374">
        <f>AA40/(AA4+AA6+AA8)</f>
        <v>5.5879859958087683E-2</v>
      </c>
      <c r="AC42" s="374">
        <f>AC40/(AC4+AC6+AC8)</f>
        <v>5.5574894952034486E-2</v>
      </c>
      <c r="AE42" s="374">
        <f>AE40/(AE4+AE6+AE8)</f>
        <v>5.5069184507468089E-2</v>
      </c>
      <c r="AG42" s="374">
        <f>AG40/(AG4+AG6+AG8)</f>
        <v>5.436558598072664E-2</v>
      </c>
    </row>
    <row r="43" spans="1:35" s="374" customFormat="1" ht="14.25">
      <c r="A43" s="374" t="s">
        <v>939</v>
      </c>
      <c r="C43" s="367"/>
      <c r="E43" s="374">
        <f>E40/E38</f>
        <v>0.16118864505836974</v>
      </c>
      <c r="G43" s="374">
        <f>G40/G38</f>
        <v>0.1729880176611642</v>
      </c>
      <c r="I43" s="374">
        <f>I40/I38</f>
        <v>0.18437971309533138</v>
      </c>
      <c r="K43" s="374">
        <f>K40/K38</f>
        <v>0.19532891452213183</v>
      </c>
      <c r="M43" s="374">
        <f>M40/M38</f>
        <v>0.20579907217486423</v>
      </c>
      <c r="O43" s="374">
        <f>O40/O38</f>
        <v>0.21575182983523253</v>
      </c>
      <c r="Q43" s="374">
        <f>Q40/Q38</f>
        <v>0.22514694841433214</v>
      </c>
      <c r="S43" s="374">
        <f>S40/S38</f>
        <v>0.23394222652888674</v>
      </c>
      <c r="U43" s="374">
        <f>U40/U38</f>
        <v>0.24209341795931136</v>
      </c>
      <c r="W43" s="374">
        <f>W40/W38</f>
        <v>0.24955414587199737</v>
      </c>
      <c r="Y43" s="374">
        <f>Y40/Y38</f>
        <v>0.25627581368387853</v>
      </c>
      <c r="AA43" s="374">
        <f>AA40/AA38</f>
        <v>0.26220751244289425</v>
      </c>
      <c r="AC43" s="374">
        <f>AC40/AC38</f>
        <v>0.26729592459326706</v>
      </c>
      <c r="AE43" s="374">
        <f>AE40/AE38</f>
        <v>0.27148522398973224</v>
      </c>
      <c r="AG43" s="374">
        <f>AG40/AG38</f>
        <v>0.27471697201983752</v>
      </c>
    </row>
    <row r="44" spans="1:35" s="375" customFormat="1" ht="14.25">
      <c r="A44" s="375" t="s">
        <v>937</v>
      </c>
      <c r="C44" s="376"/>
      <c r="E44" s="375">
        <f>E32/E38</f>
        <v>1.1611886450583697</v>
      </c>
      <c r="G44" s="375">
        <f>G32/G38</f>
        <v>1.1729880176611642</v>
      </c>
      <c r="I44" s="375">
        <f>I32/I38</f>
        <v>1.1843797130953313</v>
      </c>
      <c r="K44" s="375">
        <f>K32/K38</f>
        <v>1.1953289145221317</v>
      </c>
      <c r="M44" s="375">
        <f>M32/M38</f>
        <v>1.2057990721748642</v>
      </c>
      <c r="O44" s="375">
        <f>O32/O38</f>
        <v>1.2157518298352326</v>
      </c>
      <c r="Q44" s="375">
        <f>Q32/Q38</f>
        <v>1.2251469484143322</v>
      </c>
      <c r="S44" s="375">
        <f>S32/S38</f>
        <v>1.2339422265288866</v>
      </c>
      <c r="U44" s="375">
        <f>U32/U38</f>
        <v>1.2420934179593113</v>
      </c>
      <c r="W44" s="375">
        <f>W32/W38</f>
        <v>1.2495541458719974</v>
      </c>
      <c r="Y44" s="375">
        <f>Y32/Y38</f>
        <v>1.2562758136838785</v>
      </c>
      <c r="AA44" s="375">
        <f>AA32/AA38</f>
        <v>1.2622075124428942</v>
      </c>
      <c r="AC44" s="375">
        <f>AC32/AC38</f>
        <v>1.2672959245932671</v>
      </c>
      <c r="AE44" s="375">
        <f>AE32/AE38</f>
        <v>1.2714852239897323</v>
      </c>
      <c r="AG44" s="375">
        <f>AG32/AG38</f>
        <v>1.2747169720198375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10000</v>
      </c>
      <c r="G47" s="255">
        <f>E47</f>
        <v>10000</v>
      </c>
      <c r="I47" s="255">
        <f>G47</f>
        <v>10000</v>
      </c>
      <c r="K47" s="255">
        <f>I47</f>
        <v>10000</v>
      </c>
      <c r="M47" s="255">
        <f>K47</f>
        <v>10000</v>
      </c>
      <c r="O47" s="255">
        <f>M47</f>
        <v>10000</v>
      </c>
      <c r="Q47" s="255">
        <f>O47</f>
        <v>10000</v>
      </c>
      <c r="S47" s="255">
        <f>Q47</f>
        <v>10000</v>
      </c>
      <c r="U47" s="255">
        <f>S47</f>
        <v>10000</v>
      </c>
      <c r="W47" s="255">
        <f>U47</f>
        <v>10000</v>
      </c>
      <c r="Y47" s="255">
        <f>W47</f>
        <v>10000</v>
      </c>
      <c r="AA47" s="255">
        <f>Y47</f>
        <v>10000</v>
      </c>
      <c r="AC47" s="255">
        <f>AA47</f>
        <v>10000</v>
      </c>
      <c r="AE47" s="255">
        <f>AC47</f>
        <v>10000</v>
      </c>
      <c r="AG47" s="255">
        <f>AE47</f>
        <v>10000</v>
      </c>
    </row>
    <row r="48" spans="1:35" s="152" customFormat="1" ht="14.25">
      <c r="A48" s="152" t="s">
        <v>942</v>
      </c>
      <c r="C48" s="394"/>
      <c r="E48" s="384">
        <v>5000</v>
      </c>
      <c r="F48" s="363"/>
      <c r="G48" s="369">
        <f>E48</f>
        <v>5000</v>
      </c>
      <c r="H48" s="363"/>
      <c r="I48" s="255">
        <f>G48</f>
        <v>5000</v>
      </c>
      <c r="J48" s="255"/>
      <c r="K48" s="255">
        <f>I48</f>
        <v>5000</v>
      </c>
      <c r="L48" s="255"/>
      <c r="M48" s="255">
        <f>K48</f>
        <v>5000</v>
      </c>
      <c r="N48" s="255"/>
      <c r="O48" s="255">
        <f>M48</f>
        <v>5000</v>
      </c>
      <c r="P48" s="255"/>
      <c r="Q48" s="255">
        <f>O48</f>
        <v>5000</v>
      </c>
      <c r="R48" s="255"/>
      <c r="S48" s="255">
        <f>Q48</f>
        <v>5000</v>
      </c>
      <c r="T48" s="255"/>
      <c r="U48" s="255">
        <f>S48</f>
        <v>5000</v>
      </c>
      <c r="V48" s="255"/>
      <c r="W48" s="255">
        <f>U48</f>
        <v>5000</v>
      </c>
      <c r="X48" s="255"/>
      <c r="Y48" s="255">
        <f>W48</f>
        <v>5000</v>
      </c>
      <c r="Z48" s="255"/>
      <c r="AA48" s="255">
        <f>Y48</f>
        <v>5000</v>
      </c>
      <c r="AB48" s="255"/>
      <c r="AC48" s="255">
        <f>AA48</f>
        <v>5000</v>
      </c>
      <c r="AD48" s="255"/>
      <c r="AE48" s="255">
        <f>AC48</f>
        <v>5000</v>
      </c>
      <c r="AF48" s="255"/>
      <c r="AG48" s="255">
        <f>AE48</f>
        <v>5000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50475.149999999907</v>
      </c>
      <c r="G54" s="255">
        <f>G40-G52</f>
        <v>55268.078750000219</v>
      </c>
      <c r="I54" s="255">
        <f>I40-I52</f>
        <v>59895.408218749799</v>
      </c>
      <c r="K54" s="255">
        <f>K40-K52</f>
        <v>64342.995736718993</v>
      </c>
      <c r="M54" s="255">
        <f>M40-M52</f>
        <v>68595.994715574197</v>
      </c>
      <c r="O54" s="255">
        <f>O40-O52</f>
        <v>72638.824782731128</v>
      </c>
      <c r="Q54" s="255">
        <f>Q40-Q52</f>
        <v>76455.140739798546</v>
      </c>
      <c r="S54" s="255">
        <f>S40-S52</f>
        <v>80027.800300486851</v>
      </c>
      <c r="U54" s="255">
        <f>U40-U52</f>
        <v>83338.830561908195</v>
      </c>
      <c r="W54" s="255">
        <f>W40-W52</f>
        <v>86369.393161497079</v>
      </c>
      <c r="Y54" s="255">
        <f>Y40-Y52</f>
        <v>89099.748070018832</v>
      </c>
      <c r="AA54" s="255">
        <f>AA40-AA52</f>
        <v>91509.215969328536</v>
      </c>
      <c r="AC54" s="255">
        <f>AC40-AC52</f>
        <v>93576.139161634259</v>
      </c>
      <c r="AE54" s="255">
        <f>AE40-AE52</f>
        <v>95277.840955077205</v>
      </c>
      <c r="AG54" s="255">
        <f>AG40-AG52</f>
        <v>96590.583468402037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f>Application!AG624</f>
        <v>204482</v>
      </c>
      <c r="E56" s="956">
        <f>MIN(E54,$C56-SUM($D56:D56))</f>
        <v>50475.149999999907</v>
      </c>
      <c r="G56" s="956">
        <f>MIN(G54,$C56-SUM($D56:F56))</f>
        <v>55268.078750000219</v>
      </c>
      <c r="I56" s="956">
        <f>MIN(I54,$C56-SUM($D56:H56))</f>
        <v>59895.408218749799</v>
      </c>
      <c r="K56" s="956">
        <f>MIN(K54,$C56-SUM($D56:J56))</f>
        <v>38843.363031250075</v>
      </c>
      <c r="M56" s="956">
        <f>MIN(M54,$C56-SUM($D56:L56))</f>
        <v>0</v>
      </c>
      <c r="O56" s="956">
        <f>MIN(O54,$C56-SUM($D56:N56))</f>
        <v>0</v>
      </c>
      <c r="Q56" s="956">
        <f>MIN(Q54,$C56-SUM($D56:P56))</f>
        <v>0</v>
      </c>
      <c r="S56" s="956">
        <f>MIN(S54,$C56-SUM($D56:R56))</f>
        <v>0</v>
      </c>
      <c r="U56" s="956">
        <f>MIN(U54,$C56-SUM($D56:T56))</f>
        <v>0</v>
      </c>
      <c r="W56" s="956">
        <f>MIN(W54,$C56-SUM($D56:V56))</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1758</v>
      </c>
      <c r="B59" s="383"/>
      <c r="C59" s="958">
        <v>0.32950607465411852</v>
      </c>
      <c r="E59" s="956">
        <f>$C59*(E$54-E$56)</f>
        <v>0</v>
      </c>
      <c r="F59" s="960"/>
      <c r="G59" s="956">
        <f>$C59*(G$54-G$56)</f>
        <v>0</v>
      </c>
      <c r="H59" s="960"/>
      <c r="I59" s="956">
        <f>$C59*(I$54-I$56)</f>
        <v>0</v>
      </c>
      <c r="J59" s="960"/>
      <c r="K59" s="956">
        <f>$C59*(K$54-K$56)</f>
        <v>8402.2838779008434</v>
      </c>
      <c r="L59" s="960"/>
      <c r="M59" s="956">
        <f>$C59*(M$54-M$56)</f>
        <v>22602.796955723512</v>
      </c>
      <c r="N59" s="960"/>
      <c r="O59" s="956">
        <f>$C59*(O$54-O$56)</f>
        <v>23934.934021646037</v>
      </c>
      <c r="P59" s="960"/>
      <c r="Q59" s="956">
        <f>$C59*(Q$54-Q$56)</f>
        <v>25192.433312299199</v>
      </c>
      <c r="R59" s="960"/>
      <c r="S59" s="956">
        <f>$C59*(S$54-S$56)</f>
        <v>26369.64634021711</v>
      </c>
      <c r="T59" s="960"/>
      <c r="U59" s="956">
        <f>$C59*(U$54-U$56)</f>
        <v>27460.650924719055</v>
      </c>
      <c r="V59" s="960"/>
      <c r="W59" s="956">
        <f>$C59*(W$54-W$56)</f>
        <v>28459.23971090317</v>
      </c>
      <c r="X59" s="960"/>
      <c r="Y59" s="956">
        <f>$C59*(Y$54-Y$56)</f>
        <v>29358.908239222779</v>
      </c>
      <c r="Z59" s="960"/>
      <c r="AA59" s="956">
        <f>$C59*(AA$54-AA$56)</f>
        <v>30152.842548729423</v>
      </c>
      <c r="AB59" s="960"/>
      <c r="AC59" s="956">
        <f>$C59*(AC$54-AC$56)</f>
        <v>30833.906296437643</v>
      </c>
      <c r="AD59" s="960"/>
      <c r="AE59" s="956">
        <f>$C59*(AE$54-AE$56)</f>
        <v>31394.6273746269</v>
      </c>
      <c r="AF59" s="960"/>
      <c r="AG59" s="956">
        <f>$C59*(AG$54-AG$56)</f>
        <v>31827.184007224147</v>
      </c>
    </row>
    <row r="60" spans="1:35" s="363" customFormat="1">
      <c r="A60" s="957" t="s">
        <v>1759</v>
      </c>
      <c r="B60" s="384"/>
      <c r="C60" s="958">
        <v>0.17049392534588148</v>
      </c>
      <c r="E60" s="956">
        <f>$C60*(E$54-E$56)</f>
        <v>0</v>
      </c>
      <c r="F60" s="959"/>
      <c r="G60" s="956">
        <f>$C60*(G$54-G$56)</f>
        <v>0</v>
      </c>
      <c r="H60" s="959"/>
      <c r="I60" s="956">
        <f>$C60*(I$54-I$56)</f>
        <v>0</v>
      </c>
      <c r="J60" s="959"/>
      <c r="K60" s="956">
        <f>$C60*(K$54-K$56)</f>
        <v>4347.5324748336152</v>
      </c>
      <c r="L60" s="959"/>
      <c r="M60" s="956">
        <f>$C60*(M$54-M$56)</f>
        <v>11695.200402063589</v>
      </c>
      <c r="N60" s="959"/>
      <c r="O60" s="956">
        <f>$C60*(O$54-O$56)</f>
        <v>12384.478369719527</v>
      </c>
      <c r="P60" s="959"/>
      <c r="Q60" s="956">
        <f>$C60*(Q$54-Q$56)</f>
        <v>13035.137057600075</v>
      </c>
      <c r="R60" s="959"/>
      <c r="S60" s="956">
        <f>$C60*(S$54-S$56)</f>
        <v>13644.253810026317</v>
      </c>
      <c r="T60" s="959"/>
      <c r="U60" s="956">
        <f>$C60*(U$54-U$56)</f>
        <v>14208.764356235042</v>
      </c>
      <c r="V60" s="959"/>
      <c r="W60" s="956">
        <f>$C60*(W$54-W$56)</f>
        <v>14725.45686984537</v>
      </c>
      <c r="X60" s="959"/>
      <c r="Y60" s="956">
        <f>$C60*(Y$54-Y$56)</f>
        <v>15190.965795786638</v>
      </c>
      <c r="Z60" s="959"/>
      <c r="AA60" s="956">
        <f>$C60*(AA$54-AA$56)</f>
        <v>15601.765435934845</v>
      </c>
      <c r="AB60" s="959"/>
      <c r="AC60" s="956">
        <f>$C60*(AC$54-AC$56)</f>
        <v>15954.163284379489</v>
      </c>
      <c r="AD60" s="959"/>
      <c r="AE60" s="956">
        <f>$C60*(AE$54-AE$56)</f>
        <v>16244.293102911703</v>
      </c>
      <c r="AF60" s="959"/>
      <c r="AG60" s="956">
        <f>$C60*(AG$54-AG$56)</f>
        <v>16468.107726976872</v>
      </c>
    </row>
    <row r="61" spans="1:35" s="363" customFormat="1">
      <c r="A61" s="959" t="s">
        <v>1760</v>
      </c>
      <c r="C61" s="958">
        <v>0.5</v>
      </c>
      <c r="E61" s="956">
        <f>$C61*(E$54-E$56)</f>
        <v>0</v>
      </c>
      <c r="F61" s="959"/>
      <c r="G61" s="956">
        <f>$C61*(G$54-G$56)</f>
        <v>0</v>
      </c>
      <c r="H61" s="959"/>
      <c r="I61" s="956">
        <f>$C61*(I$54-I$56)</f>
        <v>0</v>
      </c>
      <c r="J61" s="959"/>
      <c r="K61" s="956">
        <f>$C61*(K$54-K$56)</f>
        <v>12749.816352734459</v>
      </c>
      <c r="L61" s="959"/>
      <c r="M61" s="956">
        <f>$C61*(M$54-M$56)</f>
        <v>34297.997357787099</v>
      </c>
      <c r="N61" s="959"/>
      <c r="O61" s="956">
        <f>$C61*(O$54-O$56)</f>
        <v>36319.412391365564</v>
      </c>
      <c r="P61" s="959"/>
      <c r="Q61" s="956">
        <f>$C61*(Q$54-Q$56)</f>
        <v>38227.570369899273</v>
      </c>
      <c r="R61" s="959"/>
      <c r="S61" s="956">
        <f>$C61*(S$54-S$56)</f>
        <v>40013.900150243426</v>
      </c>
      <c r="T61" s="959"/>
      <c r="U61" s="956">
        <f>$C61*(U$54-U$56)</f>
        <v>41669.415280954097</v>
      </c>
      <c r="V61" s="959"/>
      <c r="W61" s="956">
        <f>$C61*(W$54-W$56)</f>
        <v>43184.696580748539</v>
      </c>
      <c r="X61" s="959"/>
      <c r="Y61" s="956">
        <f>$C61*(Y$54-Y$56)</f>
        <v>44549.874035009416</v>
      </c>
      <c r="Z61" s="959"/>
      <c r="AA61" s="956">
        <f>$C61*(AA$54-AA$56)</f>
        <v>45754.607984664268</v>
      </c>
      <c r="AB61" s="959"/>
      <c r="AC61" s="956">
        <f>$C61*(AC$54-AC$56)</f>
        <v>46788.069580817129</v>
      </c>
      <c r="AD61" s="959"/>
      <c r="AE61" s="956">
        <f>$C61*(AE$54-AE$56)</f>
        <v>47638.920477538602</v>
      </c>
      <c r="AF61" s="959"/>
      <c r="AG61" s="956">
        <f>$C61*(AG$54-AG$56)</f>
        <v>48295.291734201019</v>
      </c>
    </row>
    <row r="62" spans="1:35" s="363" customFormat="1">
      <c r="C62" s="364"/>
    </row>
    <row r="63" spans="1:35" s="363" customFormat="1">
      <c r="A63" s="363" t="s">
        <v>946</v>
      </c>
      <c r="C63" s="364"/>
    </row>
    <row r="64" spans="1:35" s="363" customFormat="1">
      <c r="C64" s="364"/>
    </row>
    <row r="65" spans="1:33" s="385" customFormat="1" ht="30" customHeight="1">
      <c r="A65" s="1705" t="s">
        <v>951</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EF5E14D743074F88EF1646088A680F" ma:contentTypeVersion="8" ma:contentTypeDescription="Create a new document." ma:contentTypeScope="" ma:versionID="510149c4ea2df1f71a19396a2faaeafb">
  <xsd:schema xmlns:xsd="http://www.w3.org/2001/XMLSchema" xmlns:xs="http://www.w3.org/2001/XMLSchema" xmlns:p="http://schemas.microsoft.com/office/2006/metadata/properties" xmlns:ns3="280dee8e-1a53-4ac1-9ae8-04c87daee479" targetNamespace="http://schemas.microsoft.com/office/2006/metadata/properties" ma:root="true" ma:fieldsID="08e00e6735b555b9d90bf264f575341b" ns3:_="">
    <xsd:import namespace="280dee8e-1a53-4ac1-9ae8-04c87daee479"/>
    <xsd:element name="properties">
      <xsd:complexType>
        <xsd:sequence>
          <xsd:element name="documentManagement">
            <xsd:complexType>
              <xsd:all>
                <xsd:element ref="ns3:MediaServiceMetadata" minOccurs="0"/>
                <xsd:element ref="ns3:MediaServiceFastMetadata" minOccurs="0"/>
                <xsd:element ref="ns3:MediaServiceEventHashCode" minOccurs="0"/>
                <xsd:element ref="ns3:MediaServiceGenerationTime" minOccurs="0"/>
                <xsd:element ref="ns3:MediaServiceAutoTag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dee8e-1a53-4ac1-9ae8-04c87daee4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48D6B8-EEB0-4E30-A68F-D4AAC3646D8F}">
  <ds:schemaRefs>
    <ds:schemaRef ds:uri="http://www.w3.org/XML/1998/namespac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280dee8e-1a53-4ac1-9ae8-04c87daee479"/>
  </ds:schemaRefs>
</ds:datastoreItem>
</file>

<file path=customXml/itemProps2.xml><?xml version="1.0" encoding="utf-8"?>
<ds:datastoreItem xmlns:ds="http://schemas.openxmlformats.org/officeDocument/2006/customXml" ds:itemID="{6416BC11-4A42-4E2C-BAFE-51F6A3D71A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dee8e-1a53-4ac1-9ae8-04c87daee4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9EAF49-00DC-4819-8DF5-90CDFDB20F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Sanjay Chand</cp:lastModifiedBy>
  <cp:lastPrinted>2020-01-09T19:34:04Z</cp:lastPrinted>
  <dcterms:created xsi:type="dcterms:W3CDTF">2007-12-27T18:26:28Z</dcterms:created>
  <dcterms:modified xsi:type="dcterms:W3CDTF">2020-01-17T04:00:26Z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0x0101004CEF5E14D743074F88EF1646088A680F</vt:lpwstr>
  </property>
</Properties>
</file>