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04" i="3" l="1"/>
  <c r="H302" i="3"/>
  <c r="H301" i="3"/>
  <c r="H300" i="3"/>
  <c r="H299" i="3"/>
  <c r="H298" i="3"/>
  <c r="S43" i="4" l="1"/>
  <c r="S44" i="4"/>
  <c r="AA912" i="3" l="1"/>
  <c r="AA911" i="3" l="1"/>
  <c r="I911" i="3"/>
  <c r="AA910" i="3"/>
  <c r="I910" i="3"/>
  <c r="AA895" i="3"/>
  <c r="E27" i="7" l="1"/>
  <c r="W826" i="3"/>
  <c r="G670" i="3"/>
  <c r="G668" i="3"/>
  <c r="G667" i="3"/>
  <c r="G580" i="3"/>
  <c r="G579" i="3"/>
  <c r="G578" i="3"/>
  <c r="G577" i="3"/>
  <c r="C622" i="3"/>
  <c r="Z563" i="3"/>
  <c r="Z562" i="3"/>
  <c r="Z561" i="3"/>
  <c r="Z560" i="3"/>
  <c r="U546" i="3"/>
  <c r="P546" i="3"/>
  <c r="AG434" i="3" l="1"/>
  <c r="E61" i="4" l="1"/>
  <c r="M923" i="3" l="1"/>
  <c r="W824" i="3"/>
  <c r="P623" i="3"/>
  <c r="A3" i="15" l="1"/>
  <c r="AN929" i="3" l="1"/>
  <c r="AD64" i="15" l="1"/>
  <c r="A61" i="15" l="1"/>
  <c r="AD67" i="15" l="1"/>
  <c r="Y67" i="15"/>
  <c r="T11" i="4" l="1"/>
  <c r="R10" i="4"/>
  <c r="R88" i="4"/>
  <c r="R81" i="4"/>
  <c r="T25" i="15"/>
  <c r="AI7" i="15" s="1"/>
  <c r="AG428" i="3"/>
  <c r="AG431" i="3"/>
  <c r="B58" i="4"/>
  <c r="I95" i="13"/>
  <c r="J95" i="13"/>
  <c r="J78" i="13"/>
  <c r="I78" i="13"/>
  <c r="G78" i="13"/>
  <c r="F78" i="13"/>
  <c r="D78" i="13"/>
  <c r="C78" i="13"/>
  <c r="H77" i="13"/>
  <c r="S67" i="4"/>
  <c r="E67" i="13" s="1"/>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66" i="13"/>
  <c r="E65" i="13"/>
  <c r="E49" i="13"/>
  <c r="E47" i="13"/>
  <c r="E46" i="13"/>
  <c r="E45" i="13"/>
  <c r="E41" i="13"/>
  <c r="E39" i="13"/>
  <c r="E35" i="13"/>
  <c r="E34" i="13"/>
  <c r="E33" i="13"/>
  <c r="E31"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1" i="13"/>
  <c r="B70" i="13"/>
  <c r="B69" i="13"/>
  <c r="C67" i="4"/>
  <c r="B67" i="13" s="1"/>
  <c r="B66" i="13"/>
  <c r="B65" i="13"/>
  <c r="B61" i="13"/>
  <c r="B59" i="13"/>
  <c r="B58" i="13"/>
  <c r="B57" i="13"/>
  <c r="B56" i="13"/>
  <c r="B50" i="13"/>
  <c r="B49" i="13"/>
  <c r="B48" i="13"/>
  <c r="B47" i="13"/>
  <c r="B46" i="13"/>
  <c r="B45" i="13"/>
  <c r="B41" i="13"/>
  <c r="B39" i="13"/>
  <c r="B35" i="13"/>
  <c r="B34" i="13"/>
  <c r="B33" i="13"/>
  <c r="B31"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I63" i="13" s="1"/>
  <c r="I96" i="13" s="1"/>
  <c r="I105" i="13" s="1"/>
  <c r="I107" i="13" s="1"/>
  <c r="G36" i="13"/>
  <c r="D36" i="13"/>
  <c r="C36" i="13"/>
  <c r="J25" i="13"/>
  <c r="J63" i="13" s="1"/>
  <c r="J96" i="13" s="1"/>
  <c r="J105" i="13" s="1"/>
  <c r="J107" i="13" s="1"/>
  <c r="I25" i="13"/>
  <c r="I11" i="13"/>
  <c r="G25" i="13"/>
  <c r="D25" i="13"/>
  <c r="C25" i="13"/>
  <c r="J11" i="13"/>
  <c r="D11" i="13"/>
  <c r="C11" i="13"/>
  <c r="C8" i="13"/>
  <c r="C12" i="13"/>
  <c r="D8" i="13"/>
  <c r="D63" i="13" s="1"/>
  <c r="D96" i="13" s="1"/>
  <c r="D105" i="13" s="1"/>
  <c r="T104" i="4"/>
  <c r="H104" i="13" s="1"/>
  <c r="R103" i="4"/>
  <c r="R102" i="4"/>
  <c r="R101" i="4"/>
  <c r="R100" i="4"/>
  <c r="R99" i="4"/>
  <c r="R94" i="4"/>
  <c r="R93" i="4"/>
  <c r="R92" i="4"/>
  <c r="R91" i="4"/>
  <c r="R90" i="4"/>
  <c r="R89" i="4"/>
  <c r="R87" i="4"/>
  <c r="R86" i="4"/>
  <c r="R85" i="4"/>
  <c r="R84" i="4"/>
  <c r="R83" i="4"/>
  <c r="R82" i="4"/>
  <c r="R73" i="4"/>
  <c r="R69" i="4"/>
  <c r="R70" i="4"/>
  <c r="R71" i="4"/>
  <c r="R66" i="4"/>
  <c r="R65" i="4"/>
  <c r="R61" i="4"/>
  <c r="R59" i="4"/>
  <c r="R58" i="4"/>
  <c r="R57" i="4"/>
  <c r="R56" i="4"/>
  <c r="R50" i="4"/>
  <c r="R49" i="4"/>
  <c r="R48" i="4"/>
  <c r="R47" i="4"/>
  <c r="R46" i="4"/>
  <c r="R45" i="4"/>
  <c r="R41" i="4"/>
  <c r="R39" i="4"/>
  <c r="R35" i="4"/>
  <c r="R34" i="4"/>
  <c r="R33" i="4"/>
  <c r="R31" i="4"/>
  <c r="R26" i="4"/>
  <c r="R24" i="4"/>
  <c r="R23" i="4"/>
  <c r="R22" i="4"/>
  <c r="R21" i="4"/>
  <c r="R20" i="4"/>
  <c r="R19" i="4"/>
  <c r="R18" i="4"/>
  <c r="R17" i="4"/>
  <c r="R15" i="4"/>
  <c r="R14" i="4"/>
  <c r="R13" i="4"/>
  <c r="R9" i="4"/>
  <c r="R7" i="4"/>
  <c r="R6" i="4"/>
  <c r="R5" i="4"/>
  <c r="R4" i="4"/>
  <c r="AE690" i="3" s="1"/>
  <c r="AD991" i="3"/>
  <c r="B5" i="11"/>
  <c r="C5" i="11"/>
  <c r="B6" i="11"/>
  <c r="C6" i="11"/>
  <c r="B7" i="11"/>
  <c r="C7" i="11"/>
  <c r="C8" i="11"/>
  <c r="B8" i="11"/>
  <c r="B10" i="11"/>
  <c r="D10" i="11" s="1"/>
  <c r="B11" i="11"/>
  <c r="C10" i="11"/>
  <c r="C11" i="11"/>
  <c r="C12" i="11" s="1"/>
  <c r="B14" i="11"/>
  <c r="D14" i="11" s="1"/>
  <c r="C14" i="11"/>
  <c r="B15" i="11"/>
  <c r="C15" i="11"/>
  <c r="D15" i="11" s="1"/>
  <c r="B16" i="11"/>
  <c r="C16" i="11"/>
  <c r="B18" i="11"/>
  <c r="C18" i="11"/>
  <c r="B19" i="11"/>
  <c r="D19" i="11" s="1"/>
  <c r="C19" i="11"/>
  <c r="B20" i="11"/>
  <c r="C20" i="11"/>
  <c r="B21" i="11"/>
  <c r="C21" i="11"/>
  <c r="D21" i="11" s="1"/>
  <c r="B22" i="11"/>
  <c r="C22" i="11"/>
  <c r="D22" i="11" s="1"/>
  <c r="B23" i="11"/>
  <c r="C23" i="11"/>
  <c r="B24" i="11"/>
  <c r="C24" i="11"/>
  <c r="D24" i="11" s="1"/>
  <c r="B25" i="11"/>
  <c r="C25" i="11"/>
  <c r="B27" i="11"/>
  <c r="C27" i="11"/>
  <c r="B29" i="11"/>
  <c r="B32" i="11"/>
  <c r="B34" i="11"/>
  <c r="B35" i="11"/>
  <c r="D35" i="11" s="1"/>
  <c r="B36" i="11"/>
  <c r="C29" i="11"/>
  <c r="C32" i="11"/>
  <c r="D32" i="11" s="1"/>
  <c r="C34" i="11"/>
  <c r="C35" i="11"/>
  <c r="C36" i="11"/>
  <c r="C40" i="11"/>
  <c r="D40" i="11" s="1"/>
  <c r="B40" i="11"/>
  <c r="B42" i="11"/>
  <c r="C42" i="11"/>
  <c r="B46" i="11"/>
  <c r="D46" i="11" s="1"/>
  <c r="B47" i="11"/>
  <c r="B48" i="11"/>
  <c r="B49" i="11"/>
  <c r="B50" i="11"/>
  <c r="B51" i="11"/>
  <c r="C46" i="11"/>
  <c r="C47" i="11"/>
  <c r="C48" i="11"/>
  <c r="D48" i="11" s="1"/>
  <c r="C49" i="11"/>
  <c r="C50" i="11"/>
  <c r="C51" i="11"/>
  <c r="D51" i="11" s="1"/>
  <c r="D47" i="11"/>
  <c r="B57" i="11"/>
  <c r="C57" i="11"/>
  <c r="B58" i="11"/>
  <c r="C58" i="11"/>
  <c r="B59" i="11"/>
  <c r="D59" i="11" s="1"/>
  <c r="C59" i="11"/>
  <c r="B60" i="11"/>
  <c r="C60" i="11"/>
  <c r="D60" i="11" s="1"/>
  <c r="B62" i="11"/>
  <c r="C62" i="11"/>
  <c r="B66" i="11"/>
  <c r="B67" i="11"/>
  <c r="C66" i="11"/>
  <c r="C67" i="11"/>
  <c r="B70" i="11"/>
  <c r="C70" i="11"/>
  <c r="B71" i="11"/>
  <c r="C71" i="11"/>
  <c r="D71" i="11" s="1"/>
  <c r="B72" i="11"/>
  <c r="C72" i="11"/>
  <c r="B74" i="11"/>
  <c r="C74"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100" i="11"/>
  <c r="B101" i="11"/>
  <c r="B102" i="11"/>
  <c r="B103" i="11"/>
  <c r="B104" i="11"/>
  <c r="C100" i="11"/>
  <c r="D100" i="11" s="1"/>
  <c r="C101" i="11"/>
  <c r="C102" i="11"/>
  <c r="C103" i="11"/>
  <c r="D103" i="11" s="1"/>
  <c r="C104" i="11"/>
  <c r="A4" i="8"/>
  <c r="B4" i="8"/>
  <c r="F4" i="8" s="1"/>
  <c r="C4" i="8"/>
  <c r="H4" i="8"/>
  <c r="I4" i="8"/>
  <c r="A5" i="8"/>
  <c r="C5" i="8"/>
  <c r="H5" i="8"/>
  <c r="I5" i="8"/>
  <c r="A6" i="8"/>
  <c r="C6" i="8"/>
  <c r="H6" i="8"/>
  <c r="I6" i="8"/>
  <c r="A7" i="8"/>
  <c r="C7" i="8"/>
  <c r="H7" i="8"/>
  <c r="I7" i="8"/>
  <c r="A8" i="8"/>
  <c r="C8" i="8"/>
  <c r="H8" i="8" s="1"/>
  <c r="I8" i="8" s="1"/>
  <c r="A9" i="8"/>
  <c r="C9" i="8"/>
  <c r="H9" i="8"/>
  <c r="I9" i="8"/>
  <c r="A10" i="8"/>
  <c r="C10" i="8"/>
  <c r="H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A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71" i="3"/>
  <c r="AQ881" i="3" s="1"/>
  <c r="AD974" i="3"/>
  <c r="AD988" i="3"/>
  <c r="AM826" i="3" s="1"/>
  <c r="AR589" i="3"/>
  <c r="AT589" i="3" s="1"/>
  <c r="AR590" i="3"/>
  <c r="AT590" i="3" s="1"/>
  <c r="AR591" i="3"/>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D8" i="4"/>
  <c r="D11" i="4"/>
  <c r="D25" i="4"/>
  <c r="D36" i="4"/>
  <c r="D40" i="4"/>
  <c r="D53" i="4"/>
  <c r="D62" i="4"/>
  <c r="D67" i="4"/>
  <c r="D74" i="4"/>
  <c r="D95" i="4"/>
  <c r="D104" i="4"/>
  <c r="S25" i="4"/>
  <c r="E25" i="13" s="1"/>
  <c r="S95" i="4"/>
  <c r="E95" i="13" s="1"/>
  <c r="F2" i="4"/>
  <c r="G2" i="4"/>
  <c r="H2" i="4"/>
  <c r="I2" i="4"/>
  <c r="J2" i="4"/>
  <c r="K2" i="4"/>
  <c r="L2" i="4"/>
  <c r="M2" i="4"/>
  <c r="N2" i="4"/>
  <c r="O2" i="4"/>
  <c r="P2" i="4"/>
  <c r="Q2" i="4"/>
  <c r="B4" i="4"/>
  <c r="B5" i="4"/>
  <c r="B6" i="4"/>
  <c r="B7" i="4"/>
  <c r="E8" i="4"/>
  <c r="F8" i="4"/>
  <c r="G8" i="4"/>
  <c r="G11" i="4"/>
  <c r="H8" i="4"/>
  <c r="H12" i="4" s="1"/>
  <c r="H11" i="4"/>
  <c r="I8" i="4"/>
  <c r="I11" i="4"/>
  <c r="J8" i="4"/>
  <c r="J11" i="4"/>
  <c r="J25" i="4"/>
  <c r="J36" i="4"/>
  <c r="J40" i="4"/>
  <c r="J53" i="4"/>
  <c r="J62" i="4"/>
  <c r="J67" i="4"/>
  <c r="J74" i="4"/>
  <c r="J95" i="4"/>
  <c r="J104" i="4"/>
  <c r="K8" i="4"/>
  <c r="K11" i="4"/>
  <c r="L8" i="4"/>
  <c r="L11" i="4"/>
  <c r="M8" i="4"/>
  <c r="M11" i="4"/>
  <c r="N8" i="4"/>
  <c r="O8" i="4"/>
  <c r="Q8" i="4"/>
  <c r="Q12" i="4" s="1"/>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40" i="4"/>
  <c r="N53" i="4"/>
  <c r="N62" i="4"/>
  <c r="N67" i="4"/>
  <c r="N74" i="4"/>
  <c r="N95" i="4"/>
  <c r="N104" i="4"/>
  <c r="O25" i="4"/>
  <c r="P25" i="4"/>
  <c r="Q25" i="4"/>
  <c r="B26" i="4"/>
  <c r="B28" i="4"/>
  <c r="B31" i="4"/>
  <c r="B33" i="4"/>
  <c r="B34" i="4"/>
  <c r="B35" i="4"/>
  <c r="G36" i="4"/>
  <c r="H36" i="4"/>
  <c r="K36" i="4"/>
  <c r="L36" i="4"/>
  <c r="O36" i="4"/>
  <c r="P36" i="4"/>
  <c r="P40" i="4"/>
  <c r="P53" i="4"/>
  <c r="P62" i="4"/>
  <c r="P67" i="4"/>
  <c r="P74" i="4"/>
  <c r="P95" i="4"/>
  <c r="P104" i="4"/>
  <c r="Q36" i="4"/>
  <c r="B39" i="4"/>
  <c r="G40" i="4"/>
  <c r="H40" i="4"/>
  <c r="K40" i="4"/>
  <c r="L40" i="4"/>
  <c r="O40" i="4"/>
  <c r="Q40" i="4"/>
  <c r="B41" i="4"/>
  <c r="B45" i="4"/>
  <c r="B46" i="4"/>
  <c r="B47" i="4"/>
  <c r="B48" i="4"/>
  <c r="B49" i="4"/>
  <c r="B50" i="4"/>
  <c r="G53" i="4"/>
  <c r="H53" i="4"/>
  <c r="K53" i="4"/>
  <c r="L53" i="4"/>
  <c r="O53" i="4"/>
  <c r="Q53" i="4"/>
  <c r="B56" i="4"/>
  <c r="B57" i="4"/>
  <c r="B59" i="4"/>
  <c r="B61"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K104" i="4"/>
  <c r="L104" i="4"/>
  <c r="Q104" i="4"/>
  <c r="G108" i="4"/>
  <c r="J108" i="4"/>
  <c r="K108" i="4"/>
  <c r="L108" i="4"/>
  <c r="M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3" i="3"/>
  <c r="AT654" i="3"/>
  <c r="AT655" i="3"/>
  <c r="AT656" i="3"/>
  <c r="AT657" i="3"/>
  <c r="AT658" i="3"/>
  <c r="AT659" i="3"/>
  <c r="AT660" i="3"/>
  <c r="AT661" i="3"/>
  <c r="AT662" i="3"/>
  <c r="AT663" i="3"/>
  <c r="AT664" i="3"/>
  <c r="AT665" i="3"/>
  <c r="AT666" i="3"/>
  <c r="AT667" i="3"/>
  <c r="AT668" i="3"/>
  <c r="AT669" i="3"/>
  <c r="AT670" i="3"/>
  <c r="AT671" i="3"/>
  <c r="AT672" i="3"/>
  <c r="AT673" i="3"/>
  <c r="AT674"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s="1"/>
  <c r="Y713" i="3"/>
  <c r="AI713" i="3" s="1"/>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M812" i="3"/>
  <c r="Q812" i="3"/>
  <c r="U812" i="3"/>
  <c r="Y812" i="3"/>
  <c r="AC812" i="3"/>
  <c r="AG812" i="3"/>
  <c r="AV824" i="3"/>
  <c r="Z877" i="3"/>
  <c r="AN926" i="3"/>
  <c r="AN927" i="3"/>
  <c r="AN928" i="3"/>
  <c r="AN930" i="3"/>
  <c r="AN931" i="3"/>
  <c r="AN932" i="3"/>
  <c r="AN933" i="3"/>
  <c r="AN934" i="3"/>
  <c r="Z979" i="3"/>
  <c r="V983" i="3"/>
  <c r="Z985" i="3"/>
  <c r="D102" i="11"/>
  <c r="D57" i="11"/>
  <c r="D20" i="11"/>
  <c r="G12" i="4" l="1"/>
  <c r="D70" i="11"/>
  <c r="L12" i="4"/>
  <c r="F12" i="4"/>
  <c r="B25" i="4"/>
  <c r="D62" i="11"/>
  <c r="D18" i="11"/>
  <c r="D6" i="11"/>
  <c r="C63" i="13"/>
  <c r="C96" i="13" s="1"/>
  <c r="C105" i="13" s="1"/>
  <c r="I12" i="4"/>
  <c r="D85" i="11"/>
  <c r="D72" i="11"/>
  <c r="G63" i="13"/>
  <c r="G96" i="13" s="1"/>
  <c r="G105" i="13" s="1"/>
  <c r="G107" i="13" s="1"/>
  <c r="M12" i="4"/>
  <c r="D101" i="11"/>
  <c r="D25" i="11"/>
  <c r="D16" i="11"/>
  <c r="B67" i="4"/>
  <c r="O63" i="4"/>
  <c r="O96" i="4" s="1"/>
  <c r="O105" i="4" s="1"/>
  <c r="D34" i="11"/>
  <c r="D12" i="4"/>
  <c r="D8" i="11"/>
  <c r="AI715" i="3"/>
  <c r="I10" i="8"/>
  <c r="I30" i="8" s="1"/>
  <c r="Z789" i="3" s="1"/>
  <c r="E6" i="7" s="1"/>
  <c r="D50" i="11"/>
  <c r="D94" i="11"/>
  <c r="D86" i="11"/>
  <c r="B68" i="11"/>
  <c r="O12" i="4"/>
  <c r="D27" i="11"/>
  <c r="D23" i="11"/>
  <c r="H63" i="4"/>
  <c r="H96" i="4" s="1"/>
  <c r="K12" i="4"/>
  <c r="B12" i="11"/>
  <c r="D12" i="11" s="1"/>
  <c r="R11" i="4"/>
  <c r="P63" i="4"/>
  <c r="P96" i="4" s="1"/>
  <c r="P105" i="4" s="1"/>
  <c r="N12" i="4"/>
  <c r="D36" i="11"/>
  <c r="D67" i="11"/>
  <c r="B11" i="4"/>
  <c r="D5" i="11"/>
  <c r="G63" i="4"/>
  <c r="G96" i="4" s="1"/>
  <c r="G105" i="4" s="1"/>
  <c r="D92" i="11"/>
  <c r="D88" i="11"/>
  <c r="D95" i="11"/>
  <c r="D83" i="11"/>
  <c r="D74" i="11"/>
  <c r="D42" i="11"/>
  <c r="D84" i="11"/>
  <c r="AI710" i="3"/>
  <c r="D90" i="11"/>
  <c r="AI714" i="3"/>
  <c r="AI709" i="3"/>
  <c r="D93" i="11"/>
  <c r="D91" i="11"/>
  <c r="D87" i="11"/>
  <c r="D82" i="11"/>
  <c r="R67" i="4"/>
  <c r="D58" i="11"/>
  <c r="D49" i="11"/>
  <c r="J63" i="4"/>
  <c r="J96" i="4" s="1"/>
  <c r="J105" i="4" s="1"/>
  <c r="D29" i="11"/>
  <c r="C9" i="11"/>
  <c r="C13" i="11" s="1"/>
  <c r="R8" i="4"/>
  <c r="D7" i="11"/>
  <c r="M63" i="4"/>
  <c r="M96" i="4" s="1"/>
  <c r="M105" i="4" s="1"/>
  <c r="C68" i="11"/>
  <c r="D66" i="11"/>
  <c r="D89" i="11"/>
  <c r="B9" i="11"/>
  <c r="B8" i="4"/>
  <c r="AG432" i="3"/>
  <c r="AI27" i="15" s="1"/>
  <c r="K63" i="4"/>
  <c r="K96" i="4" s="1"/>
  <c r="K105" i="4" s="1"/>
  <c r="R25" i="4"/>
  <c r="D63" i="4"/>
  <c r="D96" i="4" s="1"/>
  <c r="D105" i="4" s="1"/>
  <c r="J12" i="4"/>
  <c r="Q63" i="4"/>
  <c r="Q96" i="4" s="1"/>
  <c r="Q105" i="4" s="1"/>
  <c r="B26" i="11"/>
  <c r="D12" i="13"/>
  <c r="L63" i="4"/>
  <c r="L96" i="4" s="1"/>
  <c r="L105" i="4" s="1"/>
  <c r="I63" i="4"/>
  <c r="I96" i="4" s="1"/>
  <c r="AD7" i="15"/>
  <c r="C26" i="11"/>
  <c r="BA621" i="3"/>
  <c r="BZ621" i="3"/>
  <c r="AQ885" i="3"/>
  <c r="BU621" i="3"/>
  <c r="BF621" i="3"/>
  <c r="AM829" i="3"/>
  <c r="AM834" i="3"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Y758" i="3"/>
  <c r="AC861" i="3"/>
  <c r="DD614" i="3"/>
  <c r="CJ614" i="3"/>
  <c r="AN891" i="3"/>
  <c r="AQ882" i="3" s="1"/>
  <c r="CE614" i="3"/>
  <c r="Y778" i="3"/>
  <c r="BF614" i="3"/>
  <c r="BA633" i="3"/>
  <c r="BA614" i="3"/>
  <c r="BP621" i="3"/>
  <c r="BU633" i="3"/>
  <c r="BZ633" i="3"/>
  <c r="BP633" i="3"/>
  <c r="CO614" i="3"/>
  <c r="CY614" i="3"/>
  <c r="AT237" i="3"/>
  <c r="BB239" i="3" s="1"/>
  <c r="T262" i="3" s="1"/>
  <c r="BF633" i="3"/>
  <c r="BU614" i="3"/>
  <c r="AX614" i="3"/>
  <c r="X1003" i="3" s="1"/>
  <c r="E9" i="7"/>
  <c r="E21" i="7"/>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B12" i="4" l="1"/>
  <c r="R12" i="4"/>
  <c r="D68" i="11"/>
  <c r="D9" i="11"/>
  <c r="B13" i="11"/>
  <c r="D13" i="11" s="1"/>
  <c r="AI28" i="15"/>
  <c r="Y27" i="15"/>
  <c r="T27" i="15"/>
  <c r="AD27" i="15"/>
  <c r="D26" i="11"/>
  <c r="BA635" i="3"/>
  <c r="V947" i="3" s="1"/>
  <c r="AD947" i="3" s="1"/>
  <c r="BP635" i="3"/>
  <c r="V950" i="3" s="1"/>
  <c r="AD950" i="3" s="1"/>
  <c r="BF635" i="3"/>
  <c r="V948" i="3" s="1"/>
  <c r="AD948" i="3" s="1"/>
  <c r="BZ635" i="3"/>
  <c r="Y11" i="15"/>
  <c r="Y23" i="15" s="1"/>
  <c r="Y26" i="15" s="1"/>
  <c r="BU635" i="3"/>
  <c r="AA1000" i="3"/>
  <c r="I21" i="7"/>
  <c r="E7" i="7"/>
  <c r="G6" i="7"/>
  <c r="K8" i="7"/>
  <c r="I9" i="7"/>
  <c r="K21" i="7"/>
  <c r="M14" i="7"/>
  <c r="H63" i="13"/>
  <c r="T105" i="4"/>
  <c r="H96" i="13"/>
  <c r="Y28" i="15" l="1"/>
  <c r="V951" i="3"/>
  <c r="AD951" i="3" s="1"/>
  <c r="M21" i="7"/>
  <c r="O14" i="7"/>
  <c r="M8" i="7"/>
  <c r="K9" i="7"/>
  <c r="G7" i="7"/>
  <c r="I6" i="7"/>
  <c r="T107" i="4"/>
  <c r="H107" i="13" s="1"/>
  <c r="AD11" i="15" s="1"/>
  <c r="AD23" i="15" s="1"/>
  <c r="AD26" i="15" s="1"/>
  <c r="AD28" i="15" s="1"/>
  <c r="H105" i="13"/>
  <c r="I7" i="7" l="1"/>
  <c r="K6" i="7"/>
  <c r="M9" i="7"/>
  <c r="O8" i="7"/>
  <c r="O21" i="7"/>
  <c r="Q14" i="7"/>
  <c r="Q21" i="7" l="1"/>
  <c r="S14" i="7"/>
  <c r="M6" i="7"/>
  <c r="K7" i="7"/>
  <c r="O9" i="7"/>
  <c r="Q8" i="7"/>
  <c r="U14" i="7" l="1"/>
  <c r="S21" i="7"/>
  <c r="Q9" i="7"/>
  <c r="S8" i="7"/>
  <c r="O6" i="7"/>
  <c r="M7" i="7"/>
  <c r="S9" i="7" l="1"/>
  <c r="U8" i="7"/>
  <c r="U21" i="7"/>
  <c r="W14" i="7"/>
  <c r="O7" i="7"/>
  <c r="Q6" i="7"/>
  <c r="W21" i="7" l="1"/>
  <c r="Y14" i="7"/>
  <c r="W8" i="7"/>
  <c r="U9" i="7"/>
  <c r="Q7" i="7"/>
  <c r="S6" i="7"/>
  <c r="Y8" i="7" l="1"/>
  <c r="W9" i="7"/>
  <c r="Y21" i="7"/>
  <c r="AA14" i="7"/>
  <c r="S7" i="7"/>
  <c r="U6" i="7"/>
  <c r="W6" i="7" l="1"/>
  <c r="U7" i="7"/>
  <c r="AA21" i="7"/>
  <c r="AC14" i="7"/>
  <c r="Y9" i="7"/>
  <c r="AA8" i="7"/>
  <c r="AE14" i="7" l="1"/>
  <c r="AC21" i="7"/>
  <c r="W7" i="7"/>
  <c r="Y6" i="7"/>
  <c r="AA9" i="7"/>
  <c r="AC8" i="7"/>
  <c r="AA6" i="7" l="1"/>
  <c r="Y7" i="7"/>
  <c r="AE8" i="7"/>
  <c r="AC9" i="7"/>
  <c r="AG14" i="7"/>
  <c r="AG21" i="7" s="1"/>
  <c r="AE21" i="7"/>
  <c r="AE9" i="7" l="1"/>
  <c r="AG8" i="7"/>
  <c r="AG9" i="7" s="1"/>
  <c r="AA7" i="7"/>
  <c r="AC6" i="7"/>
  <c r="AC7" i="7" l="1"/>
  <c r="AE6" i="7"/>
  <c r="AE7" i="7" l="1"/>
  <c r="AG6" i="7"/>
  <c r="AG7" i="7" s="1"/>
  <c r="BK591" i="3" l="1"/>
  <c r="BK614" i="3" s="1"/>
  <c r="BK635" i="3" s="1"/>
  <c r="V949" i="3" s="1"/>
  <c r="G734" i="3"/>
  <c r="B6" i="8"/>
  <c r="F6" i="8" s="1"/>
  <c r="F30" i="8" s="1"/>
  <c r="P711" i="3"/>
  <c r="P734" i="3" s="1"/>
  <c r="AN651" i="3"/>
  <c r="AI711" i="3" s="1"/>
  <c r="AT652" i="3"/>
  <c r="AT591" i="3"/>
  <c r="AT614" i="3" s="1"/>
  <c r="X999" i="3" s="1"/>
  <c r="C30" i="8" l="1"/>
  <c r="Y780" i="3"/>
  <c r="Y781" i="3"/>
  <c r="AA996" i="3"/>
  <c r="AT675" i="3"/>
  <c r="AU652" i="3" s="1"/>
  <c r="AV652" i="3" s="1"/>
  <c r="AC862" i="3"/>
  <c r="AC863" i="3" s="1"/>
  <c r="AM905" i="3"/>
  <c r="AD949" i="3"/>
  <c r="AD953" i="3" s="1"/>
  <c r="V952" i="3"/>
  <c r="B1014" i="3" l="1"/>
  <c r="AD969" i="3"/>
  <c r="AQ880" i="3" s="1"/>
  <c r="AD965" i="3"/>
  <c r="AQ879" i="3" s="1"/>
  <c r="AU654" i="3"/>
  <c r="AV654" i="3" s="1"/>
  <c r="AU667" i="3"/>
  <c r="AV667" i="3" s="1"/>
  <c r="AU661" i="3"/>
  <c r="AV661" i="3" s="1"/>
  <c r="AU659" i="3"/>
  <c r="AV659" i="3" s="1"/>
  <c r="AU672" i="3"/>
  <c r="AV672" i="3" s="1"/>
  <c r="AU671" i="3"/>
  <c r="AV671" i="3" s="1"/>
  <c r="AU656" i="3"/>
  <c r="AV656" i="3" s="1"/>
  <c r="AU665" i="3"/>
  <c r="AV665" i="3" s="1"/>
  <c r="AU655" i="3"/>
  <c r="AV655" i="3" s="1"/>
  <c r="AU662" i="3"/>
  <c r="AV662" i="3" s="1"/>
  <c r="AU657" i="3"/>
  <c r="AV657" i="3" s="1"/>
  <c r="AU668" i="3"/>
  <c r="AV668" i="3" s="1"/>
  <c r="AU650" i="3"/>
  <c r="AU674" i="3"/>
  <c r="AV674" i="3" s="1"/>
  <c r="AU660" i="3"/>
  <c r="AV660" i="3" s="1"/>
  <c r="AU673" i="3"/>
  <c r="AV673" i="3" s="1"/>
  <c r="AU653" i="3"/>
  <c r="AV653" i="3" s="1"/>
  <c r="AU663" i="3"/>
  <c r="AV663" i="3" s="1"/>
  <c r="AU664" i="3"/>
  <c r="AV664" i="3" s="1"/>
  <c r="AU666" i="3"/>
  <c r="AV666" i="3" s="1"/>
  <c r="AU651" i="3"/>
  <c r="AV651" i="3" s="1"/>
  <c r="AU658" i="3"/>
  <c r="AV658" i="3" s="1"/>
  <c r="AU669" i="3"/>
  <c r="AV669" i="3" s="1"/>
  <c r="AU670" i="3"/>
  <c r="AV670" i="3" s="1"/>
  <c r="E4" i="7"/>
  <c r="Z798" i="3"/>
  <c r="I999" i="3"/>
  <c r="AO906" i="3" s="1"/>
  <c r="AD996" i="3" s="1"/>
  <c r="I1003" i="3"/>
  <c r="AO907" i="3" s="1"/>
  <c r="AD1000" i="3" s="1"/>
  <c r="AD1004" i="3" l="1"/>
  <c r="T24" i="15" s="1"/>
  <c r="AU675" i="3"/>
  <c r="AV650" i="3"/>
  <c r="AV675" i="3" s="1"/>
  <c r="AD734" i="3" s="1"/>
  <c r="AQ886" i="3"/>
  <c r="AQ888" i="3"/>
  <c r="B1012" i="3" s="1"/>
  <c r="E5" i="7"/>
  <c r="E10" i="7" s="1"/>
  <c r="G4" i="7"/>
  <c r="G5" i="7" l="1"/>
  <c r="G10" i="7" s="1"/>
  <c r="I4" i="7"/>
  <c r="I5" i="7" l="1"/>
  <c r="I10" i="7" s="1"/>
  <c r="K4" i="7"/>
  <c r="M4" i="7" l="1"/>
  <c r="K5" i="7"/>
  <c r="K10" i="7" s="1"/>
  <c r="M5" i="7" l="1"/>
  <c r="M10" i="7" s="1"/>
  <c r="O4" i="7"/>
  <c r="O5" i="7" l="1"/>
  <c r="O10" i="7" s="1"/>
  <c r="Q4" i="7"/>
  <c r="S4" i="7" l="1"/>
  <c r="Q5" i="7"/>
  <c r="Q10" i="7" s="1"/>
  <c r="U4" i="7" l="1"/>
  <c r="S5" i="7"/>
  <c r="S10" i="7" s="1"/>
  <c r="W4" i="7" l="1"/>
  <c r="U5" i="7"/>
  <c r="U10" i="7" s="1"/>
  <c r="W5" i="7" l="1"/>
  <c r="W10" i="7" s="1"/>
  <c r="Y4" i="7"/>
  <c r="AA4" i="7" l="1"/>
  <c r="Y5" i="7"/>
  <c r="Y10" i="7" s="1"/>
  <c r="AA5" i="7" l="1"/>
  <c r="AA10" i="7" s="1"/>
  <c r="AC4" i="7"/>
  <c r="AE4" i="7" l="1"/>
  <c r="AC5" i="7"/>
  <c r="AC10" i="7" s="1"/>
  <c r="AG4" i="7" l="1"/>
  <c r="AE5" i="7"/>
  <c r="AE10" i="7" s="1"/>
  <c r="AG5" i="7" l="1"/>
  <c r="AG10" i="7" s="1"/>
  <c r="E52" i="13" l="1"/>
  <c r="R52" i="4" l="1"/>
  <c r="B52" i="13"/>
  <c r="B53" i="11"/>
  <c r="C53" i="11"/>
  <c r="B52" i="4"/>
  <c r="D53" i="11" l="1"/>
  <c r="E51" i="13"/>
  <c r="R51" i="4" l="1"/>
  <c r="B52" i="11"/>
  <c r="C52" i="11"/>
  <c r="D52" i="11" s="1"/>
  <c r="B51" i="4"/>
  <c r="B51" i="13"/>
  <c r="B30" i="11" l="1"/>
  <c r="B29" i="4"/>
  <c r="B29" i="13"/>
  <c r="C30" i="11"/>
  <c r="B32" i="13" l="1"/>
  <c r="B33" i="11"/>
  <c r="C33" i="11"/>
  <c r="B32" i="4"/>
  <c r="R32" i="4" s="1"/>
  <c r="D30" i="11"/>
  <c r="E32" i="13"/>
  <c r="E29" i="13" l="1"/>
  <c r="D33" i="11"/>
  <c r="R30" i="4"/>
  <c r="B31" i="11"/>
  <c r="B37" i="11" s="1"/>
  <c r="C31" i="11"/>
  <c r="B30" i="4"/>
  <c r="B30" i="13"/>
  <c r="C36" i="4"/>
  <c r="E30" i="13"/>
  <c r="D31" i="11" l="1"/>
  <c r="C37" i="11"/>
  <c r="D37" i="11" s="1"/>
  <c r="S36" i="4"/>
  <c r="E36" i="13" s="1"/>
  <c r="B36" i="13"/>
  <c r="B36" i="4"/>
  <c r="E38" i="13" l="1"/>
  <c r="S40" i="4"/>
  <c r="E40" i="13" s="1"/>
  <c r="B39" i="11"/>
  <c r="B41" i="11" s="1"/>
  <c r="B38" i="13"/>
  <c r="C39" i="11"/>
  <c r="B38" i="4"/>
  <c r="C40" i="4"/>
  <c r="B40" i="13" l="1"/>
  <c r="B40" i="4"/>
  <c r="R38" i="4"/>
  <c r="R40" i="4" s="1"/>
  <c r="E40" i="4"/>
  <c r="D39" i="11"/>
  <c r="C41" i="11"/>
  <c r="D41" i="11" s="1"/>
  <c r="N36" i="4" l="1"/>
  <c r="N63" i="4" s="1"/>
  <c r="N96" i="4" s="1"/>
  <c r="N105" i="4" s="1"/>
  <c r="N108" i="4"/>
  <c r="R28" i="4" l="1"/>
  <c r="AE557" i="3" l="1"/>
  <c r="E35" i="7"/>
  <c r="I35" i="7" s="1"/>
  <c r="I38" i="7" s="1"/>
  <c r="AG630" i="3"/>
  <c r="E28" i="7"/>
  <c r="G28" i="7" s="1"/>
  <c r="B45" i="11"/>
  <c r="B77" i="11"/>
  <c r="C78" i="11"/>
  <c r="E43" i="13"/>
  <c r="E50" i="13"/>
  <c r="B60" i="13"/>
  <c r="B77" i="13"/>
  <c r="B80" i="13"/>
  <c r="B98" i="13"/>
  <c r="B43" i="4"/>
  <c r="B44" i="11"/>
  <c r="B54" i="11" s="1"/>
  <c r="R43" i="4"/>
  <c r="C45" i="11"/>
  <c r="D45" i="11" s="1"/>
  <c r="E44" i="13"/>
  <c r="E48" i="13"/>
  <c r="S53" i="4"/>
  <c r="B56" i="11"/>
  <c r="B63" i="11" s="1"/>
  <c r="R55" i="4"/>
  <c r="B61" i="11"/>
  <c r="R60" i="4"/>
  <c r="C62" i="4"/>
  <c r="B62" i="13" s="1"/>
  <c r="B72" i="13"/>
  <c r="B77" i="4"/>
  <c r="B78" i="11"/>
  <c r="R77" i="4"/>
  <c r="E77" i="13"/>
  <c r="C78" i="4"/>
  <c r="B98" i="4"/>
  <c r="B99" i="11"/>
  <c r="B105" i="11" s="1"/>
  <c r="I104" i="4"/>
  <c r="I105" i="4" s="1"/>
  <c r="E98" i="13"/>
  <c r="C104" i="4"/>
  <c r="B104" i="13" s="1"/>
  <c r="H104" i="4"/>
  <c r="H105" i="4" s="1"/>
  <c r="S104" i="4"/>
  <c r="E104" i="13" s="1"/>
  <c r="E108" i="4"/>
  <c r="F108" i="4"/>
  <c r="H108" i="4"/>
  <c r="I108" i="4"/>
  <c r="B79" i="11" l="1"/>
  <c r="E30" i="7"/>
  <c r="E32" i="7" s="1"/>
  <c r="R98" i="4"/>
  <c r="R104" i="4" s="1"/>
  <c r="E104" i="4"/>
  <c r="R80" i="4"/>
  <c r="R95" i="4" s="1"/>
  <c r="E95" i="4"/>
  <c r="C74" i="4"/>
  <c r="B72" i="4"/>
  <c r="R44" i="4"/>
  <c r="R53" i="4" s="1"/>
  <c r="E53" i="4"/>
  <c r="K35" i="7"/>
  <c r="K38" i="7" s="1"/>
  <c r="S35" i="7"/>
  <c r="S38" i="7" s="1"/>
  <c r="AA35" i="7"/>
  <c r="AA38" i="7" s="1"/>
  <c r="E38" i="7"/>
  <c r="E40" i="7" s="1"/>
  <c r="M35" i="7"/>
  <c r="M38" i="7" s="1"/>
  <c r="U35" i="7"/>
  <c r="U38" i="7" s="1"/>
  <c r="AC35" i="7"/>
  <c r="AC38" i="7" s="1"/>
  <c r="G35" i="7"/>
  <c r="G38" i="7" s="1"/>
  <c r="O35" i="7"/>
  <c r="O38" i="7" s="1"/>
  <c r="W35" i="7"/>
  <c r="W38" i="7" s="1"/>
  <c r="AE35" i="7"/>
  <c r="AE38" i="7" s="1"/>
  <c r="AG35" i="7"/>
  <c r="AG38" i="7" s="1"/>
  <c r="S78" i="4"/>
  <c r="E78" i="13" s="1"/>
  <c r="E76" i="13"/>
  <c r="E44" i="7"/>
  <c r="B104" i="4"/>
  <c r="B81" i="11"/>
  <c r="B96" i="11" s="1"/>
  <c r="C81" i="11"/>
  <c r="C77" i="11"/>
  <c r="B76" i="13"/>
  <c r="E53" i="13"/>
  <c r="S63" i="4"/>
  <c r="B64" i="11"/>
  <c r="G30" i="7"/>
  <c r="G32" i="7" s="1"/>
  <c r="I28" i="7"/>
  <c r="AB48" i="15"/>
  <c r="AG632" i="3"/>
  <c r="Y35" i="7"/>
  <c r="Y38" i="7" s="1"/>
  <c r="B73" i="11"/>
  <c r="B75" i="11" s="1"/>
  <c r="C73" i="11"/>
  <c r="B78" i="13"/>
  <c r="B78" i="4"/>
  <c r="C95" i="4"/>
  <c r="B80" i="4"/>
  <c r="B76" i="4"/>
  <c r="E62" i="4"/>
  <c r="R62" i="4"/>
  <c r="D78" i="11"/>
  <c r="Q35" i="7"/>
  <c r="Q38" i="7" s="1"/>
  <c r="B55" i="13"/>
  <c r="B43" i="13"/>
  <c r="C99" i="11"/>
  <c r="C56" i="11"/>
  <c r="B62" i="4"/>
  <c r="B60" i="4"/>
  <c r="B55" i="4"/>
  <c r="C53" i="4"/>
  <c r="B44" i="4"/>
  <c r="C61" i="11"/>
  <c r="D61" i="11" s="1"/>
  <c r="C44" i="11"/>
  <c r="B44" i="13"/>
  <c r="E43" i="7" l="1"/>
  <c r="E42" i="7"/>
  <c r="E54" i="7"/>
  <c r="G40" i="7"/>
  <c r="G44" i="7"/>
  <c r="R76" i="4"/>
  <c r="R78" i="4" s="1"/>
  <c r="E78" i="4"/>
  <c r="B74" i="13"/>
  <c r="B74" i="4"/>
  <c r="I30" i="7"/>
  <c r="I32" i="7" s="1"/>
  <c r="K28" i="7"/>
  <c r="B53" i="13"/>
  <c r="B53" i="4"/>
  <c r="B63" i="4" s="1"/>
  <c r="C63" i="4"/>
  <c r="C63" i="11"/>
  <c r="D63" i="11" s="1"/>
  <c r="D56" i="11"/>
  <c r="D44" i="11"/>
  <c r="C54" i="11"/>
  <c r="C105" i="11"/>
  <c r="D105" i="11" s="1"/>
  <c r="D99" i="11"/>
  <c r="C75" i="11"/>
  <c r="D75" i="11" s="1"/>
  <c r="D73" i="11"/>
  <c r="B97" i="11"/>
  <c r="B106" i="11" s="1"/>
  <c r="C96" i="11"/>
  <c r="D96" i="11" s="1"/>
  <c r="D81" i="11"/>
  <c r="B95" i="13"/>
  <c r="B95" i="4"/>
  <c r="E74" i="4"/>
  <c r="R72" i="4"/>
  <c r="R74" i="4" s="1"/>
  <c r="E63" i="13"/>
  <c r="S96" i="4"/>
  <c r="D77" i="11"/>
  <c r="C79" i="11"/>
  <c r="D79" i="11" s="1"/>
  <c r="M28" i="7" l="1"/>
  <c r="K30" i="7"/>
  <c r="K32" i="7" s="1"/>
  <c r="G54" i="7"/>
  <c r="G43" i="7"/>
  <c r="G42" i="7"/>
  <c r="D54" i="11"/>
  <c r="C64" i="11"/>
  <c r="B63" i="13"/>
  <c r="C96" i="4"/>
  <c r="I40" i="7"/>
  <c r="I44" i="7"/>
  <c r="E96" i="13"/>
  <c r="S105" i="4"/>
  <c r="B96" i="13" l="1"/>
  <c r="C105" i="4"/>
  <c r="B96" i="4"/>
  <c r="E105" i="13"/>
  <c r="S107" i="4"/>
  <c r="D64" i="11"/>
  <c r="C97" i="11"/>
  <c r="I42" i="7"/>
  <c r="I54" i="7"/>
  <c r="I43" i="7"/>
  <c r="K40" i="7"/>
  <c r="K44" i="7"/>
  <c r="O28" i="7"/>
  <c r="M30" i="7"/>
  <c r="M32" i="7" s="1"/>
  <c r="D97" i="11" l="1"/>
  <c r="C106" i="11"/>
  <c r="D106" i="11" s="1"/>
  <c r="B105" i="13"/>
  <c r="AC442" i="3"/>
  <c r="B105" i="4"/>
  <c r="K43" i="7"/>
  <c r="K42" i="7"/>
  <c r="K54" i="7"/>
  <c r="M44" i="7"/>
  <c r="M40" i="7"/>
  <c r="O30" i="7"/>
  <c r="O32" i="7" s="1"/>
  <c r="Q28" i="7"/>
  <c r="AC443" i="3"/>
  <c r="E107" i="13"/>
  <c r="T11" i="15" s="1"/>
  <c r="T23" i="15" s="1"/>
  <c r="O40" i="7" l="1"/>
  <c r="O44" i="7"/>
  <c r="T26" i="15"/>
  <c r="T28" i="15" s="1"/>
  <c r="T29" i="15" s="1"/>
  <c r="AD38" i="15"/>
  <c r="AD40" i="15" s="1"/>
  <c r="Y64" i="15"/>
  <c r="Y68" i="15" s="1"/>
  <c r="M43" i="7"/>
  <c r="M42" i="7"/>
  <c r="M54" i="7"/>
  <c r="Q30" i="7"/>
  <c r="Q32" i="7" s="1"/>
  <c r="S28" i="7"/>
  <c r="AB47" i="15"/>
  <c r="AB49" i="15" s="1"/>
  <c r="AC441" i="3"/>
  <c r="AB54" i="15" l="1"/>
  <c r="AB55" i="15" s="1"/>
  <c r="U28" i="7"/>
  <c r="S30" i="7"/>
  <c r="S32" i="7" s="1"/>
  <c r="Q40" i="7"/>
  <c r="Q44" i="7"/>
  <c r="Y38" i="15"/>
  <c r="Y40" i="15" s="1"/>
  <c r="Y41" i="15" s="1"/>
  <c r="O54" i="7"/>
  <c r="O43" i="7"/>
  <c r="O42" i="7"/>
  <c r="AB56" i="15" l="1"/>
  <c r="M26" i="3" s="1"/>
  <c r="P203" i="3" s="1"/>
  <c r="W28" i="7"/>
  <c r="U30" i="7"/>
  <c r="U32" i="7" s="1"/>
  <c r="Q42" i="7"/>
  <c r="Q54" i="7"/>
  <c r="Q43" i="7"/>
  <c r="S40" i="7"/>
  <c r="S44" i="7"/>
  <c r="AB57" i="15" l="1"/>
  <c r="AB59" i="15" s="1"/>
  <c r="AB76" i="15" s="1"/>
  <c r="AB77" i="15" s="1"/>
  <c r="S43" i="7"/>
  <c r="S42" i="7"/>
  <c r="S54" i="7"/>
  <c r="U44" i="7"/>
  <c r="U40" i="7"/>
  <c r="W30" i="7"/>
  <c r="W32" i="7" s="1"/>
  <c r="Y28" i="7"/>
  <c r="AB78" i="15" l="1"/>
  <c r="AB80" i="15" s="1"/>
  <c r="J81" i="15" s="1"/>
  <c r="AB86" i="15"/>
  <c r="M27" i="3"/>
  <c r="P204" i="3" s="1"/>
  <c r="W40" i="7"/>
  <c r="W44" i="7"/>
  <c r="Y30" i="7"/>
  <c r="Y32" i="7" s="1"/>
  <c r="AA28" i="7"/>
  <c r="U43" i="7"/>
  <c r="U42" i="7"/>
  <c r="U54" i="7"/>
  <c r="W54" i="7" l="1"/>
  <c r="W43" i="7"/>
  <c r="W42" i="7"/>
  <c r="AC28" i="7"/>
  <c r="AA30" i="7"/>
  <c r="AA32" i="7" s="1"/>
  <c r="Y40" i="7"/>
  <c r="Y44" i="7"/>
  <c r="Y42" i="7" l="1"/>
  <c r="Y54" i="7"/>
  <c r="Y43" i="7"/>
  <c r="AE28" i="7"/>
  <c r="AC30" i="7"/>
  <c r="AC32" i="7" s="1"/>
  <c r="AA40" i="7"/>
  <c r="AA44" i="7"/>
  <c r="AE30" i="7" l="1"/>
  <c r="AE32" i="7" s="1"/>
  <c r="AG28" i="7"/>
  <c r="AG30" i="7" s="1"/>
  <c r="AG32" i="7" s="1"/>
  <c r="AA43" i="7"/>
  <c r="AA42" i="7"/>
  <c r="AA54" i="7"/>
  <c r="AC44" i="7"/>
  <c r="AC40" i="7"/>
  <c r="AG40" i="7" l="1"/>
  <c r="AG44" i="7"/>
  <c r="AC43" i="7"/>
  <c r="AC42" i="7"/>
  <c r="AC54" i="7"/>
  <c r="AE40" i="7"/>
  <c r="AE44" i="7"/>
  <c r="AE54" i="7" l="1"/>
  <c r="AE43" i="7"/>
  <c r="AE42" i="7"/>
  <c r="AG42" i="7"/>
  <c r="AG54" i="7"/>
  <c r="AG43" i="7"/>
  <c r="R29" i="4"/>
  <c r="R36" i="4" s="1"/>
  <c r="R63" i="4" s="1"/>
  <c r="R96" i="4" s="1"/>
  <c r="R105" i="4" s="1"/>
  <c r="E36" i="4"/>
  <c r="E63" i="4" s="1"/>
  <c r="E96" i="4" s="1"/>
  <c r="E105" i="4" s="1"/>
  <c r="F36" i="4"/>
  <c r="F63" i="4"/>
  <c r="F96" i="4" s="1"/>
  <c r="F105" i="4"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<sst xmlns="http://schemas.openxmlformats.org/spreadsheetml/2006/main" count="3694" uniqueCount="1817">
  <si>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</si>
  <si>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</si>
  <si>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</si>
  <si>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</si>
  <si>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</si>
  <si>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</si>
  <si>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</si>
  <si>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</si>
  <si>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</si>
  <si>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</si>
  <si>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</si>
  <si>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</si>
  <si>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</si>
  <si>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</si>
  <si>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</si>
  <si>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</si>
  <si>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</si>
  <si>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</si>
  <si>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</si>
  <si>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</si>
  <si>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</si>
  <si>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</si>
  <si>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</si>
  <si>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</si>
  <si>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</si>
  <si>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</si>
  <si>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</si>
  <si>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</si>
  <si>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</si>
  <si>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</si>
  <si>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</si>
  <si>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</si>
  <si>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</si>
  <si>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</si>
  <si>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</si>
  <si>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</si>
  <si>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</si>
  <si>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</si>
  <si>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</si>
  <si>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</si>
  <si>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</si>
  <si>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</si>
  <si>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</si>
  <si>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</si>
  <si>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</si>
  <si>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</si>
  <si>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</si>
  <si>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</si>
  <si>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</si>
  <si>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</si>
  <si>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</si>
  <si>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</si>
  <si>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</si>
  <si>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</si>
  <si>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</si>
  <si>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</si>
  <si>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</si>
  <si>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</si>
  <si>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</si>
  <si>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</si>
  <si>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</si>
  <si>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</si>
  <si>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</si>
  <si>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</si>
  <si>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</si>
  <si>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</si>
  <si>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</si>
  <si>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</si>
  <si>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</si>
  <si>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</si>
  <si>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</si>
  <si>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</si>
  <si>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</si>
  <si>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</si>
  <si>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</si>
  <si>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</si>
  <si>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</si>
  <si>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</si>
  <si>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</si>
  <si>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</si>
  <si>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</si>
  <si>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</si>
  <si>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</si>
  <si>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</si>
  <si>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</si>
  <si>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</si>
  <si>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</si>
  <si>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</si>
  <si>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</si>
  <si>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</si>
  <si>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</si>
  <si>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</si>
  <si>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</si>
  <si>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</si>
  <si>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</si>
  <si>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</si>
  <si>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</si>
  <si>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</si>
  <si>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</si>
  <si>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</si>
  <si>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</si>
  <si>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</si>
  <si>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</si>
  <si>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</si>
  <si>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</si>
  <si>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</si>
  <si>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</si>
  <si>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</si>
  <si>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</si>
  <si>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</si>
  <si>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</si>
  <si>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</si>
  <si>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</si>
  <si>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</si>
  <si>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</si>
  <si>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</si>
  <si>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</si>
  <si>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</si>
  <si>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</si>
  <si>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</si>
  <si>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</si>
  <si>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</si>
  <si>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</si>
  <si>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</si>
  <si>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</si>
  <si>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</si>
  <si>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</si>
  <si>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</si>
  <si>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</si>
  <si>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</si>
  <si>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</si>
  <si>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</si>
  <si>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</si>
  <si>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</si>
  <si>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</si>
  <si>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</si>
  <si>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</si>
  <si>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</si>
  <si>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</si>
  <si>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</si>
  <si>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</si>
  <si>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</si>
  <si>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</si>
  <si>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</si>
  <si>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</si>
  <si>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</si>
  <si>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</si>
  <si>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</si>
  <si>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</si>
  <si>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</si>
  <si>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</si>
  <si>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</si>
  <si>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</si>
  <si>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</si>
  <si>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</si>
  <si>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</si>
  <si>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</si>
  <si>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</si>
  <si>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</si>
  <si>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</si>
  <si>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</si>
  <si>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</si>
  <si>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</si>
  <si>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</si>
  <si>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</si>
  <si>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</si>
  <si>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</si>
  <si>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</si>
  <si>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</si>
  <si>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</si>
  <si>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</si>
  <si>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</si>
  <si>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</si>
  <si>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</si>
  <si>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</si>
  <si>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</si>
  <si>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</si>
  <si>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</si>
  <si>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</si>
  <si>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</si>
  <si>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</si>
  <si>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</si>
  <si>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</si>
  <si>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</si>
  <si>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</si>
  <si>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</si>
  <si>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</si>
  <si>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</si>
  <si>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</si>
  <si>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</si>
  <si>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</si>
  <si>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</si>
  <si>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</si>
  <si>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</si>
  <si>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</si>
  <si>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</si>
  <si>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</si>
  <si>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</si>
  <si>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</si>
  <si>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</si>
  <si>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</si>
  <si>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</si>
  <si>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</si>
  <si>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</si>
  <si>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</si>
  <si>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</si>
  <si>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</si>
  <si>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</si>
  <si>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</si>
  <si>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</si>
  <si>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</si>
  <si>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</si>
  <si>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</si>
  <si>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</si>
  <si>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</si>
  <si>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</si>
  <si>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</si>
  <si>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</si>
  <si>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</si>
  <si>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</si>
  <si>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</si>
  <si>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</si>
  <si>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</si>
  <si>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</si>
  <si>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</si>
  <si>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</si>
  <si>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</si>
  <si>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</si>
  <si>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</si>
  <si>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</si>
  <si>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</si>
  <si>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</si>
  <si>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</si>
  <si>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</si>
  <si>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</si>
  <si>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</si>
  <si>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</si>
  <si>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</si>
  <si>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</si>
  <si>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</si>
  <si>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</si>
  <si>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</si>
  <si>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</si>
  <si>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</si>
  <si>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</si>
  <si>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</si>
  <si>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</si>
  <si>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</si>
  <si>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</si>
  <si>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</si>
  <si>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</si>
  <si>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</si>
  <si>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</si>
  <si>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</si>
  <si>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</si>
  <si>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</si>
  <si>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</si>
  <si>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</si>
  <si>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</si>
  <si>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</si>
  <si>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</si>
  <si>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</si>
  <si>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</si>
  <si>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</si>
  <si>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</si>
  <si>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</si>
  <si>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</si>
  <si>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</si>
  <si>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</si>
  <si>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</si>
  <si>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</si>
  <si>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</si>
  <si>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</si>
  <si>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</si>
  <si>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</si>
  <si>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</si>
  <si>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</si>
  <si>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</si>
  <si>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</si>
  <si>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</si>
  <si>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</si>
  <si>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</si>
  <si>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</si>
  <si>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</si>
  <si>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</si>
  <si>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</si>
  <si>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</si>
  <si>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</si>
  <si>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</si>
  <si>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</si>
  <si>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</si>
  <si>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</si>
  <si>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</si>
  <si>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</si>
  <si>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</si>
  <si>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</si>
  <si>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</si>
  <si>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</si>
  <si>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</si>
  <si>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</si>
  <si>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</si>
  <si>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</si>
  <si>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</si>
  <si>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</si>
  <si>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</si>
  <si>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</si>
  <si>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</si>
  <si>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</si>
  <si>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</si>
  <si>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</si>
  <si>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</si>
  <si>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</si>
  <si>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</si>
  <si>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</si>
  <si>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</si>
  <si>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</si>
  <si>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</si>
  <si>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</si>
  <si>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</si>
  <si>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</si>
  <si>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</si>
  <si>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</si>
  <si>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</si>
  <si>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</si>
  <si>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</si>
  <si>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</si>
  <si>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</si>
  <si>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</si>
  <si>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</si>
  <si>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</si>
  <si>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</si>
  <si>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</si>
  <si>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</si>
  <si>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</si>
  <si>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</si>
  <si>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</si>
  <si>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</si>
  <si>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</si>
  <si>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</si>
  <si>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</si>
  <si>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</si>
  <si>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</si>
  <si>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</si>
  <si>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</si>
  <si>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</si>
  <si>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</si>
  <si>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</si>
  <si>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</si>
  <si>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</si>
  <si>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</si>
  <si>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</si>
  <si>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</si>
  <si>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</si>
  <si>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</si>
  <si>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</si>
  <si>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</si>
  <si>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</si>
  <si>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</si>
  <si>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</si>
  <si>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</si>
  <si>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</si>
  <si>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</si>
  <si>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</si>
  <si>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</si>
  <si>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</si>
  <si>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</si>
  <si>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</si>
  <si>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</si>
  <si>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</si>
  <si>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</si>
  <si>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</si>
  <si>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</si>
  <si>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</si>
  <si>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</si>
  <si>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</si>
  <si>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</si>
  <si>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</si>
  <si>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</si>
  <si>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</si>
  <si>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</si>
  <si>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</si>
  <si>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</si>
  <si>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</si>
  <si>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</si>
  <si>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</si>
  <si>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</si>
  <si>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</si>
  <si>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</si>
  <si>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</si>
  <si>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</si>
  <si>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</si>
  <si>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</si>
  <si>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</si>
  <si>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</si>
  <si>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</si>
  <si>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</si>
  <si>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</si>
  <si>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</si>
  <si>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</si>
  <si>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</si>
  <si>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</si>
  <si>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</si>
  <si>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</si>
  <si>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</si>
  <si>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</si>
  <si>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</si>
  <si>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</si>
  <si>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</si>
  <si>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</si>
  <si>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</si>
  <si>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</si>
  <si>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</si>
  <si>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</si>
  <si>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</si>
  <si>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</si>
  <si>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</si>
  <si>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</si>
  <si>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</si>
  <si>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</si>
  <si>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</si>
  <si>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</si>
  <si>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</si>
  <si>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</si>
  <si>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</si>
  <si>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</si>
  <si>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</si>
  <si>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</si>
  <si>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</si>
  <si>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</si>
  <si>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</si>
  <si>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</si>
  <si>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</si>
  <si>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</si>
  <si>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</si>
  <si>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</si>
  <si>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</si>
  <si>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</si>
  <si>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</si>
  <si>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</si>
  <si>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</si>
  <si>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</si>
  <si>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</si>
  <si>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</si>
  <si>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</si>
  <si>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</si>
  <si>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</si>
  <si>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</si>
  <si>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</si>
  <si>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</si>
  <si>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</si>
  <si>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</si>
  <si>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</si>
  <si>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</si>
  <si>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</si>
  <si>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</si>
  <si>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</si>
  <si>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</si>
  <si>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</si>
  <si>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</si>
  <si>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</si>
  <si>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</si>
  <si>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</si>
  <si>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</si>
  <si>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</si>
  <si>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</si>
  <si>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</si>
  <si>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</si>
  <si>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</si>
  <si>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</si>
  <si>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</si>
  <si>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</si>
  <si>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</si>
  <si>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</si>
  <si>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</si>
  <si>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</si>
  <si>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</si>
  <si>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</si>
  <si>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</si>
  <si>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</si>
  <si>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</si>
  <si>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</si>
  <si>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</si>
  <si>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</si>
  <si>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</si>
  <si>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</si>
  <si>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</si>
  <si>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</si>
  <si>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</si>
  <si>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</si>
  <si>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</si>
  <si>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</si>
  <si>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</si>
  <si>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</si>
  <si>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</si>
  <si>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</si>
  <si>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</si>
  <si>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</si>
  <si>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</si>
  <si>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</si>
  <si>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</si>
  <si>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</si>
  <si>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</si>
  <si>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</si>
  <si>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</si>
  <si>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</si>
  <si>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</si>
  <si>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</si>
  <si>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</si>
  <si>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</si>
  <si>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</si>
  <si>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</si>
  <si>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</si>
  <si>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</si>
  <si>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</si>
  <si>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</si>
  <si>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</si>
  <si>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</si>
  <si>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</si>
  <si>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</si>
  <si>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</si>
  <si>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</si>
  <si>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</si>
  <si>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</si>
  <si>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</si>
  <si>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</si>
  <si>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</si>
  <si>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</si>
  <si>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</si>
  <si>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</si>
  <si>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</si>
  <si>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</si>
  <si>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</si>
  <si>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</si>
  <si>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</si>
  <si>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</si>
  <si>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</si>
  <si>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</si>
  <si>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</si>
  <si>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</si>
  <si>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</si>
  <si>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</si>
  <si>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</si>
  <si>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</si>
  <si>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</si>
  <si>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</si>
  <si>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</si>
  <si>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</si>
  <si>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</si>
  <si>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</si>
  <si>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</si>
  <si>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</si>
  <si>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</si>
  <si>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</si>
  <si>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</si>
  <si>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</si>
  <si>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</si>
  <si>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</si>
  <si>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</si>
  <si>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</si>
  <si>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</si>
  <si>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</si>
  <si>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</si>
  <si>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</si>
  <si>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</si>
  <si>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</si>
  <si>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</si>
  <si>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</si>
  <si>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</si>
  <si>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</si>
  <si>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</si>
  <si>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</si>
  <si>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</si>
  <si>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</si>
  <si>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</si>
  <si>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</si>
  <si>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</si>
  <si>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</si>
  <si>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</si>
  <si>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</si>
  <si>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</si>
  <si>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</si>
  <si>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</si>
  <si>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</si>
  <si>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</si>
  <si>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</si>
  <si>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</si>
  <si>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</si>
  <si>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</si>
  <si>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</si>
  <si>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</si>
  <si>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</si>
  <si>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</si>
  <si>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</si>
  <si>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</si>
  <si>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</si>
  <si>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</si>
  <si>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</si>
  <si>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</si>
  <si>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</si>
  <si>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</si>
  <si>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</si>
  <si>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</si>
  <si>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</si>
  <si>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</si>
  <si>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</si>
  <si>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</si>
  <si>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</si>
  <si>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</si>
  <si>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</si>
  <si>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</si>
  <si>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</si>
  <si>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</si>
  <si>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</si>
  <si>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</si>
  <si>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</si>
  <si>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</si>
  <si>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</si>
  <si>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</si>
  <si>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</si>
  <si>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</si>
  <si>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</si>
  <si>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</si>
  <si>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</si>
  <si>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</si>
  <si>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</si>
  <si>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</si>
  <si>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</si>
  <si>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</si>
  <si>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</si>
  <si>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</si>
  <si>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</si>
  <si>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</si>
  <si>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</si>
  <si>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</si>
  <si>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</si>
  <si>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</si>
  <si>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</si>
  <si>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</si>
  <si>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</si>
  <si>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</si>
  <si>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</si>
  <si>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</si>
  <si>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</si>
  <si>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</si>
  <si>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</si>
  <si>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</si>
  <si>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</si>
  <si>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</si>
  <si>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</si>
  <si>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</si>
  <si>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</si>
  <si>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</si>
  <si>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</si>
  <si>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</si>
  <si>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</si>
  <si>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</si>
  <si>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</si>
  <si>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</si>
  <si>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</si>
  <si>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</si>
  <si>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</si>
  <si>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</si>
  <si>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</si>
  <si>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</si>
  <si>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</si>
  <si>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</si>
  <si>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</si>
  <si>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</si>
  <si>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</si>
  <si>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</si>
  <si>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</si>
  <si>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</si>
  <si>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</si>
  <si>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</si>
  <si>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</si>
  <si>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</si>
  <si>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</si>
  <si>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</si>
  <si>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</si>
  <si>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</si>
  <si>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</si>
  <si>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</si>
  <si>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</si>
  <si>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</si>
  <si>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</si>
  <si>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</si>
  <si>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</si>
  <si>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</si>
  <si>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</si>
  <si>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</si>
  <si>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</si>
  <si>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</si>
  <si>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</si>
  <si>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</si>
  <si>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</si>
  <si>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</si>
  <si>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</si>
  <si>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</si>
  <si>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</si>
  <si>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</si>
  <si>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</si>
  <si>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</si>
  <si>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</si>
  <si>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</si>
  <si>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</si>
  <si>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</si>
  <si>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</si>
  <si>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</si>
  <si>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</si>
  <si>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</si>
  <si>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</si>
  <si>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</si>
  <si>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</si>
  <si>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</si>
  <si>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</si>
  <si>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</si>
  <si>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</si>
  <si>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</si>
  <si>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</si>
  <si>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</si>
  <si>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</si>
  <si>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</si>
  <si>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</si>
  <si>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</si>
  <si>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</si>
  <si>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</si>
  <si>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</si>
  <si>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</si>
  <si>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</si>
  <si>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</si>
  <si>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</si>
  <si>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</si>
  <si>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</si>
  <si>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</si>
  <si>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</si>
  <si>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</si>
  <si>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</si>
  <si>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</si>
  <si>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</si>
  <si>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</si>
  <si>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</si>
  <si>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</si>
  <si>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</si>
  <si>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</si>
  <si>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</si>
  <si>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</si>
  <si>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</si>
  <si>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</si>
  <si>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</si>
  <si>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</si>
  <si>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</si>
  <si>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</si>
  <si>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</si>
  <si>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</si>
  <si>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</si>
  <si>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</si>
  <si>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</si>
  <si>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</si>
  <si>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</si>
  <si>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</si>
  <si>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</si>
  <si>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</si>
  <si>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</si>
  <si>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</si>
  <si>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</si>
  <si>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</si>
  <si>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</si>
  <si>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</si>
  <si>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</si>
  <si>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</si>
  <si>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</si>
  <si>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</si>
  <si>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</si>
  <si>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</si>
  <si>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</si>
  <si>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</si>
  <si>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</si>
  <si>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</si>
  <si>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</si>
  <si>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</si>
  <si>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</si>
  <si>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</si>
  <si>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</si>
  <si>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</si>
  <si>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</si>
  <si>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</si>
  <si>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</si>
  <si>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</si>
  <si>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</si>
  <si>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</si>
  <si>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</si>
  <si>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</si>
  <si>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</si>
  <si>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</si>
  <si>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</si>
  <si>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</si>
  <si>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</si>
  <si>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</si>
  <si>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</si>
  <si>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</si>
  <si>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</si>
  <si>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</si>
  <si>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</si>
  <si>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</si>
  <si>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</si>
  <si>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</si>
  <si>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</si>
  <si>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</si>
  <si>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</si>
  <si>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</si>
  <si>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</si>
  <si>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</si>
  <si>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</si>
  <si>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</si>
  <si>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</si>
  <si>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</si>
  <si>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</si>
  <si>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</si>
  <si>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</si>
  <si>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</si>
  <si>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</si>
  <si>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</si>
  <si>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</si>
  <si>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</si>
  <si>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</si>
  <si>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</si>
  <si>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</si>
  <si>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</si>
  <si>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</si>
  <si>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</si>
  <si>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</si>
  <si>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</si>
  <si>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</si>
  <si>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</si>
  <si>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</si>
  <si>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</si>
  <si>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</si>
  <si>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</si>
  <si>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</si>
  <si>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</si>
  <si>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</si>
  <si>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</si>
  <si>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</si>
  <si>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</si>
  <si>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</si>
  <si>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</si>
  <si>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</si>
  <si>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</si>
  <si>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</si>
  <si>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</si>
  <si>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</si>
  <si>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</si>
  <si>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</si>
  <si>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</si>
  <si>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</si>
  <si>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</si>
  <si>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</si>
  <si>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</si>
  <si>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</si>
  <si>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</si>
  <si>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</si>
  <si>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</si>
  <si>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</si>
  <si>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</si>
  <si>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</si>
  <si>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</si>
  <si>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</si>
  <si>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</si>
  <si>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</si>
  <si>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</si>
  <si>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</si>
  <si>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</si>
  <si>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</si>
  <si>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</si>
  <si>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</si>
  <si>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</si>
  <si>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</si>
  <si>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</si>
  <si>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</si>
  <si>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</si>
  <si>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</si>
  <si>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</si>
  <si>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</si>
  <si>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</si>
  <si>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</si>
  <si>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</si>
  <si>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</si>
  <si>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</si>
  <si>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</si>
  <si>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</si>
  <si>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</si>
  <si>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</si>
  <si>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</si>
  <si>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</si>
  <si>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</si>
  <si>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</si>
  <si>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</si>
  <si>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</si>
  <si>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</si>
  <si>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</si>
  <si>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</si>
  <si>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</si>
  <si>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</si>
  <si>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</si>
  <si>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</si>
  <si>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</si>
  <si>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</si>
  <si>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</si>
  <si>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</si>
  <si>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</si>
  <si>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</si>
  <si>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</si>
  <si>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</si>
  <si>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</si>
  <si>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</si>
  <si>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</si>
  <si>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</si>
  <si>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</si>
  <si>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</si>
  <si>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</si>
  <si>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</si>
  <si>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</si>
  <si>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</si>
  <si>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</si>
  <si>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</si>
  <si>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</si>
  <si>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</si>
  <si>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</si>
  <si>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</si>
  <si>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</si>
  <si>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</si>
  <si>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</si>
  <si>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</si>
  <si>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</si>
  <si>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</si>
  <si>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</si>
  <si>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</si>
  <si>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</si>
  <si>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</si>
  <si>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</si>
  <si>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</si>
  <si>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</si>
  <si>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</si>
  <si>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</si>
  <si>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</si>
  <si>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</si>
  <si>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</si>
  <si>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</si>
  <si>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</si>
  <si>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</si>
  <si>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</si>
  <si>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</si>
  <si>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</si>
  <si>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</si>
  <si>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</si>
  <si>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</si>
  <si>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</si>
  <si>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</si>
  <si>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</si>
  <si>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</si>
  <si>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</si>
  <si>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</si>
  <si>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</si>
  <si>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</si>
  <si>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</si>
  <si>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</si>
  <si>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</si>
  <si>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</si>
  <si>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</si>
  <si>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</si>
  <si>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</si>
  <si>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</si>
  <si>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</si>
  <si>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</si>
  <si>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</si>
  <si>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</si>
  <si>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</si>
  <si>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</si>
  <si>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</si>
  <si>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</si>
  <si>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</si>
  <si>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</si>
  <si>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</si>
  <si>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</si>
  <si>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</si>
  <si>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</si>
  <si>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</si>
  <si>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</si>
  <si>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</si>
  <si>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</si>
  <si>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</si>
  <si>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</si>
  <si>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</si>
  <si>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</si>
  <si>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</si>
  <si>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</si>
  <si>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</si>
  <si>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</si>
  <si>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</si>
  <si>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</si>
  <si>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</si>
  <si>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</si>
  <si>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</si>
  <si>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</si>
  <si>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</si>
  <si>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</si>
  <si>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</si>
  <si>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</si>
  <si>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</si>
  <si>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</si>
  <si>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</si>
  <si>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</si>
  <si>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</si>
  <si>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</si>
  <si>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</si>
  <si>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</si>
  <si>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</si>
  <si>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</si>
  <si>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</si>
  <si>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</si>
  <si>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</si>
  <si>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</si>
  <si>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</si>
  <si>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</si>
  <si>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</si>
  <si>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</si>
  <si>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</si>
  <si>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</si>
  <si>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</si>
  <si>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</si>
  <si>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</si>
  <si>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</si>
  <si>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</si>
  <si>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</si>
  <si>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</si>
  <si>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</si>
  <si>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</si>
  <si>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</si>
  <si>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</si>
  <si>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</si>
  <si>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</si>
  <si>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</si>
  <si>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</si>
  <si>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</si>
  <si>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</si>
  <si>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</si>
  <si>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</si>
  <si>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</si>
  <si>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</si>
  <si>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</si>
  <si>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</si>
  <si>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</si>
  <si>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</si>
  <si>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</si>
  <si>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</si>
  <si>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</si>
  <si>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</si>
  <si>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</si>
  <si>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</si>
  <si>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</si>
  <si>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</si>
  <si>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</si>
  <si>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</si>
  <si>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</si>
  <si>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</si>
  <si>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</si>
  <si>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</si>
  <si>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</si>
  <si>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</si>
  <si>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</si>
  <si>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</si>
  <si>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</si>
  <si>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</si>
  <si>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</si>
  <si>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</si>
  <si>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</si>
  <si>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</si>
  <si>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</si>
  <si>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</si>
  <si>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</si>
  <si>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</si>
  <si>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</si>
  <si>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</si>
  <si>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</si>
  <si>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</si>
  <si>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</si>
  <si>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</si>
  <si>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</si>
  <si>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</si>
  <si>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</si>
  <si>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</si>
  <si>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</si>
  <si>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</si>
  <si>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</si>
  <si>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</si>
  <si>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</si>
  <si>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</si>
  <si>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</si>
  <si>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</si>
  <si>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</si>
  <si>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</si>
  <si>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</si>
  <si>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</si>
  <si>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</si>
  <si>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</si>
  <si>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</si>
  <si>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</si>
  <si>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</si>
  <si>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</si>
  <si>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</si>
  <si>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</si>
  <si>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</si>
  <si>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</si>
  <si>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</si>
  <si>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</si>
  <si>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</si>
  <si>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</si>
  <si>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</si>
  <si>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</si>
  <si>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</si>
  <si>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</si>
  <si>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</si>
  <si>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</si>
  <si>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</si>
  <si>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</si>
  <si>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</si>
  <si>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</si>
  <si>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</si>
  <si>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</si>
  <si>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</si>
  <si>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</si>
  <si>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</si>
  <si>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</si>
  <si>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</si>
  <si>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</si>
  <si>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</si>
  <si>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</si>
  <si>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</si>
  <si>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</si>
  <si>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</si>
  <si>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</si>
  <si>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</si>
  <si>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</si>
  <si>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</si>
  <si>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</si>
  <si>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</si>
  <si>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</si>
  <si>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</si>
  <si>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</si>
  <si>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</si>
  <si>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</si>
  <si>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</si>
  <si>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</si>
  <si>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</si>
  <si>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</si>
  <si>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</si>
  <si>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</si>
  <si>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</si>
  <si>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</si>
  <si>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</si>
  <si>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</si>
  <si>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</si>
  <si>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</si>
  <si>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</si>
  <si>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</si>
  <si>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</si>
  <si>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</si>
  <si>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</si>
  <si>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</si>
  <si>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</si>
  <si>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</si>
  <si>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</si>
  <si>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</si>
  <si>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</si>
  <si>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</si>
  <si>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</si>
  <si>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</si>
  <si>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</si>
  <si>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</si>
  <si>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</si>
  <si>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</si>
  <si>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</si>
  <si>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</si>
  <si>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</si>
  <si>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</si>
  <si>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</si>
  <si>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</si>
  <si>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</si>
  <si>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</si>
  <si>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</si>
  <si>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</si>
  <si>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</si>
  <si>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</si>
  <si>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</si>
  <si>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</si>
  <si>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</si>
  <si>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</si>
  <si>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</si>
  <si>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</si>
  <si>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</si>
  <si>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</si>
  <si>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</si>
  <si>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</si>
  <si>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</si>
  <si>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</si>
  <si>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</si>
  <si>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</si>
  <si>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</si>
  <si>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</si>
  <si>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</si>
  <si>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</si>
  <si>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</si>
  <si>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</si>
  <si>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</si>
  <si>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</si>
  <si>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</si>
  <si>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</si>
  <si>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</si>
  <si>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</si>
  <si>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</si>
  <si>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</si>
  <si>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</si>
  <si>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</si>
  <si>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</si>
  <si>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</si>
  <si>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</si>
  <si>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</si>
  <si>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</si>
  <si>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</si>
  <si>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</si>
  <si>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</si>
  <si>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</si>
  <si>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</si>
  <si>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</si>
  <si>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</si>
  <si>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</si>
  <si>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</si>
  <si>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</si>
  <si>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</si>
  <si>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</si>
  <si>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</si>
  <si>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</si>
  <si>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</si>
  <si>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</si>
  <si>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</si>
  <si>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</si>
  <si>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</si>
  <si>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</si>
  <si>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</si>
  <si>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</si>
  <si>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</si>
  <si>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</si>
  <si>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</si>
  <si>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</si>
  <si>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</si>
  <si>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</si>
  <si>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</si>
  <si>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</si>
  <si>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</si>
  <si>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</si>
  <si>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</si>
  <si>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</si>
  <si>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</si>
  <si>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</si>
  <si>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</si>
  <si>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</si>
  <si>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</si>
  <si>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</si>
  <si>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</si>
  <si>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</si>
  <si>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</si>
  <si>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</si>
  <si>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</si>
  <si>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</si>
  <si>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</si>
  <si>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</si>
  <si>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</si>
  <si>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</si>
  <si>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</si>
  <si>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</si>
  <si>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</si>
  <si>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</si>
  <si>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</si>
  <si>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</si>
  <si>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</si>
  <si>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</si>
  <si>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</si>
  <si>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</si>
  <si>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</si>
  <si>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</si>
  <si>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</si>
  <si>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</si>
  <si>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</si>
  <si>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</si>
  <si>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</si>
  <si>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</si>
  <si>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</si>
  <si>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</si>
  <si>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</si>
  <si>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</si>
  <si>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</si>
  <si>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</si>
  <si>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</si>
  <si>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</si>
  <si>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</si>
  <si>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</si>
  <si>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</si>
  <si>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</si>
  <si>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</si>
  <si>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</si>
  <si>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</si>
  <si>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</si>
  <si>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</si>
  <si>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</si>
  <si>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</si>
  <si>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</si>
  <si>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</si>
  <si>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</si>
  <si>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</si>
  <si>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</si>
  <si>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</si>
  <si>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</si>
  <si>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</si>
  <si>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</si>
  <si>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</si>
  <si>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</si>
  <si>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</si>
  <si>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</si>
  <si>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</si>
  <si>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</si>
  <si>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</si>
  <si>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</si>
  <si>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</si>
  <si>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</si>
  <si>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</si>
  <si>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</si>
  <si>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</si>
  <si>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</si>
  <si>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</si>
  <si>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</si>
  <si>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</si>
  <si>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</si>
  <si>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</si>
  <si>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</si>
  <si>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</si>
  <si>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</si>
  <si>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</si>
  <si>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</si>
  <si>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</si>
  <si>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</si>
  <si>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</si>
  <si>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</si>
  <si>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</si>
  <si>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</si>
  <si>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</si>
  <si>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</si>
  <si>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</si>
  <si>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</si>
  <si>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</si>
  <si>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</si>
  <si>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</si>
  <si>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</si>
  <si>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</si>
  <si>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</si>
  <si>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</si>
  <si>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</si>
  <si>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</si>
  <si>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</si>
  <si>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</si>
  <si>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</si>
  <si>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</si>
  <si>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</si>
  <si>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</si>
  <si>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</si>
  <si>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</si>
  <si>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</si>
  <si>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</si>
  <si>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</si>
  <si>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</si>
  <si>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</si>
  <si>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</si>
  <si>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</si>
  <si>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</si>
  <si>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</si>
  <si>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</si>
  <si>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</si>
  <si>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</si>
  <si>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</si>
  <si>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</si>
  <si>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</si>
  <si>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</si>
  <si>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</si>
  <si>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</si>
  <si>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</si>
  <si>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</si>
  <si>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</si>
  <si>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</si>
  <si>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</si>
  <si>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</si>
  <si>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</si>
  <si>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</si>
  <si>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</si>
  <si>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</si>
  <si>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</si>
  <si>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</si>
  <si>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</si>
  <si>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</si>
  <si>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</si>
  <si>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</si>
  <si>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</si>
  <si>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</si>
  <si>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</si>
  <si>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</si>
  <si>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</si>
  <si>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</si>
  <si>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</si>
  <si>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</si>
  <si>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</si>
  <si>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</si>
  <si>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</si>
  <si>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</si>
  <si>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</si>
  <si>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</si>
  <si>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</si>
  <si>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</si>
  <si>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</si>
  <si>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</si>
  <si>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</si>
  <si>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</si>
  <si>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</si>
  <si>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</si>
  <si>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</si>
  <si>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</si>
  <si>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</si>
  <si>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</si>
  <si>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</si>
  <si>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</si>
  <si>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</si>
  <si>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</si>
  <si>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</si>
  <si>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</si>
  <si>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</si>
  <si>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</si>
  <si>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</si>
  <si>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</si>
  <si>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</si>
  <si>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</si>
  <si>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</si>
  <si>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</si>
  <si>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</si>
  <si>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</si>
  <si>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</si>
  <si>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</si>
  <si>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</si>
  <si>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</si>
  <si>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</si>
  <si>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</si>
  <si>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</si>
  <si>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</si>
  <si>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</si>
  <si>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</si>
  <si>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</si>
  <si>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</si>
  <si>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</si>
  <si>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</si>
  <si>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</si>
  <si>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</si>
  <si>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</si>
  <si>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</si>
  <si>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</si>
  <si>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</si>
  <si>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</si>
  <si>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</si>
  <si>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</si>
  <si>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</si>
  <si>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</si>
  <si>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</si>
  <si>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</si>
  <si>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</si>
  <si>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</si>
  <si>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</si>
  <si>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</si>
  <si>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</si>
  <si>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</si>
  <si>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</si>
  <si>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</si>
  <si>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</si>
  <si>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</si>
  <si>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</si>
  <si>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</si>
  <si>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</si>
  <si>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</si>
  <si>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</si>
  <si>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</si>
  <si>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</si>
  <si>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</si>
  <si>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</si>
  <si>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</si>
  <si>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</si>
  <si>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</si>
  <si>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</si>
  <si>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</si>
  <si>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</si>
  <si>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</si>
  <si>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</si>
  <si>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</si>
  <si>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</si>
  <si>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</si>
  <si>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</si>
  <si>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</si>
  <si>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</si>
  <si>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</si>
  <si>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</si>
  <si>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</si>
  <si>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</si>
  <si>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</si>
  <si>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</si>
  <si>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</si>
  <si>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</si>
  <si>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</si>
  <si>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</si>
  <si>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</si>
  <si>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</si>
  <si>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</si>
  <si>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</si>
  <si>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</si>
  <si>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</si>
  <si>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</si>
  <si>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</si>
  <si>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</si>
  <si>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</si>
  <si>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</si>
  <si>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</si>
  <si>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</si>
  <si>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</si>
  <si>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</si>
  <si>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</si>
  <si>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</si>
  <si>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</si>
  <si>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</si>
  <si>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</si>
  <si>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</si>
  <si>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</si>
  <si>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</si>
  <si>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</si>
  <si>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</si>
  <si>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</si>
  <si>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</si>
  <si>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</si>
  <si>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</si>
  <si>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</si>
  <si>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</si>
  <si>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</si>
  <si>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</si>
  <si>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</si>
  <si>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</si>
  <si>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</si>
  <si>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</si>
  <si>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</si>
  <si>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</si>
  <si>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</si>
  <si>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</si>
  <si>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</si>
  <si>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</si>
  <si>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</si>
  <si>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</si>
  <si>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</si>
  <si>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</si>
  <si>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</si>
  <si>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</si>
  <si>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</si>
  <si>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</si>
  <si>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</si>
  <si>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</si>
  <si>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</si>
  <si>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</si>
  <si>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</si>
  <si>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</si>
  <si>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</si>
  <si>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</si>
  <si>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</si>
  <si>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</si>
  <si>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</si>
  <si>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</si>
  <si>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</si>
  <si>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</si>
  <si>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</si>
  <si>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</si>
  <si>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</si>
  <si>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</si>
  <si>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</si>
  <si>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</si>
  <si>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</si>
  <si>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</si>
  <si>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</si>
  <si>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</si>
  <si>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</si>
  <si>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</si>
  <si>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</si>
  <si>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</si>
  <si>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</si>
  <si>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</si>
  <si>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</si>
  <si>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</si>
  <si>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</si>
  <si>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</si>
  <si>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</si>
  <si>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</si>
  <si>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</si>
  <si>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</si>
  <si>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</si>
  <si>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</si>
  <si>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</si>
  <si>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</si>
  <si>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</si>
  <si>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</si>
  <si>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</si>
  <si>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</si>
  <si>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</si>
  <si>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</si>
  <si>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</si>
  <si>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</si>
  <si>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</si>
  <si>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</si>
  <si>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</si>
  <si>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</si>
  <si>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</si>
  <si>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</si>
  <si>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</si>
  <si>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</si>
  <si>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</si>
  <si>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</si>
  <si>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</si>
  <si>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</si>
  <si>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</si>
  <si>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</si>
  <si>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</si>
  <si>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</si>
  <si>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</si>
  <si>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</si>
  <si>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</si>
  <si>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</si>
  <si>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</si>
  <si>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6th &amp; Cesar Chavez CIC, LP</t>
  </si>
  <si>
    <t>6th &amp; Cesar Chavez</t>
  </si>
  <si>
    <t xml:space="preserve">City of Coachella </t>
  </si>
  <si>
    <t>William B. Pattison</t>
  </si>
  <si>
    <t xml:space="preserve">1515 Sixth Street </t>
  </si>
  <si>
    <t>Coachella</t>
  </si>
  <si>
    <t>760-398-3502</t>
  </si>
  <si>
    <t>760-398-8117</t>
  </si>
  <si>
    <t>bpattison@coachella.org</t>
  </si>
  <si>
    <t>CDLAC-TCAC Joint Application (submitting concurrently)</t>
  </si>
  <si>
    <t>NE Corner of 6th Street &amp; Cesar Chavez Street</t>
  </si>
  <si>
    <t>778-080-009</t>
  </si>
  <si>
    <t>40%/60%</t>
  </si>
  <si>
    <t>6339 Paseo Del Lago</t>
  </si>
  <si>
    <t>Carlsbad</t>
  </si>
  <si>
    <t>CA</t>
  </si>
  <si>
    <t>Colleen Edwards</t>
  </si>
  <si>
    <t>323-590-0233</t>
  </si>
  <si>
    <t>cedwards@chelseainvestco.com</t>
  </si>
  <si>
    <t>Administrative GP</t>
  </si>
  <si>
    <t>CIC 6th &amp; Cesar Chavez LLC</t>
  </si>
  <si>
    <t>Pacific Southwest Community Development Corporation</t>
  </si>
  <si>
    <t>Managing GP</t>
  </si>
  <si>
    <t>16935 West Bernardo Drive, Suite 238</t>
  </si>
  <si>
    <t>Robert W. Laing</t>
  </si>
  <si>
    <t>858-675-0506</t>
  </si>
  <si>
    <t>858-675-0702</t>
  </si>
  <si>
    <t>robertlaing@pswcdc.org</t>
  </si>
  <si>
    <t>Chelsea Investment Corporation</t>
  </si>
  <si>
    <t>760-456-6001</t>
  </si>
  <si>
    <t>Project Manager</t>
  </si>
  <si>
    <t>County of Riverside-HOME</t>
  </si>
  <si>
    <t>HCD-AHSC</t>
  </si>
  <si>
    <t>City of Coachella</t>
  </si>
  <si>
    <t>California Department of Development Services</t>
  </si>
  <si>
    <t>Deferred Costs &amp; Fees</t>
  </si>
  <si>
    <t>Variable</t>
  </si>
  <si>
    <t>Fixed</t>
  </si>
  <si>
    <t>HCD AHSC Loan</t>
  </si>
  <si>
    <t>Deferred Developer Fee</t>
  </si>
  <si>
    <t>Contributed Developer Fee</t>
  </si>
  <si>
    <t>Deferred Costs and Fees</t>
  </si>
  <si>
    <t>20 Years</t>
  </si>
  <si>
    <t>App. Fees, Late Fees, etc.</t>
  </si>
  <si>
    <t>Air Conditioning</t>
  </si>
  <si>
    <t>CUAC</t>
  </si>
  <si>
    <t>Equip, software, supplies, etc.</t>
  </si>
  <si>
    <t>Taxes etc.</t>
  </si>
  <si>
    <t>Appliances, equip, plumbing, etc.</t>
  </si>
  <si>
    <t>Services</t>
  </si>
  <si>
    <t>Issuer Fee</t>
  </si>
  <si>
    <t>The Housing Authority of the County of Riverside</t>
  </si>
  <si>
    <t>Project-based vouchers (PBVs)</t>
  </si>
  <si>
    <t>Other: Inspection, Bond, CM</t>
  </si>
  <si>
    <t>Other: Issuer Fee</t>
  </si>
  <si>
    <t>Other: Lender, GP, Bond etc.</t>
  </si>
  <si>
    <t>Other: Transition, Passes</t>
  </si>
  <si>
    <t>Other: Legal/Finance Review, AHSC consultant</t>
  </si>
  <si>
    <t>Other: Misc Studies</t>
  </si>
  <si>
    <t>Other: MGP Services Fee</t>
  </si>
  <si>
    <t>Soft Loan/Predev Interest</t>
  </si>
  <si>
    <t>Other: Lender Deposit</t>
  </si>
  <si>
    <t>Other: CFD Fees</t>
  </si>
  <si>
    <t>Calif Dept. of Development Services</t>
  </si>
  <si>
    <t xml:space="preserve">Chelsea Investment Corporation </t>
  </si>
  <si>
    <t xml:space="preserve">6339 Paseo Del Lago </t>
  </si>
  <si>
    <t>Carlsbad, CA 92011</t>
  </si>
  <si>
    <t xml:space="preserve">Cheri Hoffman </t>
  </si>
  <si>
    <t>(760) 456-6000</t>
  </si>
  <si>
    <t>(760) 456-6001</t>
  </si>
  <si>
    <t>cheri@chelseainvestco.com</t>
  </si>
  <si>
    <t>The McKinley Associates, Inc.</t>
  </si>
  <si>
    <t>1818 First Ave</t>
  </si>
  <si>
    <t>San Diego, CA 92101</t>
  </si>
  <si>
    <t>Mark Longstaff</t>
  </si>
  <si>
    <t>(619) 238-1134</t>
  </si>
  <si>
    <t xml:space="preserve">mlongstaff@themckinleyassociates.com </t>
  </si>
  <si>
    <t>Odu &amp; Associates, PC</t>
  </si>
  <si>
    <t>31805 Temecula Parkway #720</t>
  </si>
  <si>
    <t>Temecula, CA 92592</t>
  </si>
  <si>
    <t>Nkechi Odu</t>
  </si>
  <si>
    <t>(951) 215-6212</t>
  </si>
  <si>
    <t>nkechi@odulaw.com</t>
  </si>
  <si>
    <t>Emmerson Construction, Inc.</t>
  </si>
  <si>
    <t>6339 Paseo del Lago</t>
  </si>
  <si>
    <t>Carlsbad, CA  92011</t>
  </si>
  <si>
    <t>Energy Inspectors</t>
  </si>
  <si>
    <t>1 Civic Center Dr, Suite 300</t>
  </si>
  <si>
    <t>San Marcos, CA 92069</t>
  </si>
  <si>
    <t>Gina Lombardo</t>
  </si>
  <si>
    <t>(760) 761-3695</t>
  </si>
  <si>
    <t>GLombardo@eicompanies.com</t>
  </si>
  <si>
    <t>CIC Management, Inc.</t>
  </si>
  <si>
    <t>Adam Gutteridge</t>
  </si>
  <si>
    <t>agutteridge@chelseainvestco.com</t>
  </si>
  <si>
    <t>Kinetic Valuation Group</t>
  </si>
  <si>
    <t>11060 Oak Street, Ste 6</t>
  </si>
  <si>
    <t>Omaha, NE 68144</t>
  </si>
  <si>
    <t>Jay Wortman</t>
  </si>
  <si>
    <t>(402) 202-0771</t>
  </si>
  <si>
    <t>(818) 914-1892</t>
  </si>
  <si>
    <t xml:space="preserve">jay@kvgteam.com </t>
  </si>
  <si>
    <t>California Municipal Finance Authority</t>
  </si>
  <si>
    <t>2111 Palomar Airport Rd, Suite 320</t>
  </si>
  <si>
    <t>Anthony Stubbs</t>
  </si>
  <si>
    <t>(760) 930-1333</t>
  </si>
  <si>
    <t>(760) 683-3390</t>
  </si>
  <si>
    <t>astubbs@cmfa-ca.com</t>
  </si>
  <si>
    <t xml:space="preserve">Zion Patton </t>
  </si>
  <si>
    <t>(760) 795-5608</t>
  </si>
  <si>
    <t>zpatton@emmersonconstruction.com</t>
  </si>
  <si>
    <t>R.B. Johnson Investements, LLC</t>
  </si>
  <si>
    <t xml:space="preserve">Rodney B. Johnson </t>
  </si>
  <si>
    <t>Rodney B. Johnson</t>
  </si>
  <si>
    <t>Manager</t>
  </si>
  <si>
    <t>Davis, CA 95616-1366</t>
  </si>
  <si>
    <t>1520 E. Covell Blvd #B5-363,</t>
  </si>
  <si>
    <t>(916) 834-4774</t>
  </si>
  <si>
    <t>Other (Specify below)</t>
  </si>
  <si>
    <t xml:space="preserve">Two or Three Story Garden </t>
  </si>
  <si>
    <t>1515 Sixth Street</t>
  </si>
  <si>
    <t>Celina Jimenez</t>
  </si>
  <si>
    <t>(760) 398-3502</t>
  </si>
  <si>
    <t>1600 9th Street</t>
  </si>
  <si>
    <t>(916) 654-1690</t>
  </si>
  <si>
    <t>Nancy Bargmann</t>
  </si>
  <si>
    <t>4080 Lemon Street</t>
  </si>
  <si>
    <t>Monica Telles</t>
  </si>
  <si>
    <t>(760) 863-2541</t>
  </si>
  <si>
    <t>2020 W. El Camino Ave, Ste 600</t>
  </si>
  <si>
    <t>Alfredo Gutierrez</t>
  </si>
  <si>
    <t>(916) 263-2729</t>
  </si>
  <si>
    <t>General Commercial Planned Development Overlay Zone</t>
  </si>
  <si>
    <t>CG-PD - 40.2 dwelling units/acre</t>
  </si>
  <si>
    <t>3 story - 45' max</t>
  </si>
  <si>
    <t>1BR: 0.6/unit; 2BR: 1.1/unit; 3BR: 1.4/unit; Guest 20%; Commercial 4/1,000 SF</t>
  </si>
  <si>
    <t>CG-PD - 20 to 65 dwelling units/acre</t>
  </si>
  <si>
    <t>The Richman Group Tax Credit Equity</t>
  </si>
  <si>
    <t>Banner Bank Permanent Loan</t>
  </si>
  <si>
    <t>The Richman Group</t>
  </si>
  <si>
    <t>707 SW Washington St, Ste 1510</t>
  </si>
  <si>
    <t>Portland, OR 1510</t>
  </si>
  <si>
    <t>Terry Gentry</t>
  </si>
  <si>
    <t>(503) 459-8741</t>
  </si>
  <si>
    <t>gentryt@richmancapital.com</t>
  </si>
  <si>
    <t>Portland, OR 97205</t>
  </si>
  <si>
    <t>701 B Street, Ste 100</t>
  </si>
  <si>
    <t>Waheed Karim</t>
  </si>
  <si>
    <t>(619) 518-2610</t>
  </si>
  <si>
    <t>Coachella, CA 92236</t>
  </si>
  <si>
    <t>Riverside, CA 92501</t>
  </si>
  <si>
    <t>Sacramento, CA 95833</t>
  </si>
  <si>
    <t>Sacramento, CA 95814</t>
  </si>
  <si>
    <t>Banner Bank - Tax Exempt</t>
  </si>
  <si>
    <t>Banner Bank - Taxable</t>
  </si>
  <si>
    <t>HOME Loan - County of Riverside</t>
  </si>
  <si>
    <t>Solar Tax Credit Equity - Richman</t>
  </si>
  <si>
    <t>AHSC Must Pay-admin Fee</t>
  </si>
  <si>
    <t>Other (Specify): AHSC annual admin fee</t>
  </si>
  <si>
    <t>Other (Specify):Issuer Fee</t>
  </si>
  <si>
    <t>TBD</t>
  </si>
  <si>
    <t>The project includes approximately 2,892 square feet of commercial space. There are 4 commercial units located on the first floor. 2 units will be on 6th Street near the intersection with Cesar Chavez St. 2 more units will be on Cesar Chavez Street near the 5th street intersection. The use for these commercial units has not been identified yet so no commercial income is anticipated</t>
  </si>
  <si>
    <t>Cheri Hoffman</t>
  </si>
  <si>
    <t>Construction Loan</t>
  </si>
  <si>
    <t xml:space="preserve">30 Day Libor </t>
  </si>
  <si>
    <t>30 Day Libor</t>
  </si>
  <si>
    <t>tax credit equity</t>
  </si>
  <si>
    <t>deferred costs</t>
  </si>
  <si>
    <t>permanent loan</t>
  </si>
  <si>
    <t>residual receipts note</t>
  </si>
  <si>
    <t>solar tax credits</t>
  </si>
  <si>
    <t>contributed developer fee</t>
  </si>
  <si>
    <t>Residual Receipts Loan</t>
  </si>
  <si>
    <t>4% 2020 TBLs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</si>
</sst>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5"/>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3" fontId="11" fillId="10" borderId="11" xfId="1193" applyNumberFormat="1" applyFont="1" applyFill="1" applyBorder="1" applyProtection="1">
      <protection locked="0"/>
    </xf>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9" fontId="109" fillId="0" borderId="0" xfId="543" applyNumberFormat="1" applyFont="1" applyAlignment="1" applyProtection="1">
      <alignment horizontal="left"/>
    </xf>
    <xf numFmtId="0" fontId="0" fillId="5" borderId="6" xfId="0"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8" fontId="0" fillId="5" borderId="11" xfId="0" applyNumberFormat="1" applyFill="1" applyBorder="1" applyAlignment="1" applyProtection="1">
      <alignment horizontal="center"/>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6" fillId="5" borderId="3" xfId="0"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5" fillId="5" borderId="6" xfId="271" applyNumberFormat="1"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25" fillId="5" borderId="3" xfId="0" applyFont="1" applyFill="1" applyBorder="1" applyAlignment="1" applyProtection="1">
      <alignment horizontal="left"/>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25" zoomScaleNormal="100" zoomScaleSheetLayoutView="100" workbookViewId="0">
      <selection activeCell="F390" sqref="F39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597</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1432</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1440</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1597</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1427</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1132</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707</v>
      </c>
      <c r="F40" s="965" t="s">
        <v>1400</v>
      </c>
    </row>
    <row r="41" spans="1:38" s="96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6" t="s">
        <v>1529</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1530</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5" t="s">
        <v>1531</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1402</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556</v>
      </c>
      <c r="G67" s="965" t="s">
        <v>1403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1404</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1405</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1406</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1407</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1408</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1409</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1410</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1411</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1412</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1387</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7" t="s">
        <v>1502</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1504</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1503</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1546</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1561</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0" t="s">
        <v>1010</v>
      </c>
      <c r="B1" s="1720"/>
      <c r="C1" s="1720"/>
      <c r="D1" s="1720"/>
      <c r="E1" s="1720"/>
      <c r="F1" s="1720"/>
      <c r="G1" s="1720"/>
      <c r="H1" s="1720"/>
      <c r="I1" s="172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40</v>
      </c>
      <c r="C4" s="682">
        <f>Application!K709</f>
        <v>667</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10</v>
      </c>
      <c r="C5" s="682">
        <f>Application!K710</f>
        <v>398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21</v>
      </c>
      <c r="C6" s="682">
        <f>Application!K711</f>
        <v>801</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4</v>
      </c>
      <c r="C7" s="682">
        <f>Application!K712</f>
        <v>478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v>
      </c>
      <c r="C8" s="682">
        <f>Application!K713</f>
        <v>478</v>
      </c>
      <c r="D8" s="683"/>
      <c r="E8" s="955">
        <v>1232</v>
      </c>
      <c r="F8" s="684">
        <f t="shared" si="0"/>
        <v>2464</v>
      </c>
      <c r="G8" s="685"/>
      <c r="H8" s="682">
        <f t="shared" si="1"/>
        <v>754</v>
      </c>
      <c r="I8" s="684">
        <f t="shared" si="2"/>
        <v>1508</v>
      </c>
      <c r="J8" s="335"/>
      <c r="K8" s="490"/>
    </row>
    <row r="9" spans="1:11">
      <c r="A9" s="682" t="str">
        <f>Application!B714</f>
        <v>3 Bedrooms</v>
      </c>
      <c r="B9" s="691">
        <f>Application!G714</f>
        <v>21</v>
      </c>
      <c r="C9" s="682">
        <f>Application!K714</f>
        <v>927</v>
      </c>
      <c r="D9" s="683"/>
      <c r="E9" s="955"/>
      <c r="F9" s="684">
        <f t="shared" si="0"/>
        <v>0</v>
      </c>
      <c r="G9" s="685"/>
      <c r="H9" s="682" t="str">
        <f t="shared" si="1"/>
        <v xml:space="preserve"> </v>
      </c>
      <c r="I9" s="684" t="str">
        <f t="shared" si="2"/>
        <v xml:space="preserve"> </v>
      </c>
      <c r="J9" s="335"/>
      <c r="K9" s="490"/>
    </row>
    <row r="10" spans="1:11">
      <c r="A10" s="682" t="str">
        <f>Application!B715</f>
        <v>3 Bedrooms</v>
      </c>
      <c r="B10" s="691">
        <f>Application!G715</f>
        <v>6</v>
      </c>
      <c r="C10" s="682">
        <f>Application!K715</f>
        <v>554</v>
      </c>
      <c r="D10" s="683"/>
      <c r="E10" s="955">
        <v>1717</v>
      </c>
      <c r="F10" s="684">
        <f t="shared" si="0"/>
        <v>10302</v>
      </c>
      <c r="G10" s="685"/>
      <c r="H10" s="682">
        <f t="shared" si="1"/>
        <v>1163</v>
      </c>
      <c r="I10" s="684">
        <f t="shared" si="2"/>
        <v>6978</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73140</v>
      </c>
      <c r="D30" s="683"/>
      <c r="E30" s="683"/>
      <c r="F30" s="688">
        <f>SUM(F4:F28)*12</f>
        <v>153192</v>
      </c>
      <c r="G30" s="689"/>
      <c r="H30" s="687"/>
      <c r="I30" s="688">
        <f>SUM(I4:I28)*12</f>
        <v>101832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C7" sqref="C7"/>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1500000</v>
      </c>
      <c r="C5" s="438">
        <f>'Sources and Uses Budget'!$C4</f>
        <v>1500000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1505000</v>
      </c>
      <c r="C9" s="442">
        <f>SUM(C5:C8)</f>
        <v>1505000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1332270</v>
      </c>
      <c r="C11" s="438">
        <f>'Sources and Uses Budget'!$C10</f>
        <v>1332270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1332270</v>
      </c>
      <c r="C12" s="442">
        <f>SUM(C10:C11)</f>
        <v>1332270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2837270</v>
      </c>
      <c r="C13" s="442">
        <f>SUM(C9+C12)</f>
        <v>2837270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2545812</v>
      </c>
      <c r="C29" s="438">
        <f>'Sources and Uses Budget'!$C28</f>
        <v>2545812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14571385</v>
      </c>
      <c r="C30" s="438">
        <f>'Sources and Uses Budget'!$C29</f>
        <v>14571385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767978.68</v>
      </c>
      <c r="C31" s="438">
        <f>'Sources and Uses Budget'!$C30</f>
        <v>767978.68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1919946.7000000002</v>
      </c>
      <c r="C33" s="438">
        <f>'Sources and Uses Budget'!$C32</f>
        <v>1919946.7000000002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19805122.379999999</v>
      </c>
      <c r="C37" s="442">
        <f>SUM(C29:C36)</f>
        <v>19805122.379999999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439500</v>
      </c>
      <c r="C39" s="438">
        <f>'Sources and Uses Budget'!$C38</f>
        <v>439500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439500</v>
      </c>
      <c r="C41" s="442">
        <f>SUM(C39:C40)</f>
        <v>439500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497000</v>
      </c>
      <c r="C42" s="438">
        <f>'Sources and Uses Budget'!$C41</f>
        <v>497000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1290122.0828378666</v>
      </c>
      <c r="C44" s="438">
        <f>'Sources and Uses Budget'!$C43</f>
        <v>1290122.0828378666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276099.99726080004</v>
      </c>
      <c r="C45" s="438">
        <f>'Sources and Uses Budget'!$C44</f>
        <v>276099.99726080004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85000</v>
      </c>
      <c r="C51" s="438">
        <f>'Sources and Uses Budget'!$C50</f>
        <v>85000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420875</v>
      </c>
      <c r="C52" s="438">
        <f>'Sources and Uses Budget'!$C51</f>
        <v>420875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30000</v>
      </c>
      <c r="C53" s="438">
        <f>'Sources and Uses Budget'!$C52</f>
        <v>30000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2134597.0800986667</v>
      </c>
      <c r="C54" s="445">
        <f>SUM(C44:C53)</f>
        <v>2134597.0800986667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55200</v>
      </c>
      <c r="C56" s="438">
        <f>'Sources and Uses Budget'!$C55</f>
        <v>55200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103537.49897280001</v>
      </c>
      <c r="C61" s="438">
        <f>'Sources and Uses Budget'!$C60</f>
        <v>103537.49897280001</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166237.49897280001</v>
      </c>
      <c r="C63" s="442">
        <f>SUM(C56:C62)</f>
        <v>166237.49897280001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25879726.959071465</v>
      </c>
      <c r="C64" s="442">
        <f>SUM(C9+C12+C14+C15+C17+C26+C27+C37+C41+C42+C54+C63)</f>
        <v>25879726.959071465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182500</v>
      </c>
      <c r="C67" s="438">
        <f>'Sources and Uses Budget'!$C66</f>
        <v>182500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232500</v>
      </c>
      <c r="C68" s="442">
        <f>SUM(C66:C67)</f>
        <v>232500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225812.99238340609</v>
      </c>
      <c r="C73" s="438">
        <f>'Sources and Uses Budget'!$C72</f>
        <v>225812.99238340609</v>
      </c>
      <c r="D73" s="442">
        <f t="shared" si="0"/>
        <v>0</v>
      </c>
      <c r="E73" s="440"/>
      <c r="F73" s="439"/>
      <c r="G73" s="577"/>
    </row>
    <row r="74" spans="1:253" s="571" customFormat="1">
      <c r="A74" s="444" t="s">
        <v>37</v>
      </c>
      <c r="B74" s="438">
        <f>'Sources and Uses Budget'!$C73</f>
        <v>553664</v>
      </c>
      <c r="C74" s="438">
        <f>'Sources and Uses Budget'!$C73</f>
        <v>553664</v>
      </c>
      <c r="D74" s="442">
        <f t="shared" si="0"/>
        <v>0</v>
      </c>
      <c r="E74" s="440"/>
      <c r="F74" s="439"/>
      <c r="G74" s="577"/>
    </row>
    <row r="75" spans="1:253" s="571" customFormat="1">
      <c r="A75" s="443" t="s">
        <v>657</v>
      </c>
      <c r="B75" s="442">
        <f>SUM(B70:B74)</f>
        <v>779476.99238340603</v>
      </c>
      <c r="C75" s="442">
        <f>SUM(C70:C74)</f>
        <v>779476.99238340603</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1094369.6190000002</v>
      </c>
      <c r="C77" s="438">
        <f>'Sources and Uses Budget'!$C76</f>
        <v>1094369.6190000002</v>
      </c>
      <c r="D77" s="442">
        <f t="shared" si="1"/>
        <v>0</v>
      </c>
      <c r="E77" s="440"/>
      <c r="F77" s="439"/>
      <c r="G77" s="577"/>
    </row>
    <row r="78" spans="1:253" s="571" customFormat="1">
      <c r="A78" s="893" t="s">
        <v>63</v>
      </c>
      <c r="B78" s="438">
        <f>'Sources and Uses Budget'!$C77</f>
        <v>439708.24709019624</v>
      </c>
      <c r="C78" s="438">
        <f>'Sources and Uses Budget'!$C77</f>
        <v>439708.24709019624</v>
      </c>
      <c r="D78" s="442">
        <f t="shared" ref="D78" si="2">C78-B78</f>
        <v>0</v>
      </c>
      <c r="E78" s="440"/>
      <c r="F78" s="439"/>
      <c r="G78" s="577"/>
    </row>
    <row r="79" spans="1:253" s="571" customFormat="1">
      <c r="A79" s="443" t="s">
        <v>1468</v>
      </c>
      <c r="B79" s="442">
        <f>SUM(B77:B78)</f>
        <v>1534077.8660901964</v>
      </c>
      <c r="C79" s="442">
        <f>SUM(C77:C78)</f>
        <v>1534077.8660901964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71357.216667948844</v>
      </c>
      <c r="C81" s="438">
        <f>'Sources and Uses Budget'!$C80</f>
        <v>71357.216667948844</v>
      </c>
      <c r="D81" s="442">
        <f t="shared" si="1"/>
        <v>0</v>
      </c>
      <c r="E81" s="440"/>
      <c r="F81" s="439"/>
      <c r="G81" s="577"/>
    </row>
    <row r="82" spans="1:7" s="571" customFormat="1">
      <c r="A82" s="441" t="s">
        <v>846</v>
      </c>
      <c r="B82" s="438">
        <f>'Sources and Uses Budget'!$C81</f>
        <v>25000</v>
      </c>
      <c r="C82" s="438">
        <f>'Sources and Uses Budget'!$C81</f>
        <v>25000</v>
      </c>
      <c r="D82" s="442">
        <f t="shared" si="1"/>
        <v>0</v>
      </c>
      <c r="E82" s="440"/>
      <c r="F82" s="439"/>
      <c r="G82" s="577"/>
    </row>
    <row r="83" spans="1:7" s="571" customFormat="1">
      <c r="A83" s="441" t="s">
        <v>847</v>
      </c>
      <c r="B83" s="438">
        <f>'Sources and Uses Budget'!$C82</f>
        <v>1694619.81</v>
      </c>
      <c r="C83" s="438">
        <f>'Sources and Uses Budget'!$C82</f>
        <v>1694619.81</v>
      </c>
      <c r="D83" s="442">
        <f t="shared" si="1"/>
        <v>0</v>
      </c>
      <c r="E83" s="440"/>
      <c r="F83" s="439"/>
      <c r="G83" s="577"/>
    </row>
    <row r="84" spans="1:7" s="571" customFormat="1">
      <c r="A84" s="441" t="s">
        <v>848</v>
      </c>
      <c r="B84" s="438">
        <f>'Sources and Uses Budget'!$C83</f>
        <v>702144.19</v>
      </c>
      <c r="C84" s="438">
        <f>'Sources and Uses Budget'!$C83</f>
        <v>702144.19</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38000</v>
      </c>
      <c r="C86" s="438">
        <f>'Sources and Uses Budget'!$C85</f>
        <v>38000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6850</v>
      </c>
      <c r="C88" s="438">
        <f>'Sources and Uses Budget'!$C87</f>
        <v>6850</v>
      </c>
      <c r="D88" s="442">
        <f t="shared" si="1"/>
        <v>0</v>
      </c>
      <c r="E88" s="440"/>
      <c r="F88" s="439"/>
      <c r="G88" s="577"/>
    </row>
    <row r="89" spans="1:7" s="571" customFormat="1">
      <c r="A89" s="447" t="s">
        <v>404</v>
      </c>
      <c r="B89" s="438">
        <f>'Sources and Uses Budget'!$C88</f>
        <v>80000</v>
      </c>
      <c r="C89" s="438">
        <f>'Sources and Uses Budget'!$C88</f>
        <v>80000</v>
      </c>
      <c r="D89" s="442">
        <f t="shared" si="1"/>
        <v>0</v>
      </c>
      <c r="E89" s="440"/>
      <c r="F89" s="439"/>
      <c r="G89" s="577"/>
    </row>
    <row r="90" spans="1:7" s="571" customFormat="1">
      <c r="A90" s="892" t="s">
        <v>1470</v>
      </c>
      <c r="B90" s="438">
        <f>'Sources and Uses Budget'!$C89</f>
        <v>7600</v>
      </c>
      <c r="C90" s="438">
        <f>'Sources and Uses Budget'!$C89</f>
        <v>7600</v>
      </c>
      <c r="D90" s="442">
        <f t="shared" si="1"/>
        <v>0</v>
      </c>
      <c r="E90" s="440"/>
      <c r="F90" s="439"/>
      <c r="G90" s="577"/>
    </row>
    <row r="91" spans="1:7" s="571" customFormat="1">
      <c r="A91" s="444" t="s">
        <v>37</v>
      </c>
      <c r="B91" s="438">
        <f>'Sources and Uses Budget'!$C90</f>
        <v>34406</v>
      </c>
      <c r="C91" s="438">
        <f>'Sources and Uses Budget'!$C90</f>
        <v>34406</v>
      </c>
      <c r="D91" s="442">
        <f t="shared" si="1"/>
        <v>0</v>
      </c>
      <c r="E91" s="440"/>
      <c r="F91" s="439"/>
      <c r="G91" s="577"/>
    </row>
    <row r="92" spans="1:7" s="571" customFormat="1">
      <c r="A92" s="444" t="s">
        <v>37</v>
      </c>
      <c r="B92" s="438">
        <f>'Sources and Uses Budget'!$C91</f>
        <v>13911</v>
      </c>
      <c r="C92" s="438">
        <f>'Sources and Uses Budget'!$C91</f>
        <v>13911</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25000</v>
      </c>
      <c r="C94" s="438">
        <f>'Sources and Uses Budget'!$C93</f>
        <v>25000</v>
      </c>
      <c r="D94" s="442">
        <f t="shared" si="1"/>
        <v>0</v>
      </c>
      <c r="E94" s="440"/>
      <c r="F94" s="439"/>
      <c r="G94" s="577"/>
    </row>
    <row r="95" spans="1:7" s="571" customFormat="1">
      <c r="A95" s="444" t="s">
        <v>37</v>
      </c>
      <c r="B95" s="438">
        <f>'Sources and Uses Budget'!$C94</f>
        <v>9855000</v>
      </c>
      <c r="C95" s="438">
        <f>'Sources and Uses Budget'!$C94</f>
        <v>9855000</v>
      </c>
      <c r="D95" s="442">
        <f t="shared" si="1"/>
        <v>0</v>
      </c>
      <c r="E95" s="440"/>
      <c r="F95" s="439"/>
      <c r="G95" s="577"/>
    </row>
    <row r="96" spans="1:7" s="571" customFormat="1">
      <c r="A96" s="443" t="s">
        <v>853</v>
      </c>
      <c r="B96" s="442">
        <f>SUM(B81:B95)</f>
        <v>12603888.216667948</v>
      </c>
      <c r="C96" s="442">
        <f>SUM(C81:C95)</f>
        <v>12603888.216667948</v>
      </c>
      <c r="D96" s="442">
        <f t="shared" si="1"/>
        <v>0</v>
      </c>
      <c r="E96" s="440"/>
      <c r="F96" s="439"/>
      <c r="G96" s="577"/>
    </row>
    <row r="97" spans="1:7" s="571" customFormat="1">
      <c r="A97" s="443" t="s">
        <v>854</v>
      </c>
      <c r="B97" s="442">
        <f>SUM(B64+B68+B75+B79+B96)</f>
        <v>41029670.034213014</v>
      </c>
      <c r="C97" s="442">
        <f>SUM(C64+C68+C75+C79+C96)</f>
        <v>41029670.034213014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5196481.9401280601</v>
      </c>
      <c r="C99" s="438">
        <f>'Sources and Uses Budget'!$C98</f>
        <v>5196481.9401280601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5196481.9401280601</v>
      </c>
      <c r="C105" s="442">
        <f>SUM(C99:C104)</f>
        <v>5196481.9401280601</v>
      </c>
      <c r="D105" s="442">
        <f t="shared" si="1"/>
        <v>0</v>
      </c>
      <c r="E105" s="440"/>
      <c r="F105" s="439"/>
      <c r="G105" s="575"/>
    </row>
    <row r="106" spans="1:7" s="570" customFormat="1">
      <c r="A106" s="443" t="s">
        <v>862</v>
      </c>
      <c r="B106" s="445">
        <f>SUM(B97+B105)</f>
        <v>46226151.974341072</v>
      </c>
      <c r="C106" s="445">
        <f>SUM(C97+C105)</f>
        <v>46226151.974341072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1198</v>
      </c>
      <c r="B2" s="1015"/>
      <c r="C2" s="1016"/>
      <c r="D2" s="1016"/>
      <c r="E2" s="1016"/>
      <c r="F2" s="1016"/>
      <c r="G2" s="1016"/>
    </row>
    <row r="3" spans="1:9" s="265" customFormat="1">
      <c r="A3" s="1015" t="s">
        <v>1125</v>
      </c>
      <c r="B3" s="1015"/>
      <c r="C3" s="1016"/>
      <c r="D3" s="1016"/>
      <c r="E3" s="1016"/>
      <c r="F3" s="1016"/>
      <c r="G3" s="1016"/>
      <c r="I3" s="701" t="s">
        <v>329</v>
      </c>
    </row>
    <row r="4" spans="1:9">
      <c r="I4" s="702" t="s">
        <v>1199</v>
      </c>
    </row>
    <row r="5" spans="1:9" s="39" customFormat="1">
      <c r="A5" s="1019" t="s">
        <v>1126</v>
      </c>
      <c r="B5" s="1019"/>
      <c r="C5" s="1020"/>
      <c r="D5" s="1020"/>
      <c r="E5" s="1020"/>
      <c r="F5" s="1020"/>
      <c r="G5" s="1020"/>
      <c r="I5" s="702" t="s">
        <v>1200</v>
      </c>
    </row>
    <row r="6" spans="1:9" s="39" customFormat="1">
      <c r="A6" s="1019" t="s">
        <v>904</v>
      </c>
      <c r="B6" s="1019"/>
      <c r="C6" s="1020"/>
      <c r="D6" s="1020"/>
      <c r="E6" s="1020"/>
      <c r="F6" s="1020"/>
      <c r="G6" s="1020"/>
      <c r="I6" s="701" t="s">
        <v>642</v>
      </c>
    </row>
    <row r="7" spans="1:9" ht="11.85" customHeight="1"/>
    <row r="8" spans="1:9" s="39" customFormat="1">
      <c r="A8" s="1017" t="s">
        <v>1295</v>
      </c>
      <c r="B8" s="1017"/>
      <c r="C8" s="1018"/>
      <c r="D8" s="1018"/>
      <c r="E8" s="1018"/>
      <c r="F8" s="1018"/>
      <c r="G8" s="1018"/>
    </row>
    <row r="9" spans="1:9" s="39" customFormat="1">
      <c r="A9" s="1017" t="s">
        <v>1296</v>
      </c>
      <c r="B9" s="1017"/>
      <c r="C9" s="1018"/>
      <c r="D9" s="1018"/>
      <c r="E9" s="1018"/>
      <c r="F9" s="1018"/>
      <c r="G9" s="1018"/>
    </row>
    <row r="10" spans="1:9">
      <c r="A10" s="267"/>
      <c r="B10" s="267"/>
      <c r="C10" s="264"/>
      <c r="D10" s="264"/>
      <c r="E10" s="264"/>
      <c r="F10" s="264"/>
    </row>
    <row r="11" spans="1:9">
      <c r="A11" s="1021" t="s">
        <v>1298</v>
      </c>
      <c r="B11" s="1021"/>
      <c r="C11" s="1021"/>
      <c r="D11" s="1021"/>
      <c r="E11" s="1021"/>
      <c r="F11" s="1021"/>
      <c r="G11" s="1021"/>
    </row>
    <row r="12" spans="1:9">
      <c r="A12" s="264"/>
      <c r="B12" s="697"/>
      <c r="E12" s="50"/>
    </row>
    <row r="13" spans="1:9" ht="13.15" customHeight="1">
      <c r="C13" s="264"/>
      <c r="D13" s="1039" t="s">
        <v>1297</v>
      </c>
      <c r="E13" s="1039"/>
      <c r="F13" s="1039"/>
    </row>
    <row r="14" spans="1:9">
      <c r="C14" s="264"/>
      <c r="D14" s="1039"/>
      <c r="E14" s="1039"/>
      <c r="F14" s="1039"/>
    </row>
    <row r="15" spans="1:9">
      <c r="A15" s="269"/>
      <c r="B15" s="269"/>
      <c r="C15" s="269"/>
      <c r="D15" s="978" t="s">
        <v>1280</v>
      </c>
      <c r="E15" s="978"/>
      <c r="F15" s="978"/>
    </row>
    <row r="16" spans="1:9">
      <c r="A16" s="269"/>
      <c r="B16" s="269"/>
      <c r="C16" s="269"/>
      <c r="D16" s="337"/>
    </row>
    <row r="17" spans="1:7" ht="14.25">
      <c r="A17" s="270"/>
      <c r="B17" s="703" t="s">
        <v>329</v>
      </c>
      <c r="C17" s="323"/>
      <c r="D17" s="965" t="s">
        <v>1281</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1031" t="s">
        <v>1282</v>
      </c>
      <c r="E21" s="1031"/>
      <c r="F21" s="1031"/>
    </row>
    <row r="22" spans="1:7" ht="14.25">
      <c r="A22" s="270"/>
      <c r="B22" s="270"/>
      <c r="D22" s="138"/>
    </row>
    <row r="23" spans="1:7" ht="14.25">
      <c r="A23" s="270"/>
      <c r="B23" s="703" t="s">
        <v>329</v>
      </c>
      <c r="D23" s="965" t="s">
        <v>1283</v>
      </c>
      <c r="E23" s="965"/>
      <c r="F23" s="965"/>
    </row>
    <row r="24" spans="1:7" ht="14.25">
      <c r="A24" s="270"/>
      <c r="B24" s="270"/>
      <c r="D24" s="965"/>
      <c r="E24" s="965"/>
      <c r="F24" s="965"/>
    </row>
    <row r="25" spans="1:7"/>
    <row r="26" spans="1:7" ht="14.25">
      <c r="A26" s="270"/>
      <c r="B26" s="703" t="s">
        <v>329</v>
      </c>
      <c r="D26" s="1000" t="s">
        <v>1284</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66" t="s">
        <v>1285</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1286</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1287</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1288</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1289</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1290</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1291</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1292</v>
      </c>
      <c r="E61" s="966"/>
      <c r="F61" s="966"/>
    </row>
    <row r="62" spans="1:7">
      <c r="D62" s="966"/>
      <c r="E62" s="966"/>
      <c r="F62" s="966"/>
    </row>
    <row r="63" spans="1:7"/>
    <row r="64" spans="1:7" ht="14.25">
      <c r="A64" s="270"/>
      <c r="B64" s="703" t="s">
        <v>329</v>
      </c>
      <c r="D64" s="966" t="s">
        <v>1293</v>
      </c>
      <c r="E64" s="966"/>
      <c r="F64" s="966"/>
    </row>
    <row r="65" spans="1:7">
      <c r="D65" s="966"/>
      <c r="E65" s="966"/>
      <c r="F65" s="966"/>
    </row>
    <row r="66" spans="1:7">
      <c r="A66" s="579"/>
      <c r="C66" s="579"/>
      <c r="D66" s="966"/>
      <c r="E66" s="966"/>
      <c r="F66" s="966"/>
    </row>
    <row r="67" spans="1:7">
      <c r="D67" s="12"/>
    </row>
    <row r="68" spans="1:7" ht="14.25">
      <c r="A68" s="270"/>
      <c r="B68" s="703" t="s">
        <v>329</v>
      </c>
      <c r="D68" s="965" t="s">
        <v>1294</v>
      </c>
      <c r="E68" s="965"/>
      <c r="F68" s="965"/>
    </row>
    <row r="69" spans="1:7">
      <c r="D69" s="965"/>
      <c r="E69" s="965"/>
      <c r="F69" s="965"/>
    </row>
    <row r="70" spans="1:7" ht="14.25">
      <c r="A70" s="270"/>
      <c r="B70" s="270"/>
      <c r="D70" s="138"/>
    </row>
    <row r="71" spans="1:7">
      <c r="A71" s="985" t="s">
        <v>1201</v>
      </c>
      <c r="B71" s="985"/>
      <c r="C71" s="985"/>
      <c r="D71" s="985"/>
      <c r="E71" s="985"/>
      <c r="F71" s="985"/>
      <c r="G71" s="985"/>
    </row>
    <row r="72" spans="1:7"/>
    <row r="73" spans="1:7">
      <c r="C73" s="271"/>
      <c r="D73" s="1014" t="s">
        <v>1299</v>
      </c>
      <c r="E73" s="1014"/>
      <c r="F73" s="1014"/>
    </row>
    <row r="74" spans="1:7">
      <c r="A74" s="138"/>
      <c r="B74" s="138"/>
      <c r="D74" s="965" t="s">
        <v>1326</v>
      </c>
      <c r="E74" s="965"/>
      <c r="F74" s="965"/>
    </row>
    <row r="75" spans="1:7">
      <c r="A75" s="138"/>
      <c r="B75" s="138"/>
    </row>
    <row r="76" spans="1:7" ht="14.25">
      <c r="A76" s="270"/>
      <c r="B76" s="703" t="s">
        <v>329</v>
      </c>
      <c r="D76" s="965" t="s">
        <v>1300</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994" t="s">
        <v>1399</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329</v>
      </c>
      <c r="C97" s="729"/>
      <c r="D97" s="965" t="s">
        <v>1301</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2" t="s">
        <v>1302</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1303</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5" t="s">
        <v>1304</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6" t="s">
        <v>1305</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1413</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7" t="s">
        <v>1306</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329</v>
      </c>
      <c r="C159" s="335"/>
      <c r="D159" s="973" t="s">
        <v>1307</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1308</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1013" t="s">
        <v>484</v>
      </c>
      <c r="C170" s="1013"/>
      <c r="D170" s="1013"/>
      <c r="E170" s="1013"/>
      <c r="F170" s="1013"/>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1311</v>
      </c>
      <c r="E174" s="1009"/>
      <c r="F174" s="1009"/>
      <c r="G174" s="57"/>
    </row>
    <row r="175" spans="1:7">
      <c r="A175" s="273"/>
      <c r="B175" s="273"/>
      <c r="C175" s="274"/>
      <c r="D175" s="1009"/>
      <c r="E175" s="1009"/>
      <c r="F175" s="1009"/>
      <c r="G175" s="57"/>
    </row>
    <row r="176" spans="1:7" s="743" customFormat="1">
      <c r="A176" s="745"/>
      <c r="B176" s="745"/>
      <c r="C176" s="274"/>
      <c r="D176" s="1010" t="s">
        <v>1312</v>
      </c>
      <c r="E176" s="1010"/>
      <c r="F176" s="1010"/>
      <c r="G176" s="57"/>
    </row>
    <row r="177" spans="1:7" ht="12" customHeight="1">
      <c r="A177" s="273"/>
      <c r="B177" s="273"/>
      <c r="C177" s="274"/>
      <c r="D177" s="57"/>
      <c r="E177" s="49"/>
      <c r="F177" s="57"/>
      <c r="G177" s="57"/>
    </row>
    <row r="178" spans="1:7" ht="14.25">
      <c r="A178" s="270"/>
      <c r="B178" s="703" t="s">
        <v>329</v>
      </c>
      <c r="C178" s="274"/>
      <c r="D178" s="1003" t="s">
        <v>1310</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1219</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329</v>
      </c>
      <c r="C186" s="581"/>
      <c r="D186" s="965" t="s">
        <v>1309</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7"/>
      <c r="C194" s="264"/>
      <c r="D194" s="980" t="s">
        <v>1333</v>
      </c>
      <c r="E194" s="990"/>
      <c r="F194" s="990"/>
    </row>
    <row r="195" spans="1:6" ht="12" customHeight="1">
      <c r="A195" s="23"/>
      <c r="B195" s="699"/>
      <c r="C195" s="23"/>
    </row>
    <row r="196" spans="1:6" ht="13.15" customHeight="1">
      <c r="A196" s="23"/>
      <c r="C196" s="23"/>
      <c r="D196" s="988" t="s">
        <v>593</v>
      </c>
      <c r="E196" s="988"/>
      <c r="F196" s="988"/>
    </row>
    <row r="197" spans="1:6" ht="14.25">
      <c r="A197" s="270"/>
      <c r="B197" s="703" t="s">
        <v>329</v>
      </c>
      <c r="D197" s="965" t="s">
        <v>1327</v>
      </c>
      <c r="E197" s="965"/>
      <c r="F197" s="965"/>
    </row>
    <row r="198" spans="1:6" ht="14.25">
      <c r="A198" s="270"/>
      <c r="B198" s="270"/>
      <c r="D198" s="965"/>
      <c r="E198" s="965"/>
      <c r="F198" s="965"/>
    </row>
    <row r="199" spans="1:6"/>
    <row r="200" spans="1:6" ht="14.25">
      <c r="A200" s="270"/>
      <c r="B200" s="703" t="s">
        <v>329</v>
      </c>
      <c r="D200" s="965" t="s">
        <v>1328</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1329</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1013" t="s">
        <v>993</v>
      </c>
      <c r="E212" s="1013"/>
      <c r="F212" s="1013"/>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65" t="s">
        <v>1331</v>
      </c>
      <c r="E220" s="965"/>
      <c r="F220" s="965"/>
    </row>
    <row r="221" spans="1:7" ht="14.25">
      <c r="A221" s="270"/>
      <c r="B221" s="270"/>
      <c r="D221" s="965"/>
      <c r="E221" s="965"/>
      <c r="F221" s="965"/>
    </row>
    <row r="222" spans="1:7">
      <c r="D222" s="29"/>
    </row>
    <row r="223" spans="1:7">
      <c r="A223" s="985" t="s">
        <v>1205</v>
      </c>
      <c r="B223" s="985"/>
      <c r="C223" s="985"/>
      <c r="D223" s="985"/>
      <c r="E223" s="985"/>
      <c r="F223" s="985"/>
      <c r="G223" s="985"/>
    </row>
    <row r="224" spans="1:7">
      <c r="D224" s="29"/>
    </row>
    <row r="225" spans="1:6">
      <c r="C225" s="271"/>
      <c r="D225" s="988" t="s">
        <v>1334</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989" t="s">
        <v>1335</v>
      </c>
      <c r="E228" s="989"/>
      <c r="F228" s="989"/>
    </row>
    <row r="229" spans="1:6" ht="14.25">
      <c r="A229" s="270"/>
      <c r="B229" s="270"/>
      <c r="D229" s="989"/>
      <c r="E229" s="989"/>
      <c r="F229" s="989"/>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0" t="s">
        <v>984</v>
      </c>
      <c r="E233" s="990"/>
      <c r="F233" s="990"/>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65" t="s">
        <v>1337</v>
      </c>
      <c r="E241" s="965"/>
      <c r="F241" s="965"/>
    </row>
    <row r="242" spans="1:7">
      <c r="D242" s="965"/>
      <c r="E242" s="965"/>
      <c r="F242" s="965"/>
    </row>
    <row r="243" spans="1:7">
      <c r="D243" s="965"/>
      <c r="E243" s="965"/>
      <c r="F243" s="965"/>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14" t="s">
        <v>1339</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1340</v>
      </c>
      <c r="E251" s="996"/>
      <c r="F251" s="996"/>
    </row>
    <row r="252" spans="1:7">
      <c r="E252" s="138"/>
      <c r="F252" s="138"/>
    </row>
    <row r="253" spans="1:7" ht="14.25">
      <c r="A253" s="270"/>
      <c r="B253" s="703" t="s">
        <v>329</v>
      </c>
      <c r="D253" s="965" t="s">
        <v>1341</v>
      </c>
      <c r="E253" s="965"/>
      <c r="F253" s="965"/>
    </row>
    <row r="254" spans="1:7" ht="14.25">
      <c r="A254" s="270"/>
      <c r="B254" s="270"/>
      <c r="D254" s="965"/>
      <c r="E254" s="965"/>
      <c r="F254" s="965"/>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65" t="s">
        <v>1343</v>
      </c>
      <c r="E260" s="965"/>
      <c r="F260" s="965"/>
    </row>
    <row r="261" spans="1:7" ht="14.25">
      <c r="A261" s="270"/>
      <c r="B261" s="270"/>
      <c r="D261" s="965"/>
      <c r="E261" s="965"/>
      <c r="F261" s="965"/>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8" t="s">
        <v>736</v>
      </c>
      <c r="E265" s="988"/>
      <c r="F265" s="988"/>
    </row>
    <row r="266" spans="1:7">
      <c r="C266" s="23"/>
      <c r="D266" s="978" t="s">
        <v>1344</v>
      </c>
      <c r="E266" s="978"/>
      <c r="F266" s="978"/>
    </row>
    <row r="267" spans="1:7">
      <c r="C267" s="23"/>
      <c r="D267" s="268"/>
    </row>
    <row r="268" spans="1:7">
      <c r="A268" s="282"/>
      <c r="B268" s="703" t="s">
        <v>329</v>
      </c>
      <c r="D268" s="978" t="s">
        <v>1345</v>
      </c>
      <c r="E268" s="978"/>
      <c r="F268" s="978"/>
    </row>
    <row r="269" spans="1:7" s="39" customFormat="1" ht="14.25">
      <c r="A269" s="420"/>
      <c r="B269" s="420"/>
      <c r="C269" s="282"/>
      <c r="D269" s="514"/>
      <c r="E269" s="515"/>
      <c r="F269" s="515"/>
      <c r="G269" s="133"/>
    </row>
    <row r="270" spans="1:7" s="39" customFormat="1" ht="13.15" customHeight="1">
      <c r="A270" s="282"/>
      <c r="B270" s="703" t="s">
        <v>329</v>
      </c>
      <c r="C270" s="282"/>
      <c r="D270" s="991" t="s">
        <v>1346</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329</v>
      </c>
      <c r="C276" s="282"/>
      <c r="D276" s="991" t="s">
        <v>1347</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329</v>
      </c>
      <c r="D279" s="978" t="s">
        <v>1348</v>
      </c>
      <c r="E279" s="978"/>
      <c r="F279" s="978"/>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65" t="s">
        <v>1351</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1093</v>
      </c>
      <c r="E314" s="997"/>
      <c r="F314" s="997"/>
      <c r="G314" s="12"/>
    </row>
    <row r="315" spans="1:7" s="743" customFormat="1" ht="13.5" thickTop="1">
      <c r="A315" s="755"/>
      <c r="B315" s="755"/>
      <c r="C315" s="755"/>
      <c r="D315" s="998" t="s">
        <v>1352</v>
      </c>
      <c r="E315" s="998"/>
      <c r="F315" s="998"/>
    </row>
    <row r="316" spans="1:7">
      <c r="A316" s="335"/>
      <c r="B316" s="335"/>
      <c r="C316" s="335"/>
      <c r="D316" s="484"/>
      <c r="E316" s="484"/>
      <c r="F316" s="138"/>
      <c r="G316" s="12"/>
    </row>
    <row r="317" spans="1:7" ht="14.25">
      <c r="A317" s="270"/>
      <c r="B317" s="703" t="s">
        <v>329</v>
      </c>
      <c r="C317" s="335"/>
      <c r="D317" s="999" t="s">
        <v>1353</v>
      </c>
      <c r="E317" s="999"/>
      <c r="F317" s="999"/>
      <c r="G317" s="12"/>
    </row>
    <row r="318" spans="1:7">
      <c r="A318" s="335"/>
      <c r="B318" s="335"/>
      <c r="C318" s="335"/>
      <c r="D318" s="484"/>
      <c r="E318" s="484"/>
      <c r="F318" s="138"/>
      <c r="G318" s="12"/>
    </row>
    <row r="319" spans="1:7">
      <c r="A319" s="335"/>
      <c r="B319" s="703" t="s">
        <v>329</v>
      </c>
      <c r="C319" s="335"/>
      <c r="D319" s="994" t="s">
        <v>1354</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329</v>
      </c>
      <c r="C331" s="335"/>
      <c r="D331" s="992" t="s">
        <v>1355</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1356</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1357</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329</v>
      </c>
      <c r="C364" s="335"/>
      <c r="D364" s="993" t="s">
        <v>1358</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329</v>
      </c>
      <c r="C367" s="335"/>
      <c r="D367" s="994" t="s">
        <v>1359</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329</v>
      </c>
      <c r="C373" s="275"/>
      <c r="D373" s="965" t="s">
        <v>1360</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78" t="s">
        <v>1361</v>
      </c>
      <c r="E405" s="978"/>
      <c r="F405" s="978"/>
    </row>
    <row r="406" spans="1:7">
      <c r="D406" s="995" t="s">
        <v>1118</v>
      </c>
      <c r="E406" s="995"/>
      <c r="F406" s="995"/>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65" t="s">
        <v>1363</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80" t="s">
        <v>1367</v>
      </c>
      <c r="E440" s="980"/>
      <c r="F440" s="980"/>
    </row>
    <row r="441" spans="1:7">
      <c r="A441" s="138"/>
      <c r="B441" s="138"/>
    </row>
    <row r="442" spans="1:7">
      <c r="A442" s="985" t="s">
        <v>1208</v>
      </c>
      <c r="B442" s="985"/>
      <c r="C442" s="985"/>
      <c r="D442" s="985"/>
      <c r="E442" s="985"/>
      <c r="F442" s="985"/>
      <c r="G442" s="985"/>
    </row>
    <row r="443" spans="1:7">
      <c r="A443" s="138"/>
      <c r="B443" s="138"/>
    </row>
    <row r="444" spans="1:7">
      <c r="D444" s="981" t="s">
        <v>978</v>
      </c>
      <c r="E444" s="981"/>
      <c r="F444" s="981"/>
    </row>
    <row r="445" spans="1:7" s="39" customFormat="1" ht="14.25">
      <c r="A445" s="420"/>
      <c r="B445" s="420"/>
      <c r="C445" s="282"/>
      <c r="D445" s="982" t="s">
        <v>1368</v>
      </c>
      <c r="E445" s="982"/>
      <c r="F445" s="982"/>
      <c r="G445" s="133"/>
    </row>
    <row r="446" spans="1:7" s="39" customFormat="1" ht="14.25">
      <c r="A446" s="420"/>
      <c r="B446" s="420"/>
      <c r="C446" s="282"/>
      <c r="D446" s="756"/>
      <c r="E446" s="6"/>
      <c r="F446" s="6"/>
      <c r="G446" s="133"/>
    </row>
    <row r="447" spans="1:7" s="39" customFormat="1" ht="14.25">
      <c r="A447" s="270"/>
      <c r="B447" s="703" t="s">
        <v>329</v>
      </c>
      <c r="C447" s="282"/>
      <c r="D447" s="983" t="s">
        <v>1369</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329</v>
      </c>
      <c r="D450" s="984" t="s">
        <v>1370</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329</v>
      </c>
      <c r="D455" s="966" t="s">
        <v>1371</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78" t="s">
        <v>1372</v>
      </c>
      <c r="E459" s="978"/>
      <c r="F459" s="978"/>
      <c r="G459" s="12"/>
    </row>
    <row r="460" spans="1:7" ht="14.25">
      <c r="A460" s="270"/>
      <c r="B460" s="270"/>
      <c r="D460" s="754"/>
      <c r="E460" s="6"/>
      <c r="F460" s="6"/>
      <c r="G460" s="12"/>
    </row>
    <row r="461" spans="1:7" ht="14.25">
      <c r="A461" s="270"/>
      <c r="B461" s="703" t="s">
        <v>329</v>
      </c>
      <c r="D461" s="965" t="s">
        <v>1373</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78" t="s">
        <v>1374</v>
      </c>
      <c r="E464" s="978"/>
      <c r="F464" s="978"/>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875</v>
      </c>
      <c r="E468" s="986"/>
      <c r="F468" s="986"/>
      <c r="G468" s="187"/>
    </row>
    <row r="469" spans="1:7" customFormat="1" ht="13.15" customHeight="1">
      <c r="A469" s="269"/>
      <c r="B469" s="269"/>
      <c r="C469" s="323"/>
      <c r="D469" s="987" t="s">
        <v>1252</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329</v>
      </c>
      <c r="C475" s="323"/>
      <c r="D475" s="1027" t="s">
        <v>1243</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329</v>
      </c>
      <c r="C481" s="323"/>
      <c r="D481" s="1027" t="s">
        <v>1246</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7" t="s">
        <v>1244</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329</v>
      </c>
      <c r="C490" s="323"/>
      <c r="D490" s="1027" t="s">
        <v>1245</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329</v>
      </c>
      <c r="C500" s="503"/>
      <c r="D500" s="977" t="s">
        <v>1389</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329</v>
      </c>
      <c r="C506" s="10"/>
      <c r="D506" s="1027" t="s">
        <v>1247</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1013" t="s">
        <v>484</v>
      </c>
      <c r="C512" s="1013"/>
      <c r="D512" s="1013"/>
      <c r="E512" s="1013"/>
      <c r="F512" s="1013"/>
    </row>
    <row r="513" spans="1:7">
      <c r="A513" s="138"/>
      <c r="B513" s="138"/>
      <c r="C513" s="275"/>
      <c r="D513" s="138"/>
      <c r="F513" s="138"/>
    </row>
    <row r="514" spans="1:7">
      <c r="A514" s="1035" t="s">
        <v>1211</v>
      </c>
      <c r="B514" s="1035"/>
      <c r="C514" s="1035"/>
      <c r="D514" s="1035"/>
      <c r="E514" s="1035"/>
      <c r="F514" s="1035"/>
      <c r="G514" s="1035"/>
    </row>
    <row r="515" spans="1:7">
      <c r="A515" s="138"/>
      <c r="B515" s="138"/>
      <c r="C515" s="275"/>
      <c r="D515" s="138"/>
      <c r="F515" s="138"/>
    </row>
    <row r="516" spans="1:7">
      <c r="C516" s="275"/>
      <c r="D516" s="988" t="s">
        <v>737</v>
      </c>
      <c r="E516" s="988"/>
      <c r="F516" s="988"/>
    </row>
    <row r="517" spans="1:7" s="706" customFormat="1">
      <c r="A517" s="723"/>
      <c r="B517" s="723"/>
      <c r="C517" s="275"/>
      <c r="D517" s="978" t="s">
        <v>1268</v>
      </c>
      <c r="E517" s="978"/>
      <c r="F517" s="978"/>
      <c r="G517" s="7"/>
    </row>
    <row r="518" spans="1:7" s="706" customFormat="1">
      <c r="A518" s="723"/>
      <c r="B518" s="723"/>
      <c r="C518" s="275"/>
      <c r="D518" s="728"/>
      <c r="E518" s="728"/>
      <c r="F518" s="728"/>
      <c r="G518" s="7"/>
    </row>
    <row r="519" spans="1:7" ht="13.15" customHeight="1">
      <c r="A519" s="270"/>
      <c r="B519" s="703" t="s">
        <v>329</v>
      </c>
      <c r="C519" s="275"/>
      <c r="D519" s="978" t="s">
        <v>979</v>
      </c>
      <c r="E519" s="978"/>
      <c r="F519" s="978"/>
      <c r="G519" s="12"/>
    </row>
    <row r="520" spans="1:7" ht="13.15" customHeight="1">
      <c r="A520" s="275"/>
      <c r="B520" s="275"/>
      <c r="C520" s="275"/>
      <c r="D520" s="728"/>
      <c r="E520" s="701"/>
      <c r="F520" s="701"/>
      <c r="G520" s="12"/>
    </row>
    <row r="521" spans="1:7" ht="14.25">
      <c r="A521" s="270"/>
      <c r="B521" s="703" t="s">
        <v>329</v>
      </c>
      <c r="C521" s="275"/>
      <c r="D521" s="965" t="s">
        <v>1269</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1270</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1271</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1272</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1000" t="s">
        <v>1390</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1273</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65" t="s">
        <v>1274</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78" t="s">
        <v>1275</v>
      </c>
      <c r="E543" s="978"/>
      <c r="F543" s="978"/>
      <c r="G543" s="57"/>
    </row>
    <row r="544" spans="1:7">
      <c r="A544" s="23"/>
      <c r="B544" s="699"/>
      <c r="C544" s="275"/>
      <c r="D544" s="978" t="s">
        <v>905</v>
      </c>
      <c r="E544" s="978"/>
      <c r="F544" s="978"/>
      <c r="G544" s="57"/>
    </row>
    <row r="545" spans="1:7">
      <c r="A545" s="23"/>
      <c r="B545" s="699"/>
      <c r="C545" s="275"/>
      <c r="D545" s="6"/>
      <c r="E545" s="996" t="s">
        <v>1276</v>
      </c>
      <c r="F545" s="996"/>
      <c r="G545" s="57"/>
    </row>
    <row r="546" spans="1:7" ht="14.25">
      <c r="A546" s="270"/>
      <c r="B546" s="270"/>
      <c r="C546" s="275"/>
      <c r="E546" s="138"/>
      <c r="F546" s="138"/>
      <c r="G546" s="57"/>
    </row>
    <row r="547" spans="1:7" ht="14.25">
      <c r="A547" s="270"/>
      <c r="B547" s="703" t="s">
        <v>329</v>
      </c>
      <c r="C547" s="275"/>
      <c r="D547" s="1040" t="s">
        <v>1277</v>
      </c>
      <c r="E547" s="1040"/>
      <c r="F547" s="1040"/>
      <c r="G547" s="57"/>
    </row>
    <row r="548" spans="1:7">
      <c r="C548" s="275"/>
      <c r="D548" s="965" t="s">
        <v>1278</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1279</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1228</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984" t="s">
        <v>1229</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329</v>
      </c>
      <c r="C568" s="713"/>
      <c r="D568" s="984" t="s">
        <v>1230</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329</v>
      </c>
      <c r="D573" s="984" t="s">
        <v>1231</v>
      </c>
      <c r="E573" s="984"/>
      <c r="F573" s="984"/>
    </row>
    <row r="574" spans="1:7">
      <c r="A574" s="23"/>
      <c r="B574" s="699"/>
      <c r="D574" s="984"/>
      <c r="E574" s="984"/>
      <c r="F574" s="984"/>
    </row>
    <row r="575" spans="1:7">
      <c r="A575" s="23"/>
      <c r="B575" s="699"/>
      <c r="D575" s="393"/>
    </row>
    <row r="576" spans="1:7" s="706" customFormat="1">
      <c r="A576" s="712"/>
      <c r="B576" s="703" t="s">
        <v>329</v>
      </c>
      <c r="C576" s="713"/>
      <c r="D576" s="1008" t="s">
        <v>1232</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1213</v>
      </c>
      <c r="B588" s="985"/>
      <c r="C588" s="985"/>
      <c r="D588" s="985"/>
      <c r="E588" s="985"/>
      <c r="F588" s="985"/>
      <c r="G588" s="985"/>
    </row>
    <row r="589" spans="1:7"/>
    <row r="590" spans="1:7">
      <c r="D590" s="1002" t="s">
        <v>1313</v>
      </c>
      <c r="E590" s="1002"/>
      <c r="F590" s="1002"/>
    </row>
    <row r="591" spans="1:7">
      <c r="D591" s="1041" t="s">
        <v>1314</v>
      </c>
      <c r="E591" s="1041"/>
      <c r="F591" s="1041"/>
    </row>
    <row r="592" spans="1:7" s="743" customFormat="1">
      <c r="A592" s="729"/>
      <c r="B592" s="729"/>
      <c r="C592" s="729"/>
      <c r="D592" s="747"/>
      <c r="E592" s="746"/>
      <c r="F592" s="746"/>
      <c r="G592" s="7"/>
    </row>
    <row r="593" spans="1:7" s="39" customFormat="1" ht="14.25">
      <c r="A593" s="420"/>
      <c r="B593" s="703" t="s">
        <v>329</v>
      </c>
      <c r="C593" s="282"/>
      <c r="D593" s="1004" t="s">
        <v>1315</v>
      </c>
      <c r="E593" s="1004"/>
      <c r="F593" s="1004"/>
      <c r="G593" s="133"/>
    </row>
    <row r="594" spans="1:7">
      <c r="D594" s="1004"/>
      <c r="E594" s="1004"/>
      <c r="F594" s="1004"/>
    </row>
    <row r="595" spans="1:7">
      <c r="D595" s="1004"/>
      <c r="E595" s="1004"/>
      <c r="F595" s="1004"/>
    </row>
    <row r="596" spans="1:7"/>
    <row r="597" spans="1:7">
      <c r="A597" s="985" t="s">
        <v>1214</v>
      </c>
      <c r="B597" s="985"/>
      <c r="C597" s="985"/>
      <c r="D597" s="985"/>
      <c r="E597" s="985"/>
      <c r="F597" s="985"/>
      <c r="G597" s="985"/>
    </row>
    <row r="598" spans="1:7">
      <c r="A598" s="138"/>
      <c r="B598" s="138"/>
      <c r="G598" s="57"/>
    </row>
    <row r="599" spans="1:7">
      <c r="A599" s="266"/>
      <c r="B599" s="698"/>
      <c r="C599" s="264"/>
      <c r="D599" s="1042" t="s">
        <v>1316</v>
      </c>
      <c r="E599" s="1042"/>
      <c r="F599" s="1042"/>
      <c r="G599" s="57"/>
    </row>
    <row r="600" spans="1:7">
      <c r="A600" s="266"/>
      <c r="B600" s="698"/>
      <c r="C600" s="264"/>
      <c r="D600" s="1042"/>
      <c r="E600" s="1042"/>
      <c r="F600" s="1042"/>
      <c r="G600" s="57"/>
    </row>
    <row r="601" spans="1:7">
      <c r="C601" s="269"/>
      <c r="D601" s="1041" t="s">
        <v>1317</v>
      </c>
      <c r="E601" s="1041"/>
      <c r="F601" s="1041"/>
      <c r="G601" s="57"/>
    </row>
    <row r="602" spans="1:7" s="743" customFormat="1">
      <c r="A602" s="729"/>
      <c r="B602" s="729"/>
      <c r="C602" s="744"/>
      <c r="D602" s="748"/>
      <c r="E602" s="748"/>
      <c r="F602" s="748"/>
      <c r="G602" s="57"/>
    </row>
    <row r="603" spans="1:7">
      <c r="A603" s="23"/>
      <c r="B603" s="703" t="s">
        <v>329</v>
      </c>
      <c r="D603" s="1041" t="s">
        <v>467</v>
      </c>
      <c r="E603" s="1041"/>
      <c r="F603" s="1041"/>
      <c r="G603" s="57"/>
    </row>
    <row r="604" spans="1:7">
      <c r="C604" s="277"/>
      <c r="E604" s="12"/>
      <c r="G604" s="57"/>
    </row>
    <row r="605" spans="1:7">
      <c r="A605" s="23"/>
      <c r="B605" s="703" t="s">
        <v>329</v>
      </c>
      <c r="D605" s="1001" t="s">
        <v>1318</v>
      </c>
      <c r="E605" s="1001"/>
      <c r="F605" s="1001"/>
      <c r="G605" s="57"/>
    </row>
    <row r="606" spans="1:7">
      <c r="D606" s="1001"/>
      <c r="E606" s="1001"/>
      <c r="F606" s="1001"/>
      <c r="G606" s="57"/>
    </row>
    <row r="607" spans="1:7">
      <c r="D607" s="12"/>
      <c r="G607" s="57"/>
    </row>
    <row r="608" spans="1:7">
      <c r="B608" s="703" t="s">
        <v>329</v>
      </c>
      <c r="D608" s="1001" t="s">
        <v>1319</v>
      </c>
      <c r="E608" s="1001"/>
      <c r="F608" s="1001"/>
      <c r="G608" s="57"/>
    </row>
    <row r="609" spans="1:7">
      <c r="C609" s="277"/>
      <c r="D609" s="1001"/>
      <c r="E609" s="1001"/>
      <c r="F609" s="1001"/>
      <c r="G609" s="57"/>
    </row>
    <row r="610" spans="1:7">
      <c r="C610" s="277"/>
      <c r="G610" s="57"/>
    </row>
    <row r="611" spans="1:7">
      <c r="B611" s="703" t="s">
        <v>329</v>
      </c>
      <c r="C611" s="277"/>
      <c r="D611" s="1001" t="s">
        <v>1320</v>
      </c>
      <c r="E611" s="1001"/>
      <c r="F611" s="1001"/>
      <c r="G611" s="57"/>
    </row>
    <row r="612" spans="1:7">
      <c r="C612" s="277"/>
      <c r="D612" s="1001"/>
      <c r="E612" s="1001"/>
      <c r="F612" s="1001"/>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1002" t="s">
        <v>1321</v>
      </c>
      <c r="E616" s="1002"/>
      <c r="F616" s="1002"/>
      <c r="G616" s="57"/>
    </row>
    <row r="617" spans="1:7">
      <c r="A617" s="23"/>
      <c r="B617" s="699"/>
      <c r="C617" s="274"/>
      <c r="D617" s="50"/>
      <c r="G617" s="57"/>
    </row>
    <row r="618" spans="1:7" ht="14.25">
      <c r="A618" s="270"/>
      <c r="B618" s="703" t="s">
        <v>329</v>
      </c>
      <c r="C618" s="274"/>
      <c r="D618" s="1003" t="s">
        <v>1322</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329</v>
      </c>
      <c r="C625" s="274"/>
      <c r="D625" s="1003" t="s">
        <v>1323</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329</v>
      </c>
      <c r="C628" s="275"/>
      <c r="D628" s="1004" t="s">
        <v>1324</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329</v>
      </c>
      <c r="C633" s="275"/>
      <c r="D633" s="1005" t="s">
        <v>1325</v>
      </c>
      <c r="E633" s="1005"/>
      <c r="F633" s="100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06" t="s">
        <v>1375</v>
      </c>
      <c r="E637" s="1006"/>
      <c r="F637" s="1006"/>
      <c r="G637" s="57"/>
    </row>
    <row r="638" spans="1:7">
      <c r="A638" s="269"/>
      <c r="B638" s="269"/>
      <c r="C638" s="269"/>
      <c r="D638" s="1007" t="s">
        <v>1376</v>
      </c>
      <c r="E638" s="1007"/>
      <c r="F638" s="1007"/>
      <c r="G638" s="57"/>
    </row>
    <row r="639" spans="1:7" s="743" customFormat="1">
      <c r="A639" s="744"/>
      <c r="B639" s="744"/>
      <c r="C639" s="744"/>
      <c r="D639" s="758"/>
      <c r="E639" s="758"/>
      <c r="F639" s="758"/>
      <c r="G639" s="57"/>
    </row>
    <row r="640" spans="1:7" ht="14.45" customHeight="1">
      <c r="A640" s="270"/>
      <c r="B640" s="703" t="s">
        <v>329</v>
      </c>
      <c r="C640" s="275"/>
      <c r="D640" s="963" t="s">
        <v>1377</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329</v>
      </c>
      <c r="C646" s="275"/>
      <c r="D646" s="1024" t="s">
        <v>1227</v>
      </c>
      <c r="E646" s="1024"/>
      <c r="F646" s="1024"/>
      <c r="G646" s="57"/>
    </row>
    <row r="647" spans="1:11" s="706" customFormat="1" ht="14.25">
      <c r="A647" s="270"/>
      <c r="B647" s="270"/>
      <c r="C647" s="275"/>
      <c r="D647" s="1025" t="s">
        <v>1378</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1379</v>
      </c>
      <c r="E652" s="1026"/>
      <c r="F652" s="1026"/>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1253</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8" t="s">
        <v>981</v>
      </c>
      <c r="E660" s="978"/>
      <c r="F660" s="978"/>
      <c r="G660" s="57"/>
      <c r="H660" s="278"/>
      <c r="I660" s="278"/>
      <c r="J660" s="278"/>
      <c r="K660" s="278"/>
    </row>
    <row r="661" spans="1:11">
      <c r="A661" s="269"/>
      <c r="B661" s="269"/>
      <c r="C661" s="269"/>
      <c r="D661" s="978" t="s">
        <v>992</v>
      </c>
      <c r="E661" s="978"/>
      <c r="F661" s="978"/>
      <c r="G661" s="57"/>
      <c r="H661" s="278"/>
      <c r="I661" s="278"/>
      <c r="J661" s="278"/>
      <c r="K661" s="278"/>
    </row>
    <row r="662" spans="1:11">
      <c r="A662" s="269"/>
      <c r="B662" s="269"/>
      <c r="C662" s="269"/>
      <c r="D662" s="6"/>
      <c r="E662" s="974" t="s">
        <v>1254</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1255</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8" t="s">
        <v>1022</v>
      </c>
      <c r="E669" s="978"/>
      <c r="F669" s="978"/>
      <c r="G669" s="57"/>
      <c r="H669" s="278"/>
      <c r="I669" s="278"/>
      <c r="J669" s="278"/>
      <c r="K669" s="278"/>
    </row>
    <row r="670" spans="1:11" ht="14.25">
      <c r="A670" s="270"/>
      <c r="B670" s="270"/>
      <c r="C670" s="269"/>
      <c r="D670" s="978" t="s">
        <v>992</v>
      </c>
      <c r="E670" s="978"/>
      <c r="F670" s="978"/>
      <c r="G670" s="57"/>
      <c r="H670" s="278"/>
      <c r="I670" s="278"/>
      <c r="J670" s="278"/>
      <c r="K670" s="278"/>
    </row>
    <row r="671" spans="1:11">
      <c r="A671" s="269"/>
      <c r="B671" s="269"/>
      <c r="C671" s="269"/>
      <c r="D671" s="6"/>
      <c r="E671" s="996" t="s">
        <v>1256</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1266</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1257</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1267</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1264</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1265</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1258</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1259</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1260</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1393</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1261</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1218</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1234</v>
      </c>
      <c r="E728" s="1014"/>
      <c r="F728" s="1014"/>
      <c r="G728" s="280"/>
      <c r="H728" s="278"/>
      <c r="I728" s="278"/>
      <c r="J728" s="278"/>
      <c r="K728" s="278"/>
    </row>
    <row r="729" spans="1:11">
      <c r="A729" s="269"/>
      <c r="B729" s="269"/>
      <c r="C729" s="269"/>
      <c r="D729" s="1031" t="s">
        <v>1235</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1236</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1237</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32" t="s">
        <v>1238</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329</v>
      </c>
      <c r="C747" s="282"/>
      <c r="D747" s="966" t="s">
        <v>1239</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1240</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1241</v>
      </c>
      <c r="B754" s="1037"/>
      <c r="C754" s="1037"/>
      <c r="D754" s="1037"/>
      <c r="E754" s="1037"/>
      <c r="F754" s="1037"/>
      <c r="G754" s="1037"/>
    </row>
    <row r="755" spans="1:11">
      <c r="A755" s="269"/>
      <c r="B755" s="269"/>
      <c r="C755" s="269"/>
      <c r="D755" s="285"/>
      <c r="F755" s="150"/>
      <c r="G755" s="280"/>
    </row>
    <row r="756" spans="1:11">
      <c r="A756" s="282"/>
      <c r="B756" s="282"/>
      <c r="C756" s="459"/>
      <c r="D756" s="1038" t="s">
        <v>1225</v>
      </c>
      <c r="E756" s="1038"/>
      <c r="F756" s="1038"/>
      <c r="G756" s="280"/>
    </row>
    <row r="757" spans="1:11">
      <c r="A757" s="523"/>
      <c r="B757" s="523"/>
      <c r="C757" s="522"/>
      <c r="D757" s="1028" t="s">
        <v>1242</v>
      </c>
      <c r="E757" s="1028"/>
      <c r="F757" s="1028"/>
      <c r="G757" s="280"/>
    </row>
    <row r="758" spans="1:11">
      <c r="A758" s="282"/>
      <c r="B758" s="282"/>
      <c r="C758" s="459"/>
      <c r="D758" s="717"/>
      <c r="E758" s="717"/>
      <c r="F758" s="717"/>
      <c r="G758" s="280"/>
    </row>
    <row r="759" spans="1:11" ht="14.25">
      <c r="A759" s="270"/>
      <c r="B759" s="703" t="s">
        <v>329</v>
      </c>
      <c r="C759" s="459"/>
      <c r="D759" s="1029" t="s">
        <v>1103</v>
      </c>
      <c r="E759" s="1029"/>
      <c r="F759" s="1029"/>
      <c r="G759" s="280"/>
    </row>
    <row r="760" spans="1:11">
      <c r="A760" s="282"/>
      <c r="B760" s="282"/>
      <c r="C760" s="459"/>
      <c r="D760" s="716"/>
      <c r="E760" s="1030" t="s">
        <v>1226</v>
      </c>
      <c r="F760" s="1030"/>
      <c r="G760" s="280"/>
    </row>
    <row r="761" spans="1:11">
      <c r="A761" s="276"/>
      <c r="B761" s="276"/>
      <c r="C761" s="276"/>
      <c r="D761" s="138"/>
      <c r="F761" s="57"/>
      <c r="G761" s="280"/>
    </row>
    <row r="762" spans="1:11">
      <c r="A762" s="1034" t="s">
        <v>485</v>
      </c>
      <c r="B762" s="1034"/>
      <c r="C762" s="1034"/>
      <c r="D762" s="1034"/>
      <c r="E762" s="1034"/>
      <c r="F762" s="1034"/>
      <c r="G762" s="1034"/>
    </row>
    <row r="763" spans="1:11">
      <c r="A763" s="264"/>
      <c r="B763" s="697"/>
      <c r="C763" s="275"/>
      <c r="D763" s="280"/>
      <c r="E763" s="280"/>
      <c r="F763" s="280"/>
      <c r="G763" s="280"/>
    </row>
    <row r="764" spans="1:11">
      <c r="A764" s="138"/>
      <c r="B764" s="1036" t="s">
        <v>1102</v>
      </c>
      <c r="C764" s="1036"/>
      <c r="D764" s="1036"/>
      <c r="E764" s="1036"/>
      <c r="F764" s="1036"/>
      <c r="G764" s="280"/>
    </row>
    <row r="765" spans="1:11">
      <c r="A765" s="23"/>
      <c r="B765" s="699"/>
      <c r="G765" s="280"/>
    </row>
    <row r="766" spans="1:11">
      <c r="A766" s="1034" t="s">
        <v>486</v>
      </c>
      <c r="B766" s="1034"/>
      <c r="C766" s="1034"/>
      <c r="D766" s="1034"/>
      <c r="E766" s="1034"/>
      <c r="F766" s="1034"/>
      <c r="G766" s="1034"/>
    </row>
    <row r="767" spans="1:11">
      <c r="A767" s="264"/>
      <c r="B767" s="697"/>
      <c r="C767" s="264"/>
      <c r="D767" s="272"/>
      <c r="G767" s="280"/>
    </row>
    <row r="768" spans="1:11">
      <c r="A768" s="138"/>
      <c r="B768" s="980" t="s">
        <v>484</v>
      </c>
      <c r="C768" s="980"/>
      <c r="D768" s="980"/>
      <c r="E768" s="980"/>
      <c r="F768" s="980"/>
      <c r="G768" s="280"/>
    </row>
    <row r="769" spans="1:7" ht="14.25">
      <c r="A769" s="270"/>
      <c r="B769" s="270"/>
      <c r="D769" s="138"/>
      <c r="E769" s="138"/>
      <c r="F769" s="280"/>
      <c r="G769" s="280"/>
    </row>
    <row r="770" spans="1:7">
      <c r="A770" s="1034" t="s">
        <v>487</v>
      </c>
      <c r="B770" s="1034"/>
      <c r="C770" s="1034"/>
      <c r="D770" s="1034"/>
      <c r="E770" s="1034"/>
      <c r="F770" s="1034"/>
      <c r="G770" s="1034"/>
    </row>
    <row r="771" spans="1:7">
      <c r="C771" s="269"/>
      <c r="D771" s="268"/>
      <c r="E771" s="138"/>
      <c r="F771" s="280"/>
      <c r="G771" s="280"/>
    </row>
    <row r="772" spans="1:7">
      <c r="A772" s="138"/>
      <c r="B772" s="980" t="s">
        <v>484</v>
      </c>
      <c r="C772" s="980"/>
      <c r="D772" s="980"/>
      <c r="E772" s="980"/>
      <c r="F772" s="980"/>
      <c r="G772" s="280"/>
    </row>
    <row r="773" spans="1:7">
      <c r="A773" s="138"/>
      <c r="B773" s="138"/>
      <c r="C773" s="275"/>
      <c r="D773" s="280"/>
      <c r="E773" s="280"/>
      <c r="F773" s="280"/>
      <c r="G773" s="280"/>
    </row>
    <row r="774" spans="1:7">
      <c r="A774" s="1034" t="s">
        <v>488</v>
      </c>
      <c r="B774" s="1034"/>
      <c r="C774" s="1034"/>
      <c r="D774" s="1034"/>
      <c r="E774" s="1034"/>
      <c r="F774" s="1034"/>
      <c r="G774" s="1034"/>
    </row>
    <row r="775" spans="1:7">
      <c r="A775" s="138"/>
      <c r="B775" s="138"/>
    </row>
    <row r="776" spans="1:7">
      <c r="A776" s="138"/>
      <c r="B776" s="980" t="s">
        <v>484</v>
      </c>
      <c r="C776" s="980"/>
      <c r="D776" s="980"/>
      <c r="E776" s="980"/>
      <c r="F776" s="980"/>
    </row>
    <row r="777" spans="1:7">
      <c r="A777" s="275"/>
      <c r="B777" s="275"/>
      <c r="C777" s="275"/>
      <c r="D777" s="267"/>
      <c r="F777" s="280"/>
    </row>
    <row r="778" spans="1:7">
      <c r="A778" s="1034" t="s">
        <v>489</v>
      </c>
      <c r="B778" s="1034"/>
      <c r="C778" s="1034"/>
      <c r="D778" s="1034"/>
      <c r="E778" s="1034"/>
      <c r="F778" s="1034"/>
      <c r="G778" s="1034"/>
    </row>
    <row r="779" spans="1:7">
      <c r="A779" s="138"/>
      <c r="B779" s="138"/>
    </row>
    <row r="780" spans="1:7">
      <c r="A780" s="138"/>
      <c r="B780" s="980" t="s">
        <v>484</v>
      </c>
      <c r="C780" s="980"/>
      <c r="D780" s="980"/>
      <c r="E780" s="980"/>
      <c r="F780" s="980"/>
    </row>
    <row r="781" spans="1:7">
      <c r="A781" s="275"/>
      <c r="B781" s="275"/>
      <c r="C781" s="275"/>
      <c r="D781" s="267"/>
      <c r="F781" s="280"/>
    </row>
    <row r="782" spans="1:7">
      <c r="A782" s="1034" t="s">
        <v>490</v>
      </c>
      <c r="B782" s="1034"/>
      <c r="C782" s="1034"/>
      <c r="D782" s="1034"/>
      <c r="E782" s="1034"/>
      <c r="F782" s="1034"/>
      <c r="G782" s="1034"/>
    </row>
    <row r="783" spans="1:7">
      <c r="A783" s="138"/>
      <c r="B783" s="138"/>
    </row>
    <row r="784" spans="1:7">
      <c r="A784" s="138"/>
      <c r="B784" s="980" t="s">
        <v>484</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484</v>
      </c>
      <c r="C788" s="980"/>
      <c r="D788" s="980"/>
      <c r="E788" s="980"/>
      <c r="F788" s="980"/>
    </row>
    <row r="789" spans="1:7">
      <c r="A789" s="138"/>
      <c r="B789" s="138"/>
      <c r="D789" s="267"/>
    </row>
    <row r="790" spans="1:7">
      <c r="A790" s="1034" t="s">
        <v>968</v>
      </c>
      <c r="B790" s="1034"/>
      <c r="C790" s="1034"/>
      <c r="D790" s="1034"/>
      <c r="E790" s="1034"/>
      <c r="F790" s="1034"/>
      <c r="G790" s="1034"/>
    </row>
    <row r="791" spans="1:7">
      <c r="A791" s="138"/>
      <c r="B791" s="138"/>
    </row>
    <row r="792" spans="1:7">
      <c r="A792" s="138"/>
      <c r="B792" s="980" t="s">
        <v>484</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1473</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1559</v>
      </c>
      <c r="B4" s="1049"/>
      <c r="C4" s="1049"/>
      <c r="D4" s="1049"/>
      <c r="E4" s="1049"/>
      <c r="F4" s="1049"/>
      <c r="G4" s="1049"/>
      <c r="H4" s="1049"/>
      <c r="I4" s="1049"/>
      <c r="J4" s="1049"/>
    </row>
    <row r="5" spans="1:10" ht="12.75"/>
    <row r="6" spans="1:10" ht="12.75">
      <c r="A6" s="1045" t="s">
        <v>1598</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1528</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71" t="s">
        <v>1132</v>
      </c>
      <c r="B76" s="971"/>
      <c r="C76" s="971"/>
      <c r="D76" s="971"/>
      <c r="E76" s="971"/>
    </row>
    <row r="77" spans="1:9" ht="12.75">
      <c r="A77" s="971" t="s">
        <v>1439</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154"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1560</v>
      </c>
      <c r="B2" s="1060"/>
      <c r="C2" s="1061"/>
      <c r="D2" s="1061"/>
      <c r="E2" s="1061"/>
      <c r="F2" s="1061"/>
      <c r="G2" s="1061"/>
    </row>
    <row r="3" spans="1:9">
      <c r="A3" s="1068" t="s">
        <v>1563</v>
      </c>
      <c r="B3" s="1068"/>
      <c r="C3" s="1069"/>
      <c r="D3" s="1069"/>
      <c r="E3" s="1069"/>
      <c r="F3" s="1069"/>
      <c r="G3" s="1069"/>
      <c r="I3" s="717" t="s">
        <v>1199</v>
      </c>
    </row>
    <row r="4" spans="1:9">
      <c r="A4" s="1064" t="s">
        <v>1562</v>
      </c>
      <c r="B4" s="1064"/>
      <c r="C4" s="1070"/>
      <c r="D4" s="1070"/>
      <c r="E4" s="1070"/>
      <c r="F4" s="1070"/>
      <c r="G4" s="1070"/>
      <c r="I4" s="717"/>
    </row>
    <row r="5" spans="1:9" s="816" customFormat="1">
      <c r="A5" s="1064"/>
      <c r="B5" s="1064"/>
      <c r="C5" s="1065"/>
      <c r="D5" s="1065"/>
      <c r="E5" s="1065"/>
      <c r="F5" s="1065"/>
      <c r="G5" s="1065"/>
      <c r="I5" s="717" t="s">
        <v>1200</v>
      </c>
    </row>
    <row r="6" spans="1:9" s="816" customFormat="1">
      <c r="A6" s="1062" t="s">
        <v>1295</v>
      </c>
      <c r="B6" s="1062"/>
      <c r="C6" s="1063"/>
      <c r="D6" s="1063"/>
      <c r="E6" s="1063"/>
      <c r="F6" s="1063"/>
      <c r="G6" s="1063"/>
    </row>
    <row r="7" spans="1:9" s="816" customFormat="1">
      <c r="A7" s="1062" t="s">
        <v>1296</v>
      </c>
      <c r="B7" s="1062"/>
      <c r="C7" s="1063"/>
      <c r="D7" s="1063"/>
      <c r="E7" s="1063"/>
      <c r="F7" s="1063"/>
      <c r="G7" s="1063"/>
    </row>
    <row r="8" spans="1:9">
      <c r="A8" s="817"/>
      <c r="B8" s="817"/>
      <c r="C8" s="818"/>
      <c r="D8" s="818"/>
      <c r="E8" s="818"/>
      <c r="F8" s="818"/>
    </row>
    <row r="9" spans="1:9">
      <c r="A9" s="1021" t="s">
        <v>1298</v>
      </c>
      <c r="B9" s="1021"/>
      <c r="C9" s="1021"/>
      <c r="D9" s="1021"/>
      <c r="E9" s="1021"/>
      <c r="F9" s="1021"/>
      <c r="G9" s="1021"/>
    </row>
    <row r="10" spans="1:9">
      <c r="A10" s="818"/>
      <c r="B10" s="818"/>
      <c r="E10" s="819"/>
    </row>
    <row r="11" spans="1:9" ht="13.7" customHeight="1">
      <c r="C11" s="818"/>
      <c r="D11" s="1087" t="s">
        <v>1297</v>
      </c>
      <c r="E11" s="1087"/>
      <c r="F11" s="1087"/>
    </row>
    <row r="12" spans="1:9">
      <c r="C12" s="818"/>
      <c r="D12" s="1087"/>
      <c r="E12" s="1087"/>
      <c r="F12" s="1087"/>
    </row>
    <row r="13" spans="1:9">
      <c r="A13" s="820"/>
      <c r="B13" s="820"/>
      <c r="C13" s="820"/>
      <c r="D13" s="1005" t="s">
        <v>1280</v>
      </c>
      <c r="E13" s="1005"/>
      <c r="F13" s="1005"/>
    </row>
    <row r="14" spans="1:9">
      <c r="A14" s="820"/>
      <c r="B14" s="820"/>
      <c r="C14" s="820"/>
      <c r="D14" s="821"/>
    </row>
    <row r="15" spans="1:9" ht="14.25">
      <c r="A15" s="822"/>
      <c r="B15" s="823" t="s">
        <v>329</v>
      </c>
      <c r="C15" s="824"/>
      <c r="D15" s="1003" t="s">
        <v>1281</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329</v>
      </c>
      <c r="D19" s="1029" t="s">
        <v>1282</v>
      </c>
      <c r="E19" s="1029"/>
      <c r="F19" s="1029"/>
    </row>
    <row r="20" spans="1:7" ht="14.25">
      <c r="A20" s="822"/>
      <c r="B20" s="822"/>
      <c r="D20" s="825"/>
    </row>
    <row r="21" spans="1:7" ht="14.25">
      <c r="A21" s="822"/>
      <c r="B21" s="823" t="s">
        <v>329</v>
      </c>
      <c r="D21" s="1003" t="s">
        <v>1283</v>
      </c>
      <c r="E21" s="1003"/>
      <c r="F21" s="1003"/>
    </row>
    <row r="22" spans="1:7" ht="14.25">
      <c r="A22" s="822"/>
      <c r="B22" s="822"/>
      <c r="D22" s="1003"/>
      <c r="E22" s="1003"/>
      <c r="F22" s="1003"/>
    </row>
    <row r="23" spans="1:7"/>
    <row r="24" spans="1:7" ht="14.25">
      <c r="A24" s="822"/>
      <c r="B24" s="823" t="s">
        <v>329</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1004" t="s">
        <v>1285</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329</v>
      </c>
      <c r="D33" s="1004" t="s">
        <v>1474</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329</v>
      </c>
      <c r="D38" s="1004" t="s">
        <v>1287</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329</v>
      </c>
      <c r="D44" s="1004" t="s">
        <v>1288</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329</v>
      </c>
      <c r="D49" s="1004" t="s">
        <v>1289</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329</v>
      </c>
      <c r="C53" s="831"/>
      <c r="D53" s="1004" t="s">
        <v>1290</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329</v>
      </c>
      <c r="D56" s="1004" t="s">
        <v>1291</v>
      </c>
      <c r="E56" s="1004"/>
      <c r="F56" s="1004"/>
    </row>
    <row r="57" spans="1:7">
      <c r="D57" s="1004"/>
      <c r="E57" s="1004"/>
      <c r="F57" s="1004"/>
    </row>
    <row r="58" spans="1:7">
      <c r="D58" s="1004"/>
      <c r="E58" s="1004"/>
      <c r="F58" s="1004"/>
    </row>
    <row r="59" spans="1:7">
      <c r="D59" s="717"/>
    </row>
    <row r="60" spans="1:7" ht="14.25">
      <c r="A60" s="822"/>
      <c r="B60" s="823" t="s">
        <v>329</v>
      </c>
      <c r="D60" s="1004" t="s">
        <v>1292</v>
      </c>
      <c r="E60" s="1004"/>
      <c r="F60" s="1004"/>
    </row>
    <row r="61" spans="1:7">
      <c r="D61" s="1004"/>
      <c r="E61" s="1004"/>
      <c r="F61" s="1004"/>
    </row>
    <row r="62" spans="1:7"/>
    <row r="63" spans="1:7" ht="14.25">
      <c r="A63" s="822"/>
      <c r="B63" s="823" t="s">
        <v>329</v>
      </c>
      <c r="D63" s="1004" t="s">
        <v>1293</v>
      </c>
      <c r="E63" s="1004"/>
      <c r="F63" s="1004"/>
    </row>
    <row r="64" spans="1:7">
      <c r="D64" s="1004"/>
      <c r="E64" s="1004"/>
      <c r="F64" s="1004"/>
    </row>
    <row r="65" spans="1:7">
      <c r="D65" s="1004"/>
      <c r="E65" s="1004"/>
      <c r="F65" s="1004"/>
    </row>
    <row r="66" spans="1:7">
      <c r="D66" s="815"/>
    </row>
    <row r="67" spans="1:7" ht="14.25">
      <c r="A67" s="822"/>
      <c r="B67" s="823" t="s">
        <v>329</v>
      </c>
      <c r="D67" s="1003" t="s">
        <v>1294</v>
      </c>
      <c r="E67" s="1003"/>
      <c r="F67" s="1003"/>
    </row>
    <row r="68" spans="1:7">
      <c r="D68" s="1003"/>
      <c r="E68" s="1003"/>
      <c r="F68" s="1003"/>
    </row>
    <row r="69" spans="1:7" ht="14.25">
      <c r="A69" s="822"/>
      <c r="B69" s="822"/>
      <c r="D69" s="825"/>
    </row>
    <row r="70" spans="1:7">
      <c r="A70" s="985" t="s">
        <v>1201</v>
      </c>
      <c r="B70" s="985"/>
      <c r="C70" s="985"/>
      <c r="D70" s="985"/>
      <c r="E70" s="985"/>
      <c r="F70" s="985"/>
      <c r="G70" s="985"/>
    </row>
    <row r="71" spans="1:7"/>
    <row r="72" spans="1:7">
      <c r="C72" s="832"/>
      <c r="D72" s="1074" t="s">
        <v>1299</v>
      </c>
      <c r="E72" s="1074"/>
      <c r="F72" s="1074"/>
    </row>
    <row r="73" spans="1:7">
      <c r="A73" s="825"/>
      <c r="B73" s="825"/>
      <c r="D73" s="1003" t="s">
        <v>1326</v>
      </c>
      <c r="E73" s="1003"/>
      <c r="F73" s="1003"/>
    </row>
    <row r="74" spans="1:7">
      <c r="A74" s="825"/>
      <c r="B74" s="825"/>
    </row>
    <row r="75" spans="1:7" ht="13.7" customHeight="1">
      <c r="A75" s="822"/>
      <c r="B75" s="823" t="s">
        <v>329</v>
      </c>
      <c r="D75" s="1003" t="s">
        <v>1527</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329</v>
      </c>
      <c r="C84" s="813"/>
      <c r="D84" s="1003" t="s">
        <v>1446</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329</v>
      </c>
      <c r="D100" s="1023" t="s">
        <v>1301</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1303</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03" t="s">
        <v>1304</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329</v>
      </c>
      <c r="C118" s="829"/>
      <c r="D118" s="1004" t="s">
        <v>1305</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1413</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1456</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329</v>
      </c>
      <c r="C151" s="839"/>
      <c r="D151" s="977" t="s">
        <v>1487</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3" t="s">
        <v>1307</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1308</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1311</v>
      </c>
      <c r="E170" s="1009"/>
      <c r="F170" s="1009"/>
      <c r="G170" s="844"/>
    </row>
    <row r="171" spans="1:7">
      <c r="A171" s="842"/>
      <c r="B171" s="842"/>
      <c r="C171" s="843"/>
      <c r="D171" s="1009"/>
      <c r="E171" s="1009"/>
      <c r="F171" s="1009"/>
      <c r="G171" s="844"/>
    </row>
    <row r="172" spans="1:7">
      <c r="A172" s="842"/>
      <c r="B172" s="842"/>
      <c r="C172" s="843"/>
      <c r="D172" s="1010" t="s">
        <v>1447</v>
      </c>
      <c r="E172" s="1010"/>
      <c r="F172" s="1010"/>
      <c r="G172" s="844"/>
    </row>
    <row r="173" spans="1:7" ht="12" customHeight="1">
      <c r="A173" s="842"/>
      <c r="B173" s="842"/>
      <c r="C173" s="843"/>
      <c r="D173" s="844"/>
      <c r="E173" s="845"/>
      <c r="F173" s="844"/>
      <c r="G173" s="844"/>
    </row>
    <row r="174" spans="1:7" ht="14.25">
      <c r="A174" s="822"/>
      <c r="B174" s="823" t="s">
        <v>329</v>
      </c>
      <c r="C174" s="843"/>
      <c r="D174" s="1003" t="s">
        <v>1310</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1219</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329</v>
      </c>
      <c r="C182" s="831"/>
      <c r="D182" s="1003" t="s">
        <v>1476</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66" t="s">
        <v>222</v>
      </c>
      <c r="E189" s="1066"/>
      <c r="F189" s="1066"/>
    </row>
    <row r="190" spans="1:7">
      <c r="A190" s="818"/>
      <c r="B190" s="818"/>
      <c r="C190" s="818"/>
      <c r="D190" s="1080" t="s">
        <v>1333</v>
      </c>
      <c r="E190" s="1080"/>
      <c r="F190" s="1080"/>
    </row>
    <row r="191" spans="1:7" ht="12" customHeight="1">
      <c r="A191" s="841"/>
      <c r="B191" s="841"/>
      <c r="C191" s="841"/>
    </row>
    <row r="192" spans="1:7" ht="13.7" customHeight="1">
      <c r="A192" s="841"/>
      <c r="C192" s="841"/>
      <c r="D192" s="1002" t="s">
        <v>593</v>
      </c>
      <c r="E192" s="1002"/>
      <c r="F192" s="1002"/>
    </row>
    <row r="193" spans="1:6" ht="14.25">
      <c r="A193" s="822"/>
      <c r="B193" s="823" t="s">
        <v>329</v>
      </c>
      <c r="D193" s="1003" t="s">
        <v>1328</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1329</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329</v>
      </c>
      <c r="D203" s="1075" t="s">
        <v>1330</v>
      </c>
      <c r="E203" s="1075"/>
      <c r="F203" s="1075"/>
    </row>
    <row r="204" spans="1:6" ht="14.25">
      <c r="A204" s="822"/>
      <c r="B204" s="822"/>
      <c r="D204" s="1075"/>
      <c r="E204" s="1075"/>
      <c r="F204" s="107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75" t="s">
        <v>1332</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329</v>
      </c>
      <c r="D213" s="1003" t="s">
        <v>1331</v>
      </c>
      <c r="E213" s="1003"/>
      <c r="F213" s="1003"/>
    </row>
    <row r="214" spans="1:7" ht="14.25">
      <c r="A214" s="822"/>
      <c r="B214" s="822"/>
      <c r="D214" s="1003"/>
      <c r="E214" s="1003"/>
      <c r="F214" s="1003"/>
    </row>
    <row r="215" spans="1:7">
      <c r="D215" s="846"/>
    </row>
    <row r="216" spans="1:7">
      <c r="A216" s="985" t="s">
        <v>1205</v>
      </c>
      <c r="B216" s="985"/>
      <c r="C216" s="985"/>
      <c r="D216" s="985"/>
      <c r="E216" s="985"/>
      <c r="F216" s="985"/>
      <c r="G216" s="985"/>
    </row>
    <row r="217" spans="1:7">
      <c r="D217" s="846"/>
    </row>
    <row r="218" spans="1:7">
      <c r="C218" s="832"/>
      <c r="D218" s="1002" t="s">
        <v>1334</v>
      </c>
      <c r="E218" s="1002"/>
      <c r="F218" s="1002"/>
    </row>
    <row r="219" spans="1:7">
      <c r="A219" s="818"/>
      <c r="B219" s="818"/>
      <c r="C219" s="818"/>
      <c r="D219" s="825"/>
      <c r="E219" s="825"/>
      <c r="F219" s="825"/>
    </row>
    <row r="220" spans="1:7">
      <c r="A220" s="820"/>
      <c r="B220" s="820"/>
      <c r="C220" s="820"/>
      <c r="D220" s="1002" t="s">
        <v>285</v>
      </c>
      <c r="E220" s="1002"/>
      <c r="F220" s="1002"/>
    </row>
    <row r="221" spans="1:7" ht="14.45" customHeight="1">
      <c r="A221" s="822"/>
      <c r="B221" s="823" t="s">
        <v>329</v>
      </c>
      <c r="D221" s="1077" t="s">
        <v>1448</v>
      </c>
      <c r="E221" s="1077"/>
      <c r="F221" s="1077"/>
    </row>
    <row r="222" spans="1:7">
      <c r="D222" s="1077"/>
      <c r="E222" s="1077"/>
      <c r="F222" s="1077"/>
    </row>
    <row r="223" spans="1:7">
      <c r="D223" s="1080" t="s">
        <v>984</v>
      </c>
      <c r="E223" s="1080"/>
      <c r="F223" s="1080"/>
    </row>
    <row r="224" spans="1:7">
      <c r="D224" s="825"/>
      <c r="E224" s="825"/>
      <c r="F224" s="825"/>
    </row>
    <row r="225" spans="1:7" ht="14.45" customHeight="1">
      <c r="A225" s="822"/>
      <c r="B225" s="823" t="s">
        <v>329</v>
      </c>
      <c r="D225" s="1075" t="s">
        <v>1449</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329</v>
      </c>
      <c r="D231" s="1003" t="s">
        <v>1337</v>
      </c>
      <c r="E231" s="1003"/>
      <c r="F231" s="1003"/>
    </row>
    <row r="232" spans="1:7">
      <c r="D232" s="1003"/>
      <c r="E232" s="1003"/>
      <c r="F232" s="1003"/>
    </row>
    <row r="233" spans="1:7">
      <c r="D233" s="1003"/>
      <c r="E233" s="1003"/>
      <c r="F233" s="1003"/>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74" t="s">
        <v>1339</v>
      </c>
      <c r="E237" s="1074"/>
      <c r="F237" s="1074"/>
    </row>
    <row r="238" spans="1:7">
      <c r="C238" s="818"/>
      <c r="D238" s="1074"/>
      <c r="E238" s="1074"/>
      <c r="F238" s="1074"/>
    </row>
    <row r="239" spans="1:7">
      <c r="A239" s="820"/>
      <c r="B239" s="820"/>
      <c r="C239" s="820"/>
      <c r="D239" s="646"/>
      <c r="E239" s="696"/>
      <c r="F239" s="696"/>
    </row>
    <row r="240" spans="1:7">
      <c r="C240" s="820"/>
      <c r="D240" s="1002" t="s">
        <v>223</v>
      </c>
      <c r="E240" s="1002"/>
      <c r="F240" s="1002"/>
    </row>
    <row r="241" spans="1:7" ht="15.75" customHeight="1">
      <c r="A241" s="822"/>
      <c r="B241" s="822"/>
      <c r="D241" s="1058" t="s">
        <v>1340</v>
      </c>
      <c r="E241" s="1058"/>
      <c r="F241" s="1058"/>
    </row>
    <row r="242" spans="1:7">
      <c r="E242" s="825"/>
      <c r="F242" s="825"/>
    </row>
    <row r="243" spans="1:7" ht="14.25">
      <c r="A243" s="822"/>
      <c r="B243" s="823" t="s">
        <v>329</v>
      </c>
      <c r="D243" s="1003" t="s">
        <v>1341</v>
      </c>
      <c r="E243" s="1003"/>
      <c r="F243" s="1003"/>
    </row>
    <row r="244" spans="1:7" ht="14.25">
      <c r="A244" s="822"/>
      <c r="B244" s="822"/>
      <c r="D244" s="1003"/>
      <c r="E244" s="1003"/>
      <c r="F244" s="1003"/>
    </row>
    <row r="245" spans="1:7">
      <c r="D245" s="825"/>
      <c r="E245" s="825"/>
      <c r="F245" s="825"/>
    </row>
    <row r="246" spans="1:7" ht="14.25">
      <c r="A246" s="822"/>
      <c r="B246" s="823" t="s">
        <v>329</v>
      </c>
      <c r="D246" s="1075" t="s">
        <v>1342</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329</v>
      </c>
      <c r="D250" s="1003" t="s">
        <v>1343</v>
      </c>
      <c r="E250" s="1003"/>
      <c r="F250" s="1003"/>
    </row>
    <row r="251" spans="1:7" ht="14.25">
      <c r="A251" s="822"/>
      <c r="B251" s="822"/>
      <c r="D251" s="1003"/>
      <c r="E251" s="1003"/>
      <c r="F251" s="1003"/>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1002" t="s">
        <v>736</v>
      </c>
      <c r="E255" s="1002"/>
      <c r="F255" s="1002"/>
    </row>
    <row r="256" spans="1:7">
      <c r="C256" s="841"/>
      <c r="D256" s="1005" t="s">
        <v>1344</v>
      </c>
      <c r="E256" s="1005"/>
      <c r="F256" s="1005"/>
    </row>
    <row r="257" spans="1:7">
      <c r="C257" s="841"/>
      <c r="D257" s="848"/>
    </row>
    <row r="258" spans="1:7">
      <c r="A258" s="826"/>
      <c r="B258" s="823" t="s">
        <v>329</v>
      </c>
      <c r="D258" s="1005" t="s">
        <v>1345</v>
      </c>
      <c r="E258" s="1005"/>
      <c r="F258" s="1005"/>
    </row>
    <row r="259" spans="1:7" s="816" customFormat="1" ht="14.25">
      <c r="A259" s="830"/>
      <c r="B259" s="830"/>
      <c r="C259" s="826"/>
      <c r="D259" s="849"/>
      <c r="E259" s="850"/>
      <c r="F259" s="850"/>
      <c r="G259" s="827"/>
    </row>
    <row r="260" spans="1:7" s="816" customFormat="1" ht="13.7" customHeight="1">
      <c r="A260" s="826"/>
      <c r="B260" s="823" t="s">
        <v>329</v>
      </c>
      <c r="C260" s="826"/>
      <c r="D260" s="1084" t="s">
        <v>1481</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329</v>
      </c>
      <c r="C266" s="826"/>
      <c r="D266" s="1084" t="s">
        <v>1347</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329</v>
      </c>
      <c r="D269" s="1005" t="s">
        <v>1348</v>
      </c>
      <c r="E269" s="1005"/>
      <c r="F269" s="1005"/>
    </row>
    <row r="270" spans="1:7">
      <c r="E270" s="825"/>
      <c r="F270" s="825"/>
    </row>
    <row r="271" spans="1:7" ht="14.25">
      <c r="A271" s="822"/>
      <c r="B271" s="823" t="s">
        <v>329</v>
      </c>
      <c r="D271" s="1075" t="s">
        <v>1510</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329</v>
      </c>
      <c r="D287" s="1075" t="s">
        <v>1350</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329</v>
      </c>
      <c r="D297" s="1003" t="s">
        <v>1581</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1093</v>
      </c>
      <c r="E304" s="1076"/>
      <c r="F304" s="1076"/>
      <c r="G304" s="815"/>
    </row>
    <row r="305" spans="1:7" ht="13.5" thickTop="1">
      <c r="D305" s="1085" t="s">
        <v>1352</v>
      </c>
      <c r="E305" s="1085"/>
      <c r="F305" s="1085"/>
      <c r="G305" s="815"/>
    </row>
    <row r="306" spans="1:7">
      <c r="A306" s="839"/>
      <c r="B306" s="839"/>
      <c r="C306" s="839"/>
      <c r="D306" s="811"/>
      <c r="E306" s="811"/>
      <c r="F306" s="825"/>
      <c r="G306" s="815"/>
    </row>
    <row r="307" spans="1:7" ht="14.25">
      <c r="A307" s="822"/>
      <c r="B307" s="823" t="s">
        <v>329</v>
      </c>
      <c r="C307" s="839"/>
      <c r="D307" s="999" t="s">
        <v>1353</v>
      </c>
      <c r="E307" s="999"/>
      <c r="F307" s="999"/>
      <c r="G307" s="815"/>
    </row>
    <row r="308" spans="1:7">
      <c r="A308" s="839"/>
      <c r="B308" s="839"/>
      <c r="C308" s="839"/>
      <c r="D308" s="811"/>
      <c r="E308" s="811"/>
      <c r="F308" s="825"/>
      <c r="G308" s="815"/>
    </row>
    <row r="309" spans="1:7">
      <c r="A309" s="839"/>
      <c r="B309" s="823" t="s">
        <v>329</v>
      </c>
      <c r="C309" s="839"/>
      <c r="D309" s="994" t="s">
        <v>1484</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t="s">
        <v>329</v>
      </c>
      <c r="C321" s="839"/>
      <c r="D321" s="1086" t="s">
        <v>1485</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329</v>
      </c>
      <c r="C326" s="839"/>
      <c r="D326" s="992" t="s">
        <v>1355</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1356</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1357</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329</v>
      </c>
      <c r="C359" s="839"/>
      <c r="D359" s="993" t="s">
        <v>1358</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329</v>
      </c>
      <c r="D362" s="993" t="s">
        <v>1604</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329</v>
      </c>
      <c r="C368" s="839"/>
      <c r="D368" s="994" t="s">
        <v>1511</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1582</v>
      </c>
      <c r="E372" s="994"/>
      <c r="F372" s="994"/>
      <c r="G372" s="815"/>
    </row>
    <row r="373" spans="1:7">
      <c r="D373" s="825"/>
      <c r="E373" s="825"/>
      <c r="F373" s="825"/>
      <c r="G373" s="815"/>
    </row>
    <row r="374" spans="1:7" ht="14.25">
      <c r="A374" s="822"/>
      <c r="B374" s="823" t="s">
        <v>329</v>
      </c>
      <c r="C374" s="854"/>
      <c r="D374" s="1003" t="s">
        <v>1360</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329</v>
      </c>
      <c r="C406" s="854"/>
      <c r="D406" s="1005" t="s">
        <v>1361</v>
      </c>
      <c r="E406" s="1005"/>
      <c r="F406" s="1005"/>
    </row>
    <row r="407" spans="1:7">
      <c r="D407" s="995" t="s">
        <v>1508</v>
      </c>
      <c r="E407" s="995"/>
      <c r="F407" s="995"/>
    </row>
    <row r="408" spans="1:7">
      <c r="D408" s="1075" t="s">
        <v>1507</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329</v>
      </c>
      <c r="C412" s="854"/>
      <c r="D412" s="1003" t="s">
        <v>1363</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329</v>
      </c>
      <c r="C416" s="822"/>
      <c r="D416" s="1075" t="s">
        <v>1450</v>
      </c>
      <c r="E416" s="1075"/>
      <c r="F416" s="1075"/>
      <c r="G416" s="815"/>
    </row>
    <row r="417" spans="1:7">
      <c r="D417" s="1075"/>
      <c r="E417" s="1075"/>
      <c r="F417" s="1075"/>
      <c r="G417" s="815"/>
    </row>
    <row r="418" spans="1:7">
      <c r="D418" s="825"/>
      <c r="E418" s="825"/>
      <c r="F418" s="825"/>
      <c r="G418" s="815"/>
    </row>
    <row r="419" spans="1:7" ht="14.25">
      <c r="B419" s="823" t="s">
        <v>329</v>
      </c>
      <c r="C419" s="822"/>
      <c r="D419" s="1075" t="s">
        <v>1365</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329</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329</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329</v>
      </c>
      <c r="C430" s="815"/>
      <c r="D430" s="1075"/>
      <c r="E430" s="1075"/>
      <c r="F430" s="1075"/>
      <c r="G430" s="815"/>
    </row>
    <row r="431" spans="1:7">
      <c r="A431" s="815"/>
      <c r="B431" s="815"/>
      <c r="C431" s="815"/>
      <c r="D431" s="1075"/>
      <c r="E431" s="1075"/>
      <c r="F431" s="1075"/>
      <c r="G431" s="815"/>
    </row>
    <row r="432" spans="1:7">
      <c r="A432" s="815"/>
      <c r="B432" s="823" t="s">
        <v>329</v>
      </c>
      <c r="C432" s="815"/>
      <c r="D432" s="1075"/>
      <c r="E432" s="1075"/>
      <c r="F432" s="1075"/>
      <c r="G432" s="815"/>
    </row>
    <row r="433" spans="1:7">
      <c r="A433" s="815"/>
      <c r="B433" s="815"/>
      <c r="C433" s="815"/>
      <c r="D433" s="857"/>
      <c r="E433" s="857"/>
      <c r="F433" s="857"/>
      <c r="G433" s="815"/>
    </row>
    <row r="434" spans="1:7">
      <c r="A434" s="815"/>
      <c r="B434" s="823" t="s">
        <v>329</v>
      </c>
      <c r="C434" s="815"/>
      <c r="D434" s="1075" t="s">
        <v>1366</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329</v>
      </c>
      <c r="D440" s="1080" t="s">
        <v>1367</v>
      </c>
      <c r="E440" s="1080"/>
      <c r="F440" s="1080"/>
    </row>
    <row r="441" spans="1:7">
      <c r="A441" s="825"/>
      <c r="B441" s="825"/>
    </row>
    <row r="442" spans="1:7">
      <c r="A442" s="985" t="s">
        <v>1208</v>
      </c>
      <c r="B442" s="985"/>
      <c r="C442" s="985"/>
      <c r="D442" s="985"/>
      <c r="E442" s="985"/>
      <c r="F442" s="985"/>
      <c r="G442" s="985"/>
    </row>
    <row r="443" spans="1:7">
      <c r="A443" s="825"/>
      <c r="B443" s="825"/>
    </row>
    <row r="444" spans="1:7">
      <c r="D444" s="981" t="s">
        <v>978</v>
      </c>
      <c r="E444" s="981"/>
      <c r="F444" s="981"/>
    </row>
    <row r="445" spans="1:7" s="816" customFormat="1" ht="14.25">
      <c r="A445" s="830"/>
      <c r="B445" s="830"/>
      <c r="C445" s="826"/>
      <c r="D445" s="982" t="s">
        <v>1368</v>
      </c>
      <c r="E445" s="982"/>
      <c r="F445" s="982"/>
      <c r="G445" s="827"/>
    </row>
    <row r="446" spans="1:7" s="816" customFormat="1" ht="14.25">
      <c r="A446" s="830"/>
      <c r="B446" s="830"/>
      <c r="C446" s="826"/>
      <c r="D446" s="812"/>
      <c r="E446" s="696"/>
      <c r="F446" s="696"/>
      <c r="G446" s="827"/>
    </row>
    <row r="447" spans="1:7" s="816" customFormat="1" ht="14.25">
      <c r="A447" s="822"/>
      <c r="B447" s="823" t="s">
        <v>329</v>
      </c>
      <c r="C447" s="826"/>
      <c r="D447" s="983" t="s">
        <v>1369</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329</v>
      </c>
      <c r="D450" s="984" t="s">
        <v>1583</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329</v>
      </c>
      <c r="D455" s="1005" t="s">
        <v>1372</v>
      </c>
      <c r="E455" s="1005"/>
      <c r="F455" s="1005"/>
      <c r="G455" s="815"/>
    </row>
    <row r="456" spans="1:7" ht="14.25">
      <c r="A456" s="822"/>
      <c r="B456" s="822"/>
      <c r="D456" s="810"/>
      <c r="E456" s="696"/>
      <c r="F456" s="696"/>
      <c r="G456" s="815"/>
    </row>
    <row r="457" spans="1:7" ht="14.25">
      <c r="A457" s="822"/>
      <c r="B457" s="823" t="s">
        <v>329</v>
      </c>
      <c r="D457" s="1003" t="s">
        <v>1373</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329</v>
      </c>
      <c r="D460" s="1005" t="s">
        <v>1374</v>
      </c>
      <c r="E460" s="1005"/>
      <c r="F460" s="100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7" t="s">
        <v>1452</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329</v>
      </c>
      <c r="C471" s="824"/>
      <c r="D471" s="977" t="s">
        <v>1628</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329</v>
      </c>
      <c r="C477" s="824"/>
      <c r="D477" s="977" t="s">
        <v>1246</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7" t="s">
        <v>1244</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329</v>
      </c>
      <c r="C486" s="824"/>
      <c r="D486" s="977" t="s">
        <v>1245</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329</v>
      </c>
      <c r="C496" s="861"/>
      <c r="D496" s="977" t="s">
        <v>1389</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t="s">
        <v>329</v>
      </c>
      <c r="C502" s="824"/>
      <c r="D502" s="1057" t="s">
        <v>1273</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977" t="s">
        <v>1247</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1035" t="s">
        <v>1211</v>
      </c>
      <c r="B513" s="1035"/>
      <c r="C513" s="1035"/>
      <c r="D513" s="1035"/>
      <c r="E513" s="1035"/>
      <c r="F513" s="1035"/>
      <c r="G513" s="1035"/>
    </row>
    <row r="514" spans="1:7">
      <c r="A514" s="825"/>
      <c r="B514" s="825"/>
      <c r="C514" s="854"/>
      <c r="D514" s="825"/>
      <c r="F514" s="825"/>
    </row>
    <row r="515" spans="1:7">
      <c r="C515" s="854"/>
      <c r="D515" s="1002" t="s">
        <v>737</v>
      </c>
      <c r="E515" s="1002"/>
      <c r="F515" s="1002"/>
    </row>
    <row r="516" spans="1:7">
      <c r="C516" s="854"/>
      <c r="D516" s="1005" t="s">
        <v>1268</v>
      </c>
      <c r="E516" s="1005"/>
      <c r="F516" s="1005"/>
    </row>
    <row r="517" spans="1:7">
      <c r="C517" s="854"/>
      <c r="D517" s="810"/>
      <c r="E517" s="810"/>
      <c r="F517" s="810"/>
    </row>
    <row r="518" spans="1:7" ht="13.7" customHeight="1">
      <c r="A518" s="822"/>
      <c r="B518" s="823" t="s">
        <v>329</v>
      </c>
      <c r="C518" s="854"/>
      <c r="D518" s="1005" t="s">
        <v>979</v>
      </c>
      <c r="E518" s="1005"/>
      <c r="F518" s="1005"/>
      <c r="G518" s="815"/>
    </row>
    <row r="519" spans="1:7" ht="13.7" customHeight="1">
      <c r="A519" s="854"/>
      <c r="B519" s="854"/>
      <c r="C519" s="854"/>
      <c r="D519" s="810"/>
      <c r="E519" s="642"/>
      <c r="F519" s="642"/>
      <c r="G519" s="815"/>
    </row>
    <row r="520" spans="1:7" ht="14.25">
      <c r="A520" s="822"/>
      <c r="B520" s="823" t="s">
        <v>329</v>
      </c>
      <c r="C520" s="854"/>
      <c r="D520" s="1003" t="s">
        <v>1269</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329</v>
      </c>
      <c r="C523" s="854"/>
      <c r="D523" s="1003" t="s">
        <v>1270</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329</v>
      </c>
      <c r="C526" s="854"/>
      <c r="D526" s="1003" t="s">
        <v>1271</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329</v>
      </c>
      <c r="C529" s="854"/>
      <c r="D529" s="1003" t="s">
        <v>1272</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329</v>
      </c>
      <c r="C533" s="854"/>
      <c r="D533" s="1057" t="s">
        <v>1390</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03" t="s">
        <v>1274</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329</v>
      </c>
      <c r="C539" s="854"/>
      <c r="D539" s="1005" t="s">
        <v>1275</v>
      </c>
      <c r="E539" s="1005"/>
      <c r="F539" s="1005"/>
      <c r="G539" s="844"/>
    </row>
    <row r="540" spans="1:7">
      <c r="A540" s="841"/>
      <c r="B540" s="841"/>
      <c r="C540" s="854"/>
      <c r="D540" s="1005" t="s">
        <v>905</v>
      </c>
      <c r="E540" s="1005"/>
      <c r="F540" s="1005"/>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329</v>
      </c>
      <c r="C543" s="854"/>
      <c r="D543" s="1089" t="s">
        <v>1277</v>
      </c>
      <c r="E543" s="1089"/>
      <c r="F543" s="1089"/>
      <c r="G543" s="844"/>
    </row>
    <row r="544" spans="1:7">
      <c r="C544" s="854"/>
      <c r="D544" s="1003" t="s">
        <v>1278</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329</v>
      </c>
      <c r="C548" s="854"/>
      <c r="D548" s="1003" t="s">
        <v>1279</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74" t="s">
        <v>225</v>
      </c>
      <c r="E555" s="1074"/>
      <c r="F555" s="1074"/>
      <c r="G555" s="844"/>
    </row>
    <row r="556" spans="1:7">
      <c r="A556" s="820"/>
      <c r="B556" s="820"/>
      <c r="C556" s="820"/>
      <c r="D556" s="1008" t="s">
        <v>1228</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984" t="s">
        <v>1229</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329</v>
      </c>
      <c r="D564" s="984" t="s">
        <v>1230</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329</v>
      </c>
      <c r="D569" s="984" t="s">
        <v>1231</v>
      </c>
      <c r="E569" s="984"/>
      <c r="F569" s="984"/>
      <c r="G569" s="815"/>
    </row>
    <row r="570" spans="1:7">
      <c r="A570" s="841"/>
      <c r="B570" s="841"/>
      <c r="D570" s="984"/>
      <c r="E570" s="984"/>
      <c r="F570" s="984"/>
      <c r="G570" s="815"/>
    </row>
    <row r="571" spans="1:7">
      <c r="A571" s="841"/>
      <c r="B571" s="841"/>
      <c r="D571" s="864"/>
      <c r="G571" s="815"/>
    </row>
    <row r="572" spans="1:7">
      <c r="A572" s="841"/>
      <c r="B572" s="823" t="s">
        <v>329</v>
      </c>
      <c r="D572" s="1008" t="s">
        <v>1232</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5" t="s">
        <v>1213</v>
      </c>
      <c r="B577" s="985"/>
      <c r="C577" s="985"/>
      <c r="D577" s="985"/>
      <c r="E577" s="985"/>
      <c r="F577" s="985"/>
      <c r="G577" s="985"/>
    </row>
    <row r="578" spans="1:7"/>
    <row r="579" spans="1:7">
      <c r="D579" s="1002" t="s">
        <v>1313</v>
      </c>
      <c r="E579" s="1002"/>
      <c r="F579" s="1002"/>
    </row>
    <row r="580" spans="1:7">
      <c r="D580" s="1041" t="s">
        <v>1314</v>
      </c>
      <c r="E580" s="1041"/>
      <c r="F580" s="1041"/>
    </row>
    <row r="581" spans="1:7">
      <c r="D581" s="804"/>
      <c r="E581" s="746"/>
      <c r="F581" s="746"/>
    </row>
    <row r="582" spans="1:7" s="816" customFormat="1" ht="14.25">
      <c r="A582" s="830"/>
      <c r="B582" s="823" t="s">
        <v>329</v>
      </c>
      <c r="C582" s="826"/>
      <c r="D582" s="1004" t="s">
        <v>1315</v>
      </c>
      <c r="E582" s="1004"/>
      <c r="F582" s="1004"/>
      <c r="G582" s="827"/>
    </row>
    <row r="583" spans="1:7">
      <c r="D583" s="1004"/>
      <c r="E583" s="1004"/>
      <c r="F583" s="1004"/>
    </row>
    <row r="584" spans="1:7">
      <c r="D584" s="1004"/>
      <c r="E584" s="1004"/>
      <c r="F584" s="1004"/>
    </row>
    <row r="585" spans="1:7"/>
    <row r="586" spans="1:7">
      <c r="A586" s="985" t="s">
        <v>1214</v>
      </c>
      <c r="B586" s="985"/>
      <c r="C586" s="985"/>
      <c r="D586" s="985"/>
      <c r="E586" s="985"/>
      <c r="F586" s="985"/>
      <c r="G586" s="985"/>
    </row>
    <row r="587" spans="1:7">
      <c r="A587" s="825"/>
      <c r="B587" s="825"/>
      <c r="G587" s="844"/>
    </row>
    <row r="588" spans="1:7">
      <c r="A588" s="865"/>
      <c r="B588" s="865"/>
      <c r="C588" s="818"/>
      <c r="D588" s="1042" t="s">
        <v>1316</v>
      </c>
      <c r="E588" s="1042"/>
      <c r="F588" s="1042"/>
      <c r="G588" s="844"/>
    </row>
    <row r="589" spans="1:7">
      <c r="A589" s="865"/>
      <c r="B589" s="865"/>
      <c r="C589" s="818"/>
      <c r="D589" s="1042"/>
      <c r="E589" s="1042"/>
      <c r="F589" s="1042"/>
      <c r="G589" s="844"/>
    </row>
    <row r="590" spans="1:7">
      <c r="C590" s="820"/>
      <c r="D590" s="1041" t="s">
        <v>1317</v>
      </c>
      <c r="E590" s="1041"/>
      <c r="F590" s="1041"/>
      <c r="G590" s="844"/>
    </row>
    <row r="591" spans="1:7">
      <c r="C591" s="820"/>
      <c r="D591" s="804"/>
      <c r="E591" s="804"/>
      <c r="F591" s="804"/>
      <c r="G591" s="844"/>
    </row>
    <row r="592" spans="1:7">
      <c r="A592" s="841"/>
      <c r="B592" s="823" t="s">
        <v>329</v>
      </c>
      <c r="D592" s="1041" t="s">
        <v>467</v>
      </c>
      <c r="E592" s="1041"/>
      <c r="F592" s="1041"/>
      <c r="G592" s="844"/>
    </row>
    <row r="593" spans="1:7">
      <c r="C593" s="866"/>
      <c r="E593" s="815"/>
      <c r="G593" s="844"/>
    </row>
    <row r="594" spans="1:7">
      <c r="A594" s="841"/>
      <c r="B594" s="823" t="s">
        <v>329</v>
      </c>
      <c r="D594" s="1001" t="s">
        <v>1318</v>
      </c>
      <c r="E594" s="1001"/>
      <c r="F594" s="1001"/>
      <c r="G594" s="844"/>
    </row>
    <row r="595" spans="1:7">
      <c r="D595" s="1001"/>
      <c r="E595" s="1001"/>
      <c r="F595" s="1001"/>
      <c r="G595" s="844"/>
    </row>
    <row r="596" spans="1:7">
      <c r="D596" s="815"/>
      <c r="G596" s="844"/>
    </row>
    <row r="597" spans="1:7">
      <c r="B597" s="823" t="s">
        <v>329</v>
      </c>
      <c r="D597" s="1001" t="s">
        <v>1319</v>
      </c>
      <c r="E597" s="1001"/>
      <c r="F597" s="1001"/>
      <c r="G597" s="844"/>
    </row>
    <row r="598" spans="1:7">
      <c r="C598" s="866"/>
      <c r="D598" s="1001"/>
      <c r="E598" s="1001"/>
      <c r="F598" s="1001"/>
      <c r="G598" s="844"/>
    </row>
    <row r="599" spans="1:7">
      <c r="C599" s="866"/>
      <c r="G599" s="844"/>
    </row>
    <row r="600" spans="1:7">
      <c r="B600" s="823" t="s">
        <v>329</v>
      </c>
      <c r="C600" s="866"/>
      <c r="D600" s="1001" t="s">
        <v>1320</v>
      </c>
      <c r="E600" s="1001"/>
      <c r="F600" s="1001"/>
      <c r="G600" s="844"/>
    </row>
    <row r="601" spans="1:7">
      <c r="C601" s="866"/>
      <c r="D601" s="1001"/>
      <c r="E601" s="1001"/>
      <c r="F601" s="1001"/>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1002" t="s">
        <v>1321</v>
      </c>
      <c r="E605" s="1002"/>
      <c r="F605" s="1002"/>
      <c r="G605" s="844"/>
    </row>
    <row r="606" spans="1:7">
      <c r="A606" s="841"/>
      <c r="B606" s="841"/>
      <c r="C606" s="843"/>
      <c r="D606" s="819"/>
      <c r="G606" s="844"/>
    </row>
    <row r="607" spans="1:7" ht="14.25">
      <c r="A607" s="822"/>
      <c r="B607" s="823" t="s">
        <v>329</v>
      </c>
      <c r="C607" s="843"/>
      <c r="D607" s="1003" t="s">
        <v>1566</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329</v>
      </c>
      <c r="C614" s="843"/>
      <c r="D614" s="1003" t="s">
        <v>1323</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329</v>
      </c>
      <c r="C617" s="854"/>
      <c r="D617" s="1004" t="s">
        <v>1492</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329</v>
      </c>
      <c r="C620" s="854"/>
      <c r="D620" s="1005" t="s">
        <v>1325</v>
      </c>
      <c r="E620" s="1005"/>
      <c r="F620" s="100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81" t="s">
        <v>1375</v>
      </c>
      <c r="E624" s="1081"/>
      <c r="F624" s="1081"/>
      <c r="G624" s="844"/>
    </row>
    <row r="625" spans="1:7">
      <c r="A625" s="820"/>
      <c r="B625" s="820"/>
      <c r="C625" s="820"/>
      <c r="D625" s="1082" t="s">
        <v>1376</v>
      </c>
      <c r="E625" s="1082"/>
      <c r="F625" s="1082"/>
      <c r="G625" s="844"/>
    </row>
    <row r="626" spans="1:7">
      <c r="A626" s="820"/>
      <c r="B626" s="820"/>
      <c r="C626" s="820"/>
      <c r="D626" s="751"/>
      <c r="E626" s="751"/>
      <c r="F626" s="751"/>
      <c r="G626" s="844"/>
    </row>
    <row r="627" spans="1:7" ht="12.75" customHeight="1">
      <c r="B627" s="823" t="s">
        <v>329</v>
      </c>
      <c r="C627" s="854"/>
      <c r="D627" s="1072" t="s">
        <v>1600</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1603</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1601</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1602</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78" t="s">
        <v>1227</v>
      </c>
      <c r="E653" s="1078"/>
      <c r="F653" s="1078"/>
      <c r="G653" s="844"/>
    </row>
    <row r="654" spans="1:7" ht="14.25">
      <c r="A654" s="822"/>
      <c r="B654" s="822"/>
      <c r="C654" s="854"/>
      <c r="D654" s="1001" t="s">
        <v>1378</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1565</v>
      </c>
      <c r="E659" s="1026"/>
      <c r="F659" s="1026"/>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1253</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5" t="s">
        <v>981</v>
      </c>
      <c r="E667" s="1005"/>
      <c r="F667" s="1005"/>
      <c r="G667" s="844"/>
      <c r="H667" s="869"/>
      <c r="I667" s="869"/>
      <c r="J667" s="869"/>
      <c r="K667" s="869"/>
    </row>
    <row r="668" spans="1:11">
      <c r="A668" s="820"/>
      <c r="B668" s="820"/>
      <c r="C668" s="820"/>
      <c r="D668" s="1005" t="s">
        <v>992</v>
      </c>
      <c r="E668" s="1005"/>
      <c r="F668" s="1005"/>
      <c r="G668" s="844"/>
      <c r="H668" s="869"/>
      <c r="I668" s="869"/>
      <c r="J668" s="869"/>
      <c r="K668" s="869"/>
    </row>
    <row r="669" spans="1:11">
      <c r="A669" s="820"/>
      <c r="B669" s="820"/>
      <c r="C669" s="820"/>
      <c r="D669" s="696"/>
      <c r="E669" s="1059" t="s">
        <v>1254</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3" t="s">
        <v>1455</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5" t="s">
        <v>1022</v>
      </c>
      <c r="E676" s="1005"/>
      <c r="F676" s="1005"/>
      <c r="G676" s="844"/>
      <c r="H676" s="869"/>
      <c r="I676" s="869"/>
      <c r="J676" s="869"/>
      <c r="K676" s="869"/>
    </row>
    <row r="677" spans="1:11" ht="14.25">
      <c r="A677" s="822"/>
      <c r="B677" s="822"/>
      <c r="C677" s="820"/>
      <c r="D677" s="1005" t="s">
        <v>992</v>
      </c>
      <c r="E677" s="1005"/>
      <c r="F677" s="1005"/>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1266</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1457</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1257</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1264</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1265</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1258</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1259</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3" t="s">
        <v>1260</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1393</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1261</v>
      </c>
      <c r="E730" s="1033"/>
      <c r="F730" s="1033"/>
      <c r="G730" s="844"/>
      <c r="H730" s="869"/>
      <c r="I730" s="869"/>
      <c r="J730" s="869"/>
      <c r="K730" s="869"/>
    </row>
    <row r="731" spans="1:11">
      <c r="A731" s="820"/>
      <c r="B731" s="820"/>
      <c r="C731" s="820"/>
      <c r="D731" s="806"/>
      <c r="G731" s="844"/>
      <c r="H731" s="869"/>
      <c r="I731" s="869"/>
      <c r="J731" s="869"/>
      <c r="K731" s="869"/>
    </row>
    <row r="732" spans="1:11">
      <c r="A732" s="1035" t="s">
        <v>1218</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1234</v>
      </c>
      <c r="E734" s="1074"/>
      <c r="F734" s="1074"/>
      <c r="G734" s="874"/>
      <c r="H734" s="869"/>
      <c r="I734" s="869"/>
      <c r="J734" s="869"/>
      <c r="K734" s="869"/>
    </row>
    <row r="735" spans="1:11">
      <c r="A735" s="820"/>
      <c r="B735" s="820"/>
      <c r="C735" s="820"/>
      <c r="D735" s="1029" t="s">
        <v>1235</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3" t="s">
        <v>1236</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4" t="s">
        <v>1512</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329</v>
      </c>
      <c r="C749" s="878"/>
      <c r="D749" s="1083" t="s">
        <v>1513</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329</v>
      </c>
      <c r="C753" s="826"/>
      <c r="D753" s="1004" t="s">
        <v>1451</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4" t="s">
        <v>1475</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1571</v>
      </c>
      <c r="B760" s="1037"/>
      <c r="C760" s="1037"/>
      <c r="D760" s="1037"/>
      <c r="E760" s="1037"/>
      <c r="F760" s="1037"/>
      <c r="G760" s="1037"/>
    </row>
    <row r="761" spans="1:11">
      <c r="A761" s="820"/>
      <c r="B761" s="820"/>
      <c r="C761" s="820"/>
      <c r="D761" s="881"/>
      <c r="F761" s="868"/>
      <c r="G761" s="874"/>
    </row>
    <row r="762" spans="1:11">
      <c r="A762" s="826"/>
      <c r="B762" s="826"/>
      <c r="C762" s="831"/>
      <c r="D762" s="1038" t="s">
        <v>1579</v>
      </c>
      <c r="E762" s="1038"/>
      <c r="F762" s="1038"/>
      <c r="G762" s="874"/>
    </row>
    <row r="763" spans="1:11">
      <c r="A763" s="882"/>
      <c r="B763" s="882"/>
      <c r="C763" s="883"/>
      <c r="D763" s="1028" t="s">
        <v>1567</v>
      </c>
      <c r="E763" s="1028"/>
      <c r="F763" s="1028"/>
      <c r="G763" s="874"/>
    </row>
    <row r="764" spans="1:11">
      <c r="A764" s="882"/>
      <c r="B764" s="882"/>
      <c r="C764" s="883"/>
      <c r="D764" s="920"/>
      <c r="E764" s="920"/>
      <c r="F764" s="920"/>
      <c r="G764" s="874"/>
    </row>
    <row r="765" spans="1:11">
      <c r="A765" s="826"/>
      <c r="C765" s="831"/>
      <c r="D765" s="1038" t="s">
        <v>1564</v>
      </c>
      <c r="E765" s="1038"/>
      <c r="F765" s="1038"/>
      <c r="G765" s="874"/>
    </row>
    <row r="766" spans="1:11" ht="14.25">
      <c r="A766" s="822"/>
      <c r="B766" s="823" t="s">
        <v>329</v>
      </c>
      <c r="C766" s="831"/>
      <c r="D766" s="1029" t="s">
        <v>1103</v>
      </c>
      <c r="E766" s="1029"/>
      <c r="F766" s="1029"/>
      <c r="G766" s="874"/>
    </row>
    <row r="767" spans="1:11" ht="14.25">
      <c r="A767" s="822"/>
      <c r="B767" s="815"/>
      <c r="C767" s="831"/>
      <c r="D767" s="921"/>
      <c r="E767" s="1030" t="s">
        <v>1226</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1580</v>
      </c>
      <c r="E770" s="1038"/>
      <c r="F770" s="1038"/>
      <c r="G770" s="874"/>
    </row>
    <row r="771" spans="1:7" ht="14.25">
      <c r="A771" s="822"/>
      <c r="B771" s="823" t="s">
        <v>329</v>
      </c>
      <c r="C771" s="831"/>
      <c r="D771" s="1056" t="s">
        <v>1576</v>
      </c>
      <c r="E771" s="1056"/>
      <c r="F771" s="1056"/>
      <c r="G771" s="815"/>
    </row>
    <row r="772" spans="1:7" ht="14.25">
      <c r="A772" s="822"/>
      <c r="B772" s="815"/>
      <c r="C772" s="831"/>
      <c r="D772" s="1056" t="s">
        <v>1577</v>
      </c>
      <c r="E772" s="1056"/>
      <c r="F772" s="1056"/>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7" t="s">
        <v>1102</v>
      </c>
      <c r="C782" s="1067"/>
      <c r="D782" s="1067"/>
      <c r="E782" s="1067"/>
      <c r="F782" s="1067"/>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80" t="s">
        <v>484</v>
      </c>
      <c r="C786" s="1080"/>
      <c r="D786" s="1080"/>
      <c r="E786" s="1080"/>
      <c r="F786" s="1080"/>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80" t="s">
        <v>484</v>
      </c>
      <c r="C790" s="1080"/>
      <c r="D790" s="1080"/>
      <c r="E790" s="1080"/>
      <c r="F790" s="1080"/>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80" t="s">
        <v>484</v>
      </c>
      <c r="C794" s="1080"/>
      <c r="D794" s="1080"/>
      <c r="E794" s="1080"/>
      <c r="F794" s="1080"/>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80" t="s">
        <v>484</v>
      </c>
      <c r="C798" s="1080"/>
      <c r="D798" s="1080"/>
      <c r="E798" s="1080"/>
      <c r="F798" s="1080"/>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80" t="s">
        <v>484</v>
      </c>
      <c r="C802" s="1080"/>
      <c r="D802" s="1080"/>
      <c r="E802" s="1080"/>
      <c r="F802" s="1080"/>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80" t="s">
        <v>484</v>
      </c>
      <c r="C806" s="1080"/>
      <c r="D806" s="1080"/>
      <c r="E806" s="1080"/>
      <c r="F806" s="1080"/>
    </row>
    <row r="807" spans="1:7">
      <c r="A807" s="825"/>
      <c r="B807" s="825"/>
      <c r="D807" s="817"/>
    </row>
    <row r="808" spans="1:7">
      <c r="A808" s="985" t="s">
        <v>968</v>
      </c>
      <c r="B808" s="985"/>
      <c r="C808" s="985"/>
      <c r="D808" s="985"/>
      <c r="E808" s="985"/>
      <c r="F808" s="985"/>
      <c r="G808" s="985"/>
    </row>
    <row r="809" spans="1:7">
      <c r="A809" s="825"/>
      <c r="B809" s="825"/>
    </row>
    <row r="810" spans="1:7">
      <c r="A810" s="825"/>
      <c r="B810" s="1080" t="s">
        <v>484</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48" zoomScale="110" zoomScaleNormal="110" zoomScaleSheetLayoutView="100" workbookViewId="0">
      <selection activeCell="O641" sqref="O64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503" t="s">
        <v>1569</v>
      </c>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row>
    <row r="10" spans="1:38" ht="15" customHeight="1">
      <c r="A10" s="1090" t="s">
        <v>1570</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1568</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25" t="s">
        <v>1629</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38" ht="12.75">
      <c r="A13" s="961" t="s">
        <v>1428</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8" t="s">
        <v>1643</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row>
    <row r="17" spans="1:39" ht="12.75" customHeight="1"/>
    <row r="18" spans="1:39" ht="12.75" customHeight="1">
      <c r="A18" s="137" t="s">
        <v>108</v>
      </c>
      <c r="C18" s="7"/>
      <c r="D18" s="7"/>
      <c r="E18" s="7"/>
      <c r="F18" s="7"/>
      <c r="G18" s="7"/>
      <c r="H18" s="1098" t="s">
        <v>1644</v>
      </c>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8"/>
      <c r="AI18" s="1098"/>
      <c r="AJ18" s="1098"/>
    </row>
    <row r="19" spans="1:39" ht="12.75" customHeight="1"/>
    <row r="20" spans="1:39" ht="14.25" customHeight="1">
      <c r="A20" s="1505" t="s">
        <v>966</v>
      </c>
      <c r="B20" s="1505"/>
      <c r="C20" s="1505"/>
      <c r="D20" s="1505"/>
      <c r="E20" s="1505"/>
      <c r="F20" s="1505"/>
      <c r="G20" s="1505"/>
      <c r="H20" s="1505"/>
      <c r="I20" s="1505"/>
      <c r="J20" s="1505"/>
      <c r="K20" s="1505"/>
      <c r="L20" s="1505"/>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row>
    <row r="21" spans="1:39" ht="12.75" customHeight="1">
      <c r="A21" s="1528" t="s">
        <v>1154</v>
      </c>
      <c r="B21" s="1528"/>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15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7">
        <f>'Basis &amp; Credits'!AB56</f>
        <v>1391222</v>
      </c>
      <c r="N26" s="1527"/>
      <c r="O26" s="1527"/>
      <c r="P26" s="1527"/>
      <c r="Q26" s="15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6290551</v>
      </c>
      <c r="N27" s="1119"/>
      <c r="O27" s="1119"/>
      <c r="P27" s="1119"/>
      <c r="Q27" s="111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1" t="s">
        <v>723</v>
      </c>
      <c r="P33" s="1101"/>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7"/>
      <c r="H122" s="1507"/>
      <c r="I122" s="247" t="s">
        <v>195</v>
      </c>
      <c r="L122" s="1507"/>
      <c r="M122" s="1507"/>
      <c r="N122" s="150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4"/>
      <c r="D124" s="1524"/>
      <c r="E124" s="1524"/>
      <c r="F124" s="1524"/>
      <c r="G124" s="1524"/>
      <c r="H124" s="1524"/>
      <c r="I124" s="1524"/>
      <c r="J124" s="1524"/>
      <c r="K124" s="152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7"/>
      <c r="Z126" s="1507"/>
      <c r="AA126" s="1507"/>
      <c r="AB126" s="1507"/>
      <c r="AC126" s="1507"/>
      <c r="AD126" s="1507"/>
      <c r="AE126" s="1507"/>
      <c r="AF126" s="1507"/>
      <c r="AG126" s="1507"/>
      <c r="AH126" s="1507"/>
      <c r="AI126" s="1507"/>
      <c r="AJ126" s="1507"/>
      <c r="AK126" s="150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3"/>
      <c r="Z129" s="1513"/>
      <c r="AA129" s="1513"/>
      <c r="AB129" s="1513"/>
      <c r="AC129" s="1513"/>
      <c r="AD129" s="1513"/>
      <c r="AE129" s="1513"/>
      <c r="AF129" s="1513"/>
      <c r="AG129" s="1513"/>
      <c r="AH129" s="1513"/>
      <c r="AI129" s="1513"/>
      <c r="AJ129" s="1513"/>
      <c r="AK129" s="1513"/>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3"/>
      <c r="Z132" s="1513"/>
      <c r="AA132" s="1513"/>
      <c r="AB132" s="1513"/>
      <c r="AC132" s="1513"/>
      <c r="AD132" s="1513"/>
      <c r="AE132" s="1513"/>
      <c r="AF132" s="1513"/>
      <c r="AG132" s="1513"/>
      <c r="AH132" s="1513"/>
      <c r="AI132" s="1513"/>
      <c r="AJ132" s="1513"/>
      <c r="AK132" s="15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0"/>
      <c r="G150" s="1520"/>
      <c r="H150" s="1520"/>
      <c r="I150" s="1520"/>
      <c r="J150" s="1520"/>
      <c r="K150" s="1520"/>
      <c r="L150" s="1520"/>
      <c r="M150" s="1520"/>
      <c r="N150" s="1520"/>
      <c r="O150" s="1520"/>
      <c r="P150" s="1520"/>
      <c r="Q150" s="1520"/>
      <c r="R150" s="1520"/>
      <c r="S150" s="1520"/>
      <c r="T150" s="15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8" t="s">
        <v>1645</v>
      </c>
      <c r="P153" s="1098"/>
      <c r="Q153" s="1098"/>
      <c r="R153" s="1098"/>
      <c r="S153" s="1098"/>
      <c r="T153" s="1098"/>
      <c r="U153" s="1098"/>
      <c r="V153" s="1098"/>
      <c r="W153" s="1098"/>
      <c r="X153" s="1098"/>
      <c r="Y153" s="1098"/>
      <c r="Z153" s="1098"/>
      <c r="AA153" s="1098"/>
      <c r="AB153" s="1098"/>
      <c r="AC153" s="1098"/>
      <c r="AD153" s="1098"/>
      <c r="AE153" s="1098"/>
      <c r="AF153" s="1098"/>
      <c r="AG153" s="1098"/>
      <c r="AH153" s="1098"/>
    </row>
    <row r="154" spans="1:59" ht="12.75" customHeight="1">
      <c r="D154" s="483" t="s">
        <v>476</v>
      </c>
      <c r="F154" s="32"/>
      <c r="G154" s="32"/>
      <c r="H154" s="32"/>
      <c r="I154" s="32"/>
      <c r="J154" s="32"/>
      <c r="K154" s="32"/>
      <c r="L154" s="32"/>
      <c r="M154" s="32"/>
      <c r="N154" s="32"/>
      <c r="O154" s="1242" t="s">
        <v>1646</v>
      </c>
      <c r="P154" s="1242"/>
      <c r="Q154" s="1242"/>
      <c r="R154" s="1242"/>
      <c r="S154" s="1242"/>
      <c r="T154" s="1242"/>
      <c r="U154" s="1242"/>
      <c r="V154" s="1242"/>
      <c r="W154" s="1242"/>
      <c r="X154" s="1242"/>
      <c r="Y154" s="1242"/>
      <c r="Z154" s="1242"/>
      <c r="AA154" s="1242"/>
      <c r="AB154" s="1242"/>
      <c r="AC154" s="1242"/>
      <c r="AD154" s="1242"/>
      <c r="AE154" s="1242"/>
      <c r="AF154" s="1242"/>
      <c r="AG154" s="1242"/>
      <c r="AH154" s="1242"/>
      <c r="AM154" s="25"/>
    </row>
    <row r="155" spans="1:59" ht="12.75">
      <c r="D155" s="13" t="s">
        <v>478</v>
      </c>
      <c r="F155" s="13"/>
      <c r="G155" s="13"/>
      <c r="H155" s="13"/>
      <c r="I155" s="13"/>
      <c r="J155" s="13"/>
      <c r="K155" s="13"/>
      <c r="L155" s="13"/>
      <c r="M155" s="13"/>
      <c r="N155" s="13"/>
      <c r="O155" s="1516" t="s">
        <v>477</v>
      </c>
      <c r="P155" s="1516"/>
      <c r="Q155" s="1516"/>
      <c r="R155" s="1516"/>
      <c r="S155" s="1516"/>
      <c r="T155" s="1516"/>
      <c r="U155" s="1516"/>
      <c r="V155" s="1516"/>
      <c r="W155" s="1516"/>
      <c r="X155" s="1516"/>
      <c r="Y155" s="1516"/>
      <c r="Z155" s="1516"/>
      <c r="AA155" s="1516"/>
      <c r="AB155" s="1516"/>
      <c r="AC155" s="1516"/>
      <c r="AD155" s="1516"/>
      <c r="AE155" s="1516"/>
      <c r="AF155" s="1516"/>
      <c r="AG155" s="1516"/>
      <c r="AH155" s="1516"/>
      <c r="AM155" s="25"/>
    </row>
    <row r="156" spans="1:59" ht="12.75">
      <c r="D156" s="32" t="s">
        <v>335</v>
      </c>
      <c r="F156" s="32"/>
      <c r="G156" s="32"/>
      <c r="H156" s="32"/>
      <c r="I156" s="32"/>
      <c r="J156" s="32"/>
      <c r="K156" s="32"/>
      <c r="L156" s="32"/>
      <c r="M156" s="32"/>
      <c r="N156" s="32"/>
      <c r="O156" s="1100" t="s">
        <v>1647</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329</v>
      </c>
    </row>
    <row r="157" spans="1:59" ht="12.75">
      <c r="D157" s="32" t="s">
        <v>336</v>
      </c>
      <c r="F157" s="32"/>
      <c r="G157" s="32"/>
      <c r="H157" s="32"/>
      <c r="I157" s="32"/>
      <c r="J157" s="32"/>
      <c r="K157" s="32"/>
      <c r="L157" s="32"/>
      <c r="M157" s="32"/>
      <c r="N157" s="32"/>
      <c r="O157" s="1098" t="s">
        <v>1648</v>
      </c>
      <c r="P157" s="1098"/>
      <c r="Q157" s="1098"/>
      <c r="R157" s="1098"/>
      <c r="S157" s="1098"/>
      <c r="T157" s="1098"/>
      <c r="U157" s="1098"/>
      <c r="V157" s="1098"/>
      <c r="W157" s="1098"/>
      <c r="X157" s="109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8">
        <v>92236</v>
      </c>
      <c r="P158" s="1328"/>
      <c r="Q158" s="1328"/>
      <c r="R158" s="13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7" t="s">
        <v>1649</v>
      </c>
      <c r="P159" s="1327"/>
      <c r="Q159" s="1327"/>
      <c r="R159" s="1327"/>
      <c r="S159" s="1327"/>
      <c r="T159" s="1327"/>
      <c r="V159" s="149" t="s">
        <v>287</v>
      </c>
      <c r="W159" s="1329"/>
      <c r="X159" s="13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7" t="s">
        <v>1650</v>
      </c>
      <c r="P160" s="1327"/>
      <c r="Q160" s="1327"/>
      <c r="R160" s="1327"/>
      <c r="S160" s="1327"/>
      <c r="T160" s="13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1" t="s">
        <v>1651</v>
      </c>
      <c r="P161" s="1511"/>
      <c r="Q161" s="1511"/>
      <c r="R161" s="1511"/>
      <c r="S161" s="1511"/>
      <c r="T161" s="1511"/>
      <c r="U161" s="1511"/>
      <c r="V161" s="1511"/>
      <c r="W161" s="1511"/>
      <c r="X161" s="1511"/>
      <c r="Y161" s="1511"/>
      <c r="Z161" s="1511"/>
      <c r="AA161" s="1511"/>
      <c r="AB161" s="1511"/>
      <c r="AC161" s="1511"/>
      <c r="AD161" s="1511"/>
      <c r="AE161" s="1511"/>
      <c r="AF161" s="1511"/>
      <c r="AG161" s="1511"/>
      <c r="AH161" s="151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2" t="s">
        <v>1509</v>
      </c>
      <c r="E164" s="1512"/>
      <c r="F164" s="1512"/>
      <c r="G164" s="1512"/>
      <c r="H164" s="1512"/>
      <c r="I164" s="1512"/>
      <c r="J164" s="1512"/>
      <c r="K164" s="1512"/>
      <c r="L164" s="1512"/>
      <c r="M164" s="1512"/>
      <c r="N164" s="1512"/>
      <c r="O164" s="1512"/>
      <c r="P164" s="1512"/>
      <c r="Q164" s="1512"/>
      <c r="R164" s="1512"/>
      <c r="S164" s="1512"/>
      <c r="T164" s="1512"/>
      <c r="U164" s="1512"/>
      <c r="V164" s="1512"/>
      <c r="W164" s="1512"/>
      <c r="X164" s="1512"/>
      <c r="Y164" s="1512"/>
      <c r="Z164" s="1512"/>
      <c r="AA164" s="1512"/>
      <c r="AB164" s="1512"/>
      <c r="AC164" s="1512"/>
      <c r="AD164" s="1512"/>
      <c r="AE164" s="1512"/>
      <c r="AF164" s="1512"/>
      <c r="AG164" s="1512"/>
      <c r="AH164" s="151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6" t="s">
        <v>586</v>
      </c>
      <c r="B169" s="1276"/>
      <c r="C169" s="1276"/>
      <c r="D169" s="1276"/>
      <c r="E169" s="1276"/>
      <c r="F169" s="1276"/>
      <c r="G169" s="1276"/>
      <c r="H169" s="1276"/>
      <c r="I169" s="1276"/>
      <c r="J169" s="1276"/>
      <c r="K169" s="1276"/>
      <c r="L169" s="1276"/>
      <c r="M169" s="1276"/>
      <c r="N169" s="1276"/>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BA169" s="36" t="s">
        <v>727</v>
      </c>
      <c r="BG169" s="12" t="s">
        <v>535</v>
      </c>
    </row>
    <row r="170" spans="1:59" ht="13.5" thickBot="1">
      <c r="A170" s="1277"/>
      <c r="B170" s="1277"/>
      <c r="C170" s="1277"/>
      <c r="D170" s="1277"/>
      <c r="E170" s="1277"/>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7"/>
      <c r="AA170" s="1277"/>
      <c r="AB170" s="1277"/>
      <c r="AC170" s="1277"/>
      <c r="AD170" s="1277"/>
      <c r="AE170" s="1277"/>
      <c r="AF170" s="1277"/>
      <c r="AG170" s="1277"/>
      <c r="AH170" s="1277"/>
      <c r="AI170" s="1277"/>
      <c r="AJ170" s="1277"/>
      <c r="AK170" s="1277"/>
      <c r="AL170" s="127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0" t="s">
        <v>403</v>
      </c>
      <c r="K173" s="1510"/>
      <c r="L173" s="1510"/>
      <c r="M173" s="1510"/>
      <c r="N173" s="1510"/>
      <c r="O173" s="1510"/>
      <c r="P173" s="1510"/>
      <c r="Q173" s="1510"/>
      <c r="R173" s="1510"/>
      <c r="S173" s="151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0" t="s">
        <v>1652</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1" t="s">
        <v>592</v>
      </c>
      <c r="V175" s="110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6">
        <v>20</v>
      </c>
      <c r="V176" s="1506"/>
      <c r="W176" s="4" t="s">
        <v>328</v>
      </c>
      <c r="X176" s="1515">
        <v>425</v>
      </c>
      <c r="Y176" s="151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1" t="s">
        <v>723</v>
      </c>
      <c r="S177" s="110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1" t="s">
        <v>723</v>
      </c>
      <c r="Y180" s="1101"/>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2" t="str">
        <f>H18</f>
        <v>6th &amp; Cesar Chavez</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630</v>
      </c>
      <c r="E187" s="25"/>
      <c r="F187" s="25"/>
      <c r="G187" s="25"/>
      <c r="H187" s="25"/>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2" t="s">
        <v>1653</v>
      </c>
      <c r="F189" s="1332"/>
      <c r="G189" s="1332"/>
      <c r="H189" s="1332"/>
      <c r="I189" s="1332"/>
      <c r="J189" s="1332"/>
      <c r="K189" s="1332"/>
      <c r="L189" s="1332"/>
      <c r="M189" s="1332"/>
      <c r="N189" s="1332"/>
      <c r="O189" s="1332"/>
      <c r="P189" s="1332"/>
      <c r="Q189" s="1332"/>
      <c r="R189" s="1332"/>
      <c r="S189" s="1332"/>
      <c r="T189" s="1332"/>
      <c r="U189" s="1332"/>
      <c r="V189" s="1332"/>
      <c r="W189" s="1332"/>
      <c r="X189" s="1332"/>
      <c r="Y189" s="1332"/>
      <c r="Z189" s="1332"/>
      <c r="AA189" s="1332"/>
      <c r="AB189" s="1332"/>
      <c r="AC189" s="1332"/>
      <c r="AD189" s="1332"/>
      <c r="AE189" s="1332"/>
      <c r="AF189" s="25"/>
      <c r="AH189" s="25"/>
      <c r="AJ189" s="3"/>
      <c r="AK189" s="3"/>
      <c r="AL189" s="3"/>
      <c r="AP189" s="12" t="s">
        <v>329</v>
      </c>
      <c r="BA189" s="36" t="s">
        <v>251</v>
      </c>
      <c r="BG189" s="12" t="s">
        <v>72</v>
      </c>
    </row>
    <row r="190" spans="1:59" ht="12.75">
      <c r="A190" s="25"/>
      <c r="C190" s="45"/>
      <c r="D190" s="25"/>
      <c r="E190" s="1333"/>
      <c r="F190" s="1333"/>
      <c r="G190" s="1333"/>
      <c r="H190" s="1333"/>
      <c r="I190" s="1333"/>
      <c r="J190" s="1333"/>
      <c r="K190" s="1333"/>
      <c r="L190" s="1333"/>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25"/>
      <c r="AH190" s="25"/>
      <c r="AJ190" s="3"/>
      <c r="AK190" s="3"/>
      <c r="AL190" s="3"/>
      <c r="AP190" s="12" t="s">
        <v>1193</v>
      </c>
      <c r="BA190" s="36" t="s">
        <v>686</v>
      </c>
      <c r="BG190" s="12" t="s">
        <v>73</v>
      </c>
    </row>
    <row r="191" spans="1:59" ht="12.75">
      <c r="A191" s="25"/>
      <c r="C191" s="45"/>
      <c r="D191" s="25" t="s">
        <v>631</v>
      </c>
      <c r="E191" s="25"/>
      <c r="I191" s="1100" t="s">
        <v>1648</v>
      </c>
      <c r="J191" s="1100"/>
      <c r="K191" s="1100"/>
      <c r="L191" s="1100"/>
      <c r="M191" s="1100"/>
      <c r="N191" s="1100"/>
      <c r="O191" s="1100"/>
      <c r="P191" s="1100"/>
      <c r="Q191" s="25" t="s">
        <v>633</v>
      </c>
      <c r="T191" s="1100" t="s">
        <v>72</v>
      </c>
      <c r="U191" s="1100"/>
      <c r="V191" s="1100"/>
      <c r="W191" s="1100"/>
      <c r="X191" s="1100"/>
      <c r="Y191" s="1100"/>
      <c r="Z191" s="1100"/>
      <c r="AA191" s="1100"/>
      <c r="AB191" s="1100"/>
      <c r="AC191" s="1100"/>
      <c r="AD191" s="1100"/>
      <c r="AE191" s="1100"/>
      <c r="AH191" s="25"/>
      <c r="AJ191" s="3"/>
      <c r="AK191" s="3"/>
      <c r="AL191" s="3"/>
      <c r="AP191" s="12" t="s">
        <v>1194</v>
      </c>
      <c r="BA191" s="36" t="s">
        <v>743</v>
      </c>
      <c r="BG191" s="12" t="s">
        <v>789</v>
      </c>
    </row>
    <row r="192" spans="1:59" ht="12.75">
      <c r="A192" s="25"/>
      <c r="C192" s="46"/>
      <c r="D192" s="25" t="s">
        <v>634</v>
      </c>
      <c r="E192" s="25"/>
      <c r="F192" s="25"/>
      <c r="G192" s="25"/>
      <c r="I192" s="1122">
        <v>92236</v>
      </c>
      <c r="J192" s="1122"/>
      <c r="K192" s="1122"/>
      <c r="L192" s="1122"/>
      <c r="M192" s="1122"/>
      <c r="N192" s="1122"/>
      <c r="O192" s="25" t="s">
        <v>636</v>
      </c>
      <c r="P192" s="25"/>
      <c r="Q192" s="25"/>
      <c r="R192" s="25"/>
      <c r="S192" s="25"/>
      <c r="T192" s="1509">
        <v>457.07</v>
      </c>
      <c r="U192" s="1509"/>
      <c r="V192" s="1509"/>
      <c r="W192" s="1509"/>
      <c r="X192" s="1509"/>
      <c r="Y192" s="1509"/>
      <c r="Z192" s="1509"/>
      <c r="AA192" s="1509"/>
      <c r="AB192" s="1509"/>
      <c r="AC192" s="1509"/>
      <c r="AD192" s="1509"/>
      <c r="AE192" s="1509"/>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32" t="s">
        <v>1654</v>
      </c>
      <c r="O193" s="1332"/>
      <c r="P193" s="1332"/>
      <c r="Q193" s="1332"/>
      <c r="R193" s="1332"/>
      <c r="S193" s="1332"/>
      <c r="T193" s="1332"/>
      <c r="U193" s="1332"/>
      <c r="V193" s="1332"/>
      <c r="W193" s="1332"/>
      <c r="X193" s="1332"/>
      <c r="Y193" s="1332"/>
      <c r="Z193" s="1332"/>
      <c r="AA193" s="1332"/>
      <c r="AB193" s="1332"/>
      <c r="AC193" s="1332"/>
      <c r="AD193" s="1332"/>
      <c r="AE193" s="1332"/>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33"/>
      <c r="O194" s="1333"/>
      <c r="P194" s="1333"/>
      <c r="Q194" s="1333"/>
      <c r="R194" s="1333"/>
      <c r="S194" s="1333"/>
      <c r="T194" s="1333"/>
      <c r="U194" s="1333"/>
      <c r="V194" s="1333"/>
      <c r="W194" s="1333"/>
      <c r="X194" s="1333"/>
      <c r="Y194" s="1333"/>
      <c r="Z194" s="1333"/>
      <c r="AA194" s="1333"/>
      <c r="AB194" s="1333"/>
      <c r="AC194" s="1333"/>
      <c r="AD194" s="1333"/>
      <c r="AE194" s="1333"/>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1" t="s">
        <v>723</v>
      </c>
      <c r="U195" s="1101"/>
      <c r="W195" s="25" t="s">
        <v>739</v>
      </c>
      <c r="X195" s="25"/>
      <c r="Y195" s="25"/>
      <c r="Z195" s="25"/>
      <c r="AA195" s="25"/>
      <c r="AB195" s="25"/>
      <c r="AC195" s="25"/>
      <c r="AD195" s="25"/>
      <c r="AE195" s="25"/>
      <c r="AF195" s="25"/>
      <c r="AG195" s="25"/>
      <c r="AH195" s="1101">
        <v>36</v>
      </c>
      <c r="AI195" s="110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40" t="s">
        <v>723</v>
      </c>
      <c r="U196" s="1240"/>
      <c r="W196" s="25" t="s">
        <v>740</v>
      </c>
      <c r="X196" s="25"/>
      <c r="Y196" s="25"/>
      <c r="Z196" s="25"/>
      <c r="AA196" s="25"/>
      <c r="AB196" s="25"/>
      <c r="AC196" s="25"/>
      <c r="AD196" s="25"/>
      <c r="AE196" s="25"/>
      <c r="AF196" s="25"/>
      <c r="AG196" s="25"/>
      <c r="AH196" s="1101">
        <v>28</v>
      </c>
      <c r="AI196" s="110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0" t="s">
        <v>723</v>
      </c>
      <c r="U197" s="1240"/>
      <c r="V197" s="12"/>
      <c r="W197" s="25" t="s">
        <v>741</v>
      </c>
      <c r="X197" s="25"/>
      <c r="Y197" s="25"/>
      <c r="Z197" s="25"/>
      <c r="AA197" s="25"/>
      <c r="AB197" s="25"/>
      <c r="AC197" s="25"/>
      <c r="AD197" s="25"/>
      <c r="AE197" s="25"/>
      <c r="AF197" s="25"/>
      <c r="AG197" s="25"/>
      <c r="AH197" s="1101">
        <v>56</v>
      </c>
      <c r="AI197" s="110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40" t="s">
        <v>723</v>
      </c>
      <c r="Z198" s="124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2" t="s">
        <v>417</v>
      </c>
      <c r="E203" s="1102"/>
      <c r="F203" s="1102"/>
      <c r="G203" s="1102"/>
      <c r="H203" s="1102"/>
      <c r="I203" s="1102"/>
      <c r="J203" s="1102"/>
      <c r="K203" s="1102"/>
      <c r="L203" s="1102"/>
      <c r="M203" s="1102"/>
      <c r="P203" s="1504">
        <f>M26</f>
        <v>1391222</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1" t="s">
        <v>1532</v>
      </c>
      <c r="E204" s="1102"/>
      <c r="F204" s="1102"/>
      <c r="G204" s="1102"/>
      <c r="H204" s="1102"/>
      <c r="I204" s="1102"/>
      <c r="J204" s="1102"/>
      <c r="K204" s="1102"/>
      <c r="L204" s="1102"/>
      <c r="M204" s="1102"/>
      <c r="P204" s="1330">
        <f>M27</f>
        <v>6290551</v>
      </c>
      <c r="Q204" s="1330"/>
      <c r="R204" s="1330"/>
      <c r="S204" s="1330"/>
      <c r="T204" s="1330"/>
      <c r="U204" s="1330"/>
      <c r="V204" s="47"/>
      <c r="W204" s="25" t="s">
        <v>1533</v>
      </c>
      <c r="X204" s="25"/>
      <c r="Y204" s="25"/>
      <c r="Z204" s="25"/>
      <c r="AA204" s="25"/>
      <c r="AB204" s="25"/>
      <c r="AC204" s="25"/>
      <c r="AD204" s="25"/>
      <c r="AE204" s="25"/>
      <c r="AF204" s="1101" t="s">
        <v>723</v>
      </c>
      <c r="AG204" s="1101"/>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8" t="s">
        <v>1655</v>
      </c>
      <c r="E207" s="1238"/>
      <c r="F207" s="1238"/>
      <c r="G207" s="1238"/>
      <c r="H207" s="1238"/>
      <c r="I207" s="1238"/>
      <c r="J207" s="1238"/>
      <c r="K207" s="1238"/>
      <c r="L207" s="1238"/>
      <c r="M207" s="123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8" t="s">
        <v>1194</v>
      </c>
      <c r="E210" s="1238"/>
      <c r="F210" s="1238"/>
      <c r="G210" s="1238"/>
      <c r="H210" s="1238"/>
      <c r="I210" s="1238"/>
      <c r="J210" s="1238"/>
      <c r="K210" s="1238"/>
      <c r="L210" s="1238"/>
      <c r="M210" s="1238"/>
      <c r="N210" s="12" t="s">
        <v>1517</v>
      </c>
      <c r="O210" s="743"/>
      <c r="P210" s="743"/>
      <c r="Q210" s="743"/>
      <c r="R210" s="743"/>
      <c r="S210" s="743"/>
      <c r="T210" s="743"/>
      <c r="U210" s="743"/>
      <c r="V210" s="743"/>
      <c r="W210" s="743"/>
      <c r="X210" s="743"/>
      <c r="Y210" s="743"/>
      <c r="Z210" s="743"/>
      <c r="AH210" s="1101"/>
      <c r="AI210" s="110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38" t="s">
        <v>1221</v>
      </c>
      <c r="E215" s="1238"/>
      <c r="F215" s="1238"/>
      <c r="G215" s="1238"/>
      <c r="H215" s="1238"/>
      <c r="I215" s="1238"/>
      <c r="J215" s="1238"/>
      <c r="K215" s="1238"/>
      <c r="L215" s="1238"/>
      <c r="M215" s="1238"/>
      <c r="N215" s="1238"/>
      <c r="O215" s="1238"/>
      <c r="P215" s="1238"/>
      <c r="Q215" s="1238"/>
      <c r="R215" s="1238"/>
      <c r="S215" s="1238"/>
      <c r="T215" s="1238"/>
      <c r="U215" s="1238"/>
      <c r="V215" s="1238"/>
      <c r="W215" s="1238"/>
      <c r="X215" s="1238"/>
      <c r="Y215" s="1238"/>
      <c r="Z215" s="123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6" t="s">
        <v>587</v>
      </c>
      <c r="B217" s="1276"/>
      <c r="C217" s="1276"/>
      <c r="D217" s="1276"/>
      <c r="E217" s="1276"/>
      <c r="F217" s="1276"/>
      <c r="G217" s="1276"/>
      <c r="H217" s="1276"/>
      <c r="I217" s="1276"/>
      <c r="J217" s="1276"/>
      <c r="K217" s="1276"/>
      <c r="L217" s="1276"/>
      <c r="M217" s="1276"/>
      <c r="N217" s="1276"/>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N217" s="58"/>
      <c r="AO217" s="58"/>
      <c r="AP217" s="12" t="s">
        <v>409</v>
      </c>
      <c r="BD217" s="61"/>
    </row>
    <row r="218" spans="1:59" ht="13.5" thickBot="1">
      <c r="A218" s="1277"/>
      <c r="B218" s="1277"/>
      <c r="C218" s="1277"/>
      <c r="D218" s="1277"/>
      <c r="E218" s="1277"/>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1277"/>
      <c r="AA218" s="1277"/>
      <c r="AB218" s="1277"/>
      <c r="AC218" s="1277"/>
      <c r="AD218" s="1277"/>
      <c r="AE218" s="1277"/>
      <c r="AF218" s="1277"/>
      <c r="AG218" s="1277"/>
      <c r="AH218" s="1277"/>
      <c r="AI218" s="1277"/>
      <c r="AJ218" s="1277"/>
      <c r="AK218" s="1277"/>
      <c r="AL218" s="127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642</v>
      </c>
      <c r="AJ221" s="110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592</v>
      </c>
      <c r="AJ222" s="110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592</v>
      </c>
      <c r="AJ223" s="1101"/>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642</v>
      </c>
      <c r="AJ224" s="110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7" t="str">
        <f>H16</f>
        <v>6th &amp; Cesar Chavez CIC, LP</v>
      </c>
      <c r="N227" s="1517"/>
      <c r="O227" s="1517"/>
      <c r="P227" s="1517"/>
      <c r="Q227" s="1517"/>
      <c r="R227" s="1517"/>
      <c r="S227" s="1517"/>
      <c r="T227" s="1517"/>
      <c r="U227" s="1517"/>
      <c r="V227" s="1517"/>
      <c r="W227" s="1517"/>
      <c r="X227" s="1517"/>
      <c r="Y227" s="1517"/>
      <c r="Z227" s="1517"/>
      <c r="AA227" s="1517"/>
      <c r="AB227" s="1517"/>
      <c r="AC227" s="1517"/>
      <c r="AD227" s="1517"/>
      <c r="AE227" s="1517"/>
      <c r="AF227" s="1517"/>
      <c r="AG227" s="1517"/>
      <c r="AH227" s="1517"/>
      <c r="AI227" s="1517"/>
      <c r="AJ227" s="1517"/>
      <c r="AK227" s="1517"/>
      <c r="AO227" s="344" t="s">
        <v>585</v>
      </c>
      <c r="AT227" s="406">
        <f>IF(AND(AND($M$244="nonprofit",$M$252="for profit",$M$260="nonprofit")),2,0)</f>
        <v>0</v>
      </c>
    </row>
    <row r="228" spans="1:59" ht="12.75">
      <c r="D228" s="57" t="s">
        <v>92</v>
      </c>
      <c r="E228" s="57"/>
      <c r="F228" s="57"/>
      <c r="G228" s="57"/>
      <c r="H228" s="57"/>
      <c r="I228" s="57"/>
      <c r="J228" s="57"/>
      <c r="K228" s="7"/>
      <c r="M228" s="1098" t="s">
        <v>1656</v>
      </c>
      <c r="N228" s="1098"/>
      <c r="O228" s="1098"/>
      <c r="P228" s="1098"/>
      <c r="Q228" s="1098"/>
      <c r="R228" s="1098"/>
      <c r="S228" s="1098"/>
      <c r="T228" s="1098"/>
      <c r="U228" s="1098"/>
      <c r="V228" s="1098"/>
      <c r="W228" s="1098"/>
      <c r="X228" s="1098"/>
      <c r="Y228" s="1098"/>
      <c r="Z228" s="1098"/>
      <c r="AA228" s="1098"/>
      <c r="AB228" s="1098"/>
      <c r="AC228" s="1098"/>
      <c r="AD228" s="1098"/>
      <c r="AE228" s="1098"/>
      <c r="AM228" s="7"/>
      <c r="AO228" s="344" t="s">
        <v>585</v>
      </c>
      <c r="AT228" s="405">
        <f>IF(AND(AND($M$244="for profit",$M$252="nonprofit",$M$260="nonprofit")),2,0)</f>
        <v>0</v>
      </c>
      <c r="BB228" s="61"/>
    </row>
    <row r="229" spans="1:59" ht="12.75">
      <c r="D229" s="57" t="s">
        <v>631</v>
      </c>
      <c r="E229" s="57"/>
      <c r="M229" s="1098" t="s">
        <v>1657</v>
      </c>
      <c r="N229" s="1098"/>
      <c r="O229" s="1098"/>
      <c r="P229" s="1098"/>
      <c r="Q229" s="1098"/>
      <c r="R229" s="1098"/>
      <c r="S229" s="1098"/>
      <c r="T229" s="1098"/>
      <c r="V229" s="59" t="s">
        <v>93</v>
      </c>
      <c r="W229" s="1242" t="s">
        <v>1658</v>
      </c>
      <c r="X229" s="1242"/>
      <c r="Y229" s="57" t="s">
        <v>634</v>
      </c>
      <c r="AC229" s="1098">
        <v>92011</v>
      </c>
      <c r="AD229" s="1098"/>
      <c r="AE229" s="1098"/>
      <c r="AO229" s="402"/>
      <c r="AT229" s="403"/>
    </row>
    <row r="230" spans="1:59" ht="12.75">
      <c r="D230" s="60" t="s">
        <v>94</v>
      </c>
      <c r="E230" s="7"/>
      <c r="F230" s="7"/>
      <c r="G230" s="7"/>
      <c r="H230" s="7"/>
      <c r="I230" s="7"/>
      <c r="J230" s="7"/>
      <c r="K230" s="29"/>
      <c r="M230" s="1098" t="s">
        <v>1659</v>
      </c>
      <c r="N230" s="1098"/>
      <c r="O230" s="1098"/>
      <c r="P230" s="1098"/>
      <c r="Q230" s="1098"/>
      <c r="R230" s="1098"/>
      <c r="S230" s="1098"/>
      <c r="T230" s="1098"/>
      <c r="U230" s="1098"/>
      <c r="V230" s="1098"/>
      <c r="W230" s="1098"/>
      <c r="X230" s="1098"/>
      <c r="Y230" s="1098"/>
      <c r="Z230" s="1098"/>
      <c r="AA230" s="1098"/>
      <c r="AB230" s="1098"/>
      <c r="AC230" s="1098"/>
      <c r="AD230" s="1098"/>
      <c r="AE230" s="1098"/>
      <c r="AI230" s="7"/>
      <c r="AJ230" s="7"/>
      <c r="AK230" s="7"/>
      <c r="AL230" s="7"/>
      <c r="AM230" s="7"/>
      <c r="AO230" s="400" t="s">
        <v>584</v>
      </c>
      <c r="AT230" s="406">
        <f>IF(AND(AND($M$244="nonprofit",$M$252="nonprofit",$M$260="(select one)")),1,0)</f>
        <v>0</v>
      </c>
    </row>
    <row r="231" spans="1:59" ht="12.75">
      <c r="D231" s="60" t="s">
        <v>95</v>
      </c>
      <c r="E231" s="7"/>
      <c r="F231" s="7"/>
      <c r="M231" s="1103" t="s">
        <v>1660</v>
      </c>
      <c r="N231" s="1103"/>
      <c r="O231" s="1103"/>
      <c r="P231" s="1103"/>
      <c r="Q231" s="1103"/>
      <c r="R231" s="1103"/>
      <c r="S231" s="7" t="s">
        <v>220</v>
      </c>
      <c r="T231" s="7"/>
      <c r="U231" s="1105"/>
      <c r="V231" s="1105"/>
      <c r="W231" s="1105"/>
      <c r="X231" s="7" t="s">
        <v>96</v>
      </c>
      <c r="Z231" s="1103" t="s">
        <v>1672</v>
      </c>
      <c r="AA231" s="1103"/>
      <c r="AB231" s="1103"/>
      <c r="AC231" s="1103"/>
      <c r="AD231" s="1103"/>
      <c r="AE231" s="1103"/>
      <c r="AO231" s="400" t="s">
        <v>584</v>
      </c>
      <c r="AT231" s="406">
        <f>IF(AND(AND($M$244="nonprofit",$M$252="nonprofit",$M$260="nonprofit")),1,0)</f>
        <v>0</v>
      </c>
    </row>
    <row r="232" spans="1:59" ht="12.75">
      <c r="D232" s="60" t="s">
        <v>97</v>
      </c>
      <c r="E232" s="7"/>
      <c r="F232" s="7"/>
      <c r="M232" s="1511" t="s">
        <v>1661</v>
      </c>
      <c r="N232" s="1511"/>
      <c r="O232" s="1511"/>
      <c r="P232" s="1511"/>
      <c r="Q232" s="1511"/>
      <c r="R232" s="1511"/>
      <c r="S232" s="1511"/>
      <c r="T232" s="1511"/>
      <c r="U232" s="1511"/>
      <c r="V232" s="1511"/>
      <c r="W232" s="1511"/>
      <c r="X232" s="1511"/>
      <c r="Y232" s="1511"/>
      <c r="Z232" s="1511"/>
      <c r="AA232" s="1511"/>
      <c r="AB232" s="1511"/>
      <c r="AC232" s="1511"/>
      <c r="AD232" s="1511"/>
      <c r="AE232" s="151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2" t="s">
        <v>573</v>
      </c>
      <c r="N233" s="1122"/>
      <c r="O233" s="1122"/>
      <c r="P233" s="1122"/>
      <c r="Q233" s="1122"/>
      <c r="R233" s="1122"/>
      <c r="S233" s="1122"/>
      <c r="T233" s="1122"/>
      <c r="U233" s="404" t="s">
        <v>1005</v>
      </c>
      <c r="V233" s="335"/>
      <c r="W233" s="335"/>
      <c r="X233" s="335"/>
      <c r="Y233" s="335"/>
      <c r="Z233" s="335"/>
      <c r="AA233" s="1334"/>
      <c r="AB233" s="1334"/>
      <c r="AC233" s="1334"/>
      <c r="AD233" s="1334"/>
      <c r="AE233" s="1334"/>
      <c r="AF233" s="1334"/>
      <c r="AG233" s="1334"/>
      <c r="AH233" s="1334"/>
      <c r="AI233" s="1334"/>
      <c r="AJ233" s="1334"/>
      <c r="AK233" s="1334"/>
      <c r="AL233" s="58"/>
      <c r="AO233" s="400" t="s">
        <v>972</v>
      </c>
      <c r="AT233" s="406">
        <f>IF(AND(AND($M$244="for profit",$M$252="for profit",$M$260="(select one)")),3,0)</f>
        <v>0</v>
      </c>
    </row>
    <row r="234" spans="1:59" ht="12.75">
      <c r="D234" s="12" t="s">
        <v>578</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08" t="s">
        <v>1663</v>
      </c>
      <c r="N238" s="1508"/>
      <c r="O238" s="1508"/>
      <c r="P238" s="1508"/>
      <c r="Q238" s="1508"/>
      <c r="R238" s="1508"/>
      <c r="S238" s="1508"/>
      <c r="T238" s="1508"/>
      <c r="U238" s="1508"/>
      <c r="V238" s="1508"/>
      <c r="W238" s="1508"/>
      <c r="X238" s="1508"/>
      <c r="Y238" s="1508"/>
      <c r="Z238" s="1508"/>
      <c r="AA238" s="1508"/>
      <c r="AB238" s="1508"/>
      <c r="AC238" s="1508"/>
      <c r="AD238" s="1508"/>
      <c r="AE238" s="1508"/>
      <c r="AF238" s="1271" t="s">
        <v>1662</v>
      </c>
      <c r="AG238" s="1271"/>
      <c r="AH238" s="1271"/>
      <c r="AI238" s="1271"/>
      <c r="AJ238" s="1271"/>
      <c r="AK238" s="1271"/>
      <c r="AT238" s="12">
        <v>1</v>
      </c>
      <c r="AU238" s="12" t="s">
        <v>581</v>
      </c>
      <c r="AZ238" s="25"/>
      <c r="BA238" s="3"/>
      <c r="BB238" s="3"/>
    </row>
    <row r="239" spans="1:59" ht="12.75">
      <c r="A239" s="29"/>
      <c r="B239" s="7"/>
      <c r="C239" s="7"/>
      <c r="D239" s="57" t="s">
        <v>92</v>
      </c>
      <c r="E239" s="57"/>
      <c r="F239" s="57"/>
      <c r="G239" s="57"/>
      <c r="H239" s="57"/>
      <c r="I239" s="57"/>
      <c r="J239" s="57"/>
      <c r="K239" s="57"/>
      <c r="L239" s="7"/>
      <c r="M239" s="1098" t="s">
        <v>1656</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8" t="s">
        <v>1657</v>
      </c>
      <c r="N240" s="1098"/>
      <c r="O240" s="1098"/>
      <c r="P240" s="1098"/>
      <c r="Q240" s="1098"/>
      <c r="R240" s="1098"/>
      <c r="S240" s="1098"/>
      <c r="T240" s="1098"/>
      <c r="V240" s="59" t="s">
        <v>93</v>
      </c>
      <c r="W240" s="1242" t="s">
        <v>1658</v>
      </c>
      <c r="X240" s="1242"/>
      <c r="Y240" s="57" t="s">
        <v>634</v>
      </c>
      <c r="AC240" s="1238">
        <v>92011</v>
      </c>
      <c r="AD240" s="1238"/>
      <c r="AE240" s="1238"/>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
        <v>1659</v>
      </c>
      <c r="N241" s="1098"/>
      <c r="O241" s="1098"/>
      <c r="P241" s="1098"/>
      <c r="Q241" s="1098"/>
      <c r="R241" s="1098"/>
      <c r="S241" s="1098"/>
      <c r="T241" s="1098"/>
      <c r="U241" s="1098"/>
      <c r="V241" s="1098"/>
      <c r="W241" s="1098"/>
      <c r="X241" s="1098"/>
      <c r="Y241" s="1098"/>
      <c r="Z241" s="1098"/>
      <c r="AA241" s="1098"/>
      <c r="AB241" s="1098"/>
      <c r="AC241" s="1098"/>
      <c r="AD241" s="1098"/>
      <c r="AE241" s="1098"/>
      <c r="AH241" s="1601">
        <v>5.0000000000000001E-3</v>
      </c>
      <c r="AI241" s="1601"/>
      <c r="AJ241" s="1601"/>
      <c r="AK241" s="1601"/>
      <c r="AL241" s="7"/>
      <c r="AN241" s="7" t="s">
        <v>296</v>
      </c>
      <c r="BA241" s="61"/>
    </row>
    <row r="242" spans="1:53" ht="12.75">
      <c r="A242" s="29"/>
      <c r="B242" s="7"/>
      <c r="C242" s="7"/>
      <c r="D242" s="60" t="s">
        <v>95</v>
      </c>
      <c r="E242" s="7"/>
      <c r="F242" s="7"/>
      <c r="M242" s="1103" t="s">
        <v>1660</v>
      </c>
      <c r="N242" s="1103"/>
      <c r="O242" s="1103"/>
      <c r="P242" s="1103"/>
      <c r="Q242" s="1103"/>
      <c r="R242" s="1103"/>
      <c r="S242" s="7" t="s">
        <v>220</v>
      </c>
      <c r="T242" s="7"/>
      <c r="U242" s="1105"/>
      <c r="V242" s="1105"/>
      <c r="W242" s="1105"/>
      <c r="X242" s="7" t="s">
        <v>96</v>
      </c>
      <c r="Z242" s="1103" t="s">
        <v>1672</v>
      </c>
      <c r="AA242" s="1103"/>
      <c r="AB242" s="1103"/>
      <c r="AC242" s="1103"/>
      <c r="AD242" s="1103"/>
      <c r="AE242" s="1103"/>
      <c r="AN242" s="7" t="s">
        <v>186</v>
      </c>
      <c r="BA242" s="61"/>
    </row>
    <row r="243" spans="1:53" ht="12.75">
      <c r="A243" s="29"/>
      <c r="B243" s="7"/>
      <c r="C243" s="7"/>
      <c r="D243" s="60" t="s">
        <v>97</v>
      </c>
      <c r="E243" s="7"/>
      <c r="F243" s="7"/>
      <c r="M243" s="1511" t="s">
        <v>1661</v>
      </c>
      <c r="N243" s="1511"/>
      <c r="O243" s="1511"/>
      <c r="P243" s="1511"/>
      <c r="Q243" s="1511"/>
      <c r="R243" s="1511"/>
      <c r="S243" s="1511"/>
      <c r="T243" s="1511"/>
      <c r="U243" s="1511"/>
      <c r="V243" s="1511"/>
      <c r="W243" s="1511"/>
      <c r="X243" s="1511"/>
      <c r="Y243" s="1511"/>
      <c r="Z243" s="1511"/>
      <c r="AA243" s="1511"/>
      <c r="AB243" s="1511"/>
      <c r="AC243" s="1511"/>
      <c r="AD243" s="1511"/>
      <c r="AE243" s="1511"/>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583</v>
      </c>
      <c r="N244" s="1122"/>
      <c r="O244" s="1122"/>
      <c r="P244" s="1122"/>
      <c r="Q244" s="1122"/>
      <c r="R244" s="1122"/>
      <c r="S244" s="1122"/>
      <c r="T244" s="1122"/>
      <c r="U244" s="404" t="s">
        <v>1005</v>
      </c>
      <c r="V244" s="335"/>
      <c r="W244" s="335"/>
      <c r="X244" s="335"/>
      <c r="Y244" s="335"/>
      <c r="Z244" s="335"/>
      <c r="AA244" s="1334"/>
      <c r="AB244" s="1334"/>
      <c r="AC244" s="1334"/>
      <c r="AD244" s="1334"/>
      <c r="AE244" s="1334"/>
      <c r="AF244" s="1334"/>
      <c r="AG244" s="1334"/>
      <c r="AH244" s="1334"/>
      <c r="AI244" s="1334"/>
      <c r="AJ244" s="1334"/>
      <c r="AK244" s="133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8" t="s">
        <v>1664</v>
      </c>
      <c r="N246" s="1508"/>
      <c r="O246" s="1508"/>
      <c r="P246" s="1508"/>
      <c r="Q246" s="1508"/>
      <c r="R246" s="1508"/>
      <c r="S246" s="1508"/>
      <c r="T246" s="1508"/>
      <c r="U246" s="1508"/>
      <c r="V246" s="1508"/>
      <c r="W246" s="1508"/>
      <c r="X246" s="1508"/>
      <c r="Y246" s="1508"/>
      <c r="Z246" s="1508"/>
      <c r="AA246" s="1508"/>
      <c r="AB246" s="1508"/>
      <c r="AC246" s="1508"/>
      <c r="AD246" s="1508"/>
      <c r="AE246" s="1508"/>
      <c r="AF246" s="1271" t="s">
        <v>1665</v>
      </c>
      <c r="AG246" s="1271"/>
      <c r="AH246" s="1271"/>
      <c r="AI246" s="1271"/>
      <c r="AJ246" s="1271"/>
      <c r="AK246" s="1271"/>
      <c r="BA246" s="61"/>
    </row>
    <row r="247" spans="1:53" ht="12.75">
      <c r="A247" s="29"/>
      <c r="B247" s="7"/>
      <c r="C247" s="7"/>
      <c r="D247" s="57" t="s">
        <v>92</v>
      </c>
      <c r="E247" s="57"/>
      <c r="F247" s="57"/>
      <c r="G247" s="57"/>
      <c r="H247" s="57"/>
      <c r="I247" s="57"/>
      <c r="J247" s="57"/>
      <c r="K247" s="57"/>
      <c r="L247" s="7"/>
      <c r="M247" s="1098" t="s">
        <v>1666</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1419</v>
      </c>
      <c r="AG247" s="743"/>
      <c r="AH247" s="743"/>
      <c r="AI247" s="743"/>
      <c r="AJ247" s="743"/>
      <c r="AK247" s="743"/>
      <c r="AL247" s="7"/>
      <c r="BA247" s="61"/>
    </row>
    <row r="248" spans="1:53" ht="12.75">
      <c r="A248" s="29"/>
      <c r="B248" s="7"/>
      <c r="C248" s="7"/>
      <c r="D248" s="57" t="s">
        <v>631</v>
      </c>
      <c r="E248" s="57"/>
      <c r="M248" s="1098" t="s">
        <v>791</v>
      </c>
      <c r="N248" s="1098"/>
      <c r="O248" s="1098"/>
      <c r="P248" s="1098"/>
      <c r="Q248" s="1098"/>
      <c r="R248" s="1098"/>
      <c r="S248" s="1098"/>
      <c r="T248" s="1098"/>
      <c r="V248" s="59" t="s">
        <v>93</v>
      </c>
      <c r="W248" s="1242" t="s">
        <v>1658</v>
      </c>
      <c r="X248" s="1242"/>
      <c r="Y248" s="57" t="s">
        <v>634</v>
      </c>
      <c r="AC248" s="1098">
        <v>92127</v>
      </c>
      <c r="AD248" s="1098"/>
      <c r="AE248" s="1098"/>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8" t="s">
        <v>1667</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601">
        <v>5.0000000000000001E-3</v>
      </c>
      <c r="AI249" s="1601"/>
      <c r="AJ249" s="1601"/>
      <c r="AK249" s="1601"/>
      <c r="AL249" s="7"/>
      <c r="BA249" s="61"/>
    </row>
    <row r="250" spans="1:53" ht="12.75">
      <c r="A250" s="29"/>
      <c r="B250" s="7"/>
      <c r="C250" s="7"/>
      <c r="D250" s="60" t="s">
        <v>95</v>
      </c>
      <c r="E250" s="7"/>
      <c r="F250" s="7"/>
      <c r="M250" s="1104" t="s">
        <v>1668</v>
      </c>
      <c r="N250" s="1104"/>
      <c r="O250" s="1104"/>
      <c r="P250" s="1104"/>
      <c r="Q250" s="1104"/>
      <c r="R250" s="1104"/>
      <c r="S250" s="7" t="s">
        <v>220</v>
      </c>
      <c r="T250" s="7"/>
      <c r="U250" s="1105"/>
      <c r="V250" s="1105"/>
      <c r="W250" s="1105"/>
      <c r="X250" s="7" t="s">
        <v>96</v>
      </c>
      <c r="Z250" s="1103" t="s">
        <v>1669</v>
      </c>
      <c r="AA250" s="1103"/>
      <c r="AB250" s="1103"/>
      <c r="AC250" s="1103"/>
      <c r="AD250" s="1103"/>
      <c r="AE250" s="1103"/>
      <c r="BA250" s="61"/>
    </row>
    <row r="251" spans="1:53" ht="12.75" customHeight="1">
      <c r="A251" s="29"/>
      <c r="B251" s="7"/>
      <c r="C251" s="7"/>
      <c r="D251" s="60" t="s">
        <v>97</v>
      </c>
      <c r="E251" s="7"/>
      <c r="F251" s="7"/>
      <c r="M251" s="1511" t="s">
        <v>1670</v>
      </c>
      <c r="N251" s="1511"/>
      <c r="O251" s="1511"/>
      <c r="P251" s="1511"/>
      <c r="Q251" s="1511"/>
      <c r="R251" s="1511"/>
      <c r="S251" s="1511"/>
      <c r="T251" s="1511"/>
      <c r="U251" s="1511"/>
      <c r="V251" s="1511"/>
      <c r="W251" s="1511"/>
      <c r="X251" s="1511"/>
      <c r="Y251" s="1511"/>
      <c r="Z251" s="1511"/>
      <c r="AA251" s="1511"/>
      <c r="AB251" s="1511"/>
      <c r="AC251" s="1511"/>
      <c r="AD251" s="1511"/>
      <c r="AE251" s="151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581</v>
      </c>
      <c r="N252" s="1122"/>
      <c r="O252" s="1122"/>
      <c r="P252" s="1122"/>
      <c r="Q252" s="1122"/>
      <c r="R252" s="1122"/>
      <c r="S252" s="1122"/>
      <c r="T252" s="1122"/>
      <c r="U252" s="404" t="s">
        <v>1005</v>
      </c>
      <c r="V252" s="335"/>
      <c r="W252" s="335"/>
      <c r="X252" s="335"/>
      <c r="Y252" s="335"/>
      <c r="Z252" s="335"/>
      <c r="AA252" s="1334"/>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1"/>
      <c r="N254" s="1271"/>
      <c r="O254" s="1271"/>
      <c r="P254" s="1271"/>
      <c r="Q254" s="1271"/>
      <c r="R254" s="1271"/>
      <c r="S254" s="1271"/>
      <c r="T254" s="1271"/>
      <c r="U254" s="1271"/>
      <c r="V254" s="1271"/>
      <c r="W254" s="1271"/>
      <c r="X254" s="1271"/>
      <c r="Y254" s="1271"/>
      <c r="Z254" s="1271"/>
      <c r="AA254" s="1271"/>
      <c r="AB254" s="1271"/>
      <c r="AC254" s="1271"/>
      <c r="AD254" s="1271"/>
      <c r="AE254" s="1271"/>
      <c r="AF254" s="1271" t="s">
        <v>329</v>
      </c>
      <c r="AG254" s="1271"/>
      <c r="AH254" s="1271"/>
      <c r="AI254" s="1271"/>
      <c r="AJ254" s="1271"/>
      <c r="AK254" s="1271"/>
      <c r="AL254" s="58"/>
      <c r="BA254" s="61"/>
    </row>
    <row r="255" spans="1:53" ht="12.75">
      <c r="A255" s="23"/>
      <c r="B255" s="7"/>
      <c r="C255" s="7"/>
      <c r="D255" s="57" t="s">
        <v>92</v>
      </c>
      <c r="E255" s="57"/>
      <c r="F255" s="57"/>
      <c r="G255" s="57"/>
      <c r="H255" s="57"/>
      <c r="I255" s="57"/>
      <c r="J255" s="57"/>
      <c r="K255" s="57"/>
      <c r="L255" s="7"/>
      <c r="M255" s="1238"/>
      <c r="N255" s="1238"/>
      <c r="O255" s="1238"/>
      <c r="P255" s="1238"/>
      <c r="Q255" s="1238"/>
      <c r="R255" s="1238"/>
      <c r="S255" s="1238"/>
      <c r="T255" s="1238"/>
      <c r="U255" s="1238"/>
      <c r="V255" s="1238"/>
      <c r="W255" s="1238"/>
      <c r="X255" s="1238"/>
      <c r="Y255" s="1238"/>
      <c r="Z255" s="1238"/>
      <c r="AA255" s="1238"/>
      <c r="AB255" s="1238"/>
      <c r="AC255" s="1238"/>
      <c r="AD255" s="1238"/>
      <c r="AE255" s="1238"/>
      <c r="AF255" s="58" t="s">
        <v>1419</v>
      </c>
      <c r="AG255" s="743"/>
      <c r="AH255" s="743"/>
      <c r="AI255" s="743"/>
      <c r="AJ255" s="743"/>
      <c r="AK255" s="743"/>
      <c r="AL255" s="58"/>
      <c r="BA255" s="61"/>
    </row>
    <row r="256" spans="1:53" ht="12.75">
      <c r="A256" s="23"/>
      <c r="B256" s="7"/>
      <c r="C256" s="7"/>
      <c r="D256" s="57" t="s">
        <v>631</v>
      </c>
      <c r="E256" s="57"/>
      <c r="M256" s="1238"/>
      <c r="N256" s="1238"/>
      <c r="O256" s="1238"/>
      <c r="P256" s="1238"/>
      <c r="Q256" s="1238"/>
      <c r="R256" s="1238"/>
      <c r="S256" s="1238"/>
      <c r="T256" s="1238"/>
      <c r="V256" s="59" t="s">
        <v>93</v>
      </c>
      <c r="W256" s="1105"/>
      <c r="X256" s="1105"/>
      <c r="Y256" s="57" t="s">
        <v>634</v>
      </c>
      <c r="AC256" s="1238"/>
      <c r="AD256" s="1238"/>
      <c r="AE256" s="1238"/>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8"/>
      <c r="N257" s="1238"/>
      <c r="O257" s="1238"/>
      <c r="P257" s="1238"/>
      <c r="Q257" s="1238"/>
      <c r="R257" s="1238"/>
      <c r="S257" s="1238"/>
      <c r="T257" s="1238"/>
      <c r="U257" s="1238"/>
      <c r="V257" s="1238"/>
      <c r="W257" s="1238"/>
      <c r="X257" s="1238"/>
      <c r="Y257" s="1238"/>
      <c r="Z257" s="1238"/>
      <c r="AA257" s="1238"/>
      <c r="AB257" s="1238"/>
      <c r="AC257" s="1238"/>
      <c r="AD257" s="1238"/>
      <c r="AE257" s="1238"/>
      <c r="AF257" s="743"/>
      <c r="AG257" s="743"/>
      <c r="AH257" s="1601"/>
      <c r="AI257" s="1601"/>
      <c r="AJ257" s="1601"/>
      <c r="AK257" s="1601"/>
      <c r="AL257" s="58"/>
      <c r="BA257" s="61"/>
    </row>
    <row r="258" spans="1:53" ht="12.75">
      <c r="A258" s="23"/>
      <c r="B258" s="7"/>
      <c r="C258" s="7"/>
      <c r="D258" s="60" t="s">
        <v>95</v>
      </c>
      <c r="E258" s="7"/>
      <c r="F258" s="7"/>
      <c r="M258" s="1104"/>
      <c r="N258" s="1104"/>
      <c r="O258" s="1104"/>
      <c r="P258" s="1104"/>
      <c r="Q258" s="1104"/>
      <c r="R258" s="1104"/>
      <c r="S258" s="7" t="s">
        <v>220</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511"/>
      <c r="N259" s="1511"/>
      <c r="O259" s="1511"/>
      <c r="P259" s="1511"/>
      <c r="Q259" s="1511"/>
      <c r="R259" s="1511"/>
      <c r="S259" s="1511"/>
      <c r="T259" s="1511"/>
      <c r="U259" s="1511"/>
      <c r="V259" s="1511"/>
      <c r="W259" s="1511"/>
      <c r="X259" s="1511"/>
      <c r="Y259" s="1511"/>
      <c r="Z259" s="1511"/>
      <c r="AA259" s="1518"/>
      <c r="AB259" s="1518"/>
      <c r="AC259" s="1518"/>
      <c r="AD259" s="1518"/>
      <c r="AE259" s="1518"/>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19"/>
      <c r="AB260" s="1519"/>
      <c r="AC260" s="1519"/>
      <c r="AD260" s="1519"/>
      <c r="AE260" s="1519"/>
      <c r="AF260" s="1519"/>
      <c r="AG260" s="1519"/>
      <c r="AH260" s="1519"/>
      <c r="AI260" s="1519"/>
      <c r="AJ260" s="1519"/>
      <c r="AK260" s="151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4" t="str">
        <f>BB239</f>
        <v>Joint Venture</v>
      </c>
      <c r="U262" s="1514"/>
      <c r="V262" s="1514"/>
      <c r="W262" s="1514"/>
      <c r="X262" s="151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8" t="s">
        <v>296</v>
      </c>
      <c r="E265" s="1238"/>
      <c r="F265" s="1238"/>
      <c r="G265" s="1238"/>
      <c r="H265" s="1238"/>
      <c r="J265" s="12" t="s">
        <v>295</v>
      </c>
      <c r="X265" s="1441"/>
      <c r="Y265" s="1441"/>
      <c r="Z265" s="1441"/>
      <c r="AA265" s="1441"/>
      <c r="AB265" s="1441"/>
      <c r="AC265" s="144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8" t="s">
        <v>1671</v>
      </c>
      <c r="M269" s="1508"/>
      <c r="N269" s="1508"/>
      <c r="O269" s="1508"/>
      <c r="P269" s="1508"/>
      <c r="Q269" s="1508"/>
      <c r="R269" s="1508"/>
      <c r="S269" s="1508"/>
      <c r="T269" s="1508"/>
      <c r="U269" s="1508"/>
      <c r="V269" s="1508"/>
      <c r="W269" s="1508"/>
      <c r="X269" s="1508"/>
      <c r="Y269" s="1508"/>
      <c r="Z269" s="1508"/>
      <c r="AA269" s="1508"/>
      <c r="AB269" s="1508"/>
      <c r="AC269" s="1508"/>
      <c r="AD269" s="1508"/>
      <c r="AE269" s="1508"/>
      <c r="AF269" s="1508"/>
      <c r="AG269" s="1508"/>
      <c r="AH269" s="1508"/>
      <c r="AI269" s="1508"/>
      <c r="AJ269" s="1508"/>
      <c r="AK269" s="58"/>
      <c r="AL269" s="58"/>
      <c r="BA269" s="61"/>
    </row>
    <row r="270" spans="1:53" ht="12.75" customHeight="1">
      <c r="D270" s="57" t="s">
        <v>92</v>
      </c>
      <c r="E270" s="57"/>
      <c r="F270" s="57"/>
      <c r="G270" s="57"/>
      <c r="H270" s="57"/>
      <c r="I270" s="57"/>
      <c r="J270" s="57"/>
      <c r="K270" s="7"/>
      <c r="L270" s="1098" t="s">
        <v>1656</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631</v>
      </c>
      <c r="E271" s="57"/>
      <c r="L271" s="1098" t="s">
        <v>1657</v>
      </c>
      <c r="M271" s="1098"/>
      <c r="N271" s="1098"/>
      <c r="O271" s="1098"/>
      <c r="P271" s="1098"/>
      <c r="Q271" s="1098"/>
      <c r="R271" s="1098"/>
      <c r="S271" s="1098"/>
      <c r="U271" s="59" t="s">
        <v>93</v>
      </c>
      <c r="V271" s="1242" t="s">
        <v>1658</v>
      </c>
      <c r="W271" s="1105"/>
      <c r="X271" s="57" t="s">
        <v>634</v>
      </c>
      <c r="AB271" s="1238">
        <v>92011</v>
      </c>
      <c r="AC271" s="1238"/>
      <c r="AD271" s="1238"/>
      <c r="AK271" s="58"/>
      <c r="AL271" s="58"/>
      <c r="BA271" s="61"/>
    </row>
    <row r="272" spans="1:53" ht="12.75">
      <c r="D272" s="60" t="s">
        <v>94</v>
      </c>
      <c r="E272" s="7"/>
      <c r="F272" s="7"/>
      <c r="G272" s="7"/>
      <c r="H272" s="7"/>
      <c r="I272" s="7"/>
      <c r="J272" s="7"/>
      <c r="K272" s="29"/>
      <c r="L272" s="1098" t="s">
        <v>1659</v>
      </c>
      <c r="M272" s="1098"/>
      <c r="N272" s="1098"/>
      <c r="O272" s="1098"/>
      <c r="P272" s="1098"/>
      <c r="Q272" s="1098"/>
      <c r="R272" s="1098"/>
      <c r="S272" s="1098"/>
      <c r="T272" s="1098"/>
      <c r="U272" s="1098"/>
      <c r="V272" s="1098"/>
      <c r="W272" s="1098"/>
      <c r="X272" s="1098"/>
      <c r="Y272" s="1098"/>
      <c r="Z272" s="1098"/>
      <c r="AA272" s="1098"/>
      <c r="AB272" s="1098"/>
      <c r="AC272" s="1098"/>
      <c r="AD272" s="1098"/>
      <c r="AI272" s="7"/>
      <c r="AJ272" s="7"/>
      <c r="AK272" s="58"/>
      <c r="AL272" s="58"/>
      <c r="BA272" s="61"/>
    </row>
    <row r="273" spans="1:53" ht="12.75">
      <c r="D273" s="60" t="s">
        <v>95</v>
      </c>
      <c r="E273" s="7"/>
      <c r="F273" s="7"/>
      <c r="L273" s="1103" t="s">
        <v>1660</v>
      </c>
      <c r="M273" s="1103"/>
      <c r="N273" s="1103"/>
      <c r="O273" s="1103"/>
      <c r="P273" s="1103"/>
      <c r="Q273" s="1103"/>
      <c r="R273" s="7" t="s">
        <v>220</v>
      </c>
      <c r="S273" s="7"/>
      <c r="T273" s="1105"/>
      <c r="U273" s="1105"/>
      <c r="V273" s="1105"/>
      <c r="W273" s="7" t="s">
        <v>96</v>
      </c>
      <c r="Y273" s="1103" t="s">
        <v>1672</v>
      </c>
      <c r="Z273" s="1103"/>
      <c r="AA273" s="1103"/>
      <c r="AB273" s="1103"/>
      <c r="AC273" s="1103"/>
      <c r="AD273" s="1103"/>
      <c r="BA273" s="61"/>
    </row>
    <row r="274" spans="1:53" ht="12.75">
      <c r="D274" s="60" t="s">
        <v>97</v>
      </c>
      <c r="E274" s="7"/>
      <c r="F274" s="7"/>
      <c r="L274" s="1511" t="s">
        <v>1661</v>
      </c>
      <c r="M274" s="1511"/>
      <c r="N274" s="1511"/>
      <c r="O274" s="1511"/>
      <c r="P274" s="1511"/>
      <c r="Q274" s="1511"/>
      <c r="R274" s="1511"/>
      <c r="S274" s="1511"/>
      <c r="T274" s="1511"/>
      <c r="U274" s="1511"/>
      <c r="V274" s="1511"/>
      <c r="W274" s="1511"/>
      <c r="X274" s="1511"/>
      <c r="Y274" s="1511"/>
      <c r="Z274" s="1511"/>
      <c r="AA274" s="1511"/>
      <c r="AB274" s="1511"/>
      <c r="AC274" s="1511"/>
      <c r="AD274" s="1511"/>
      <c r="AF274" s="7"/>
      <c r="AG274" s="7"/>
      <c r="AH274" s="7"/>
      <c r="AI274" s="7"/>
      <c r="AJ274" s="7"/>
      <c r="BA274" s="61"/>
    </row>
    <row r="275" spans="1:53" ht="12.75">
      <c r="D275" s="58" t="s">
        <v>674</v>
      </c>
      <c r="E275" s="58"/>
      <c r="F275" s="58"/>
      <c r="G275" s="58"/>
      <c r="H275" s="58"/>
      <c r="I275" s="58"/>
      <c r="L275" s="1242" t="s">
        <v>1673</v>
      </c>
      <c r="M275" s="1242"/>
      <c r="N275" s="1242"/>
      <c r="O275" s="1242"/>
      <c r="P275" s="1242"/>
      <c r="Q275" s="1242"/>
      <c r="R275" s="1242"/>
      <c r="S275" s="1242"/>
      <c r="T275" s="1242"/>
      <c r="U275" s="1242"/>
      <c r="V275" s="1242"/>
      <c r="W275" s="1242"/>
      <c r="X275" s="1242"/>
      <c r="Y275" s="1242"/>
      <c r="Z275" s="1242"/>
      <c r="AA275" s="1242"/>
      <c r="AB275" s="1242"/>
      <c r="AC275" s="1242"/>
      <c r="AD275" s="1242"/>
      <c r="AK275" s="58"/>
      <c r="AL275" s="58"/>
      <c r="BA275" s="61"/>
    </row>
    <row r="276" spans="1:53" ht="12.75">
      <c r="L276" s="35" t="s">
        <v>675</v>
      </c>
      <c r="BA276" s="61"/>
    </row>
    <row r="277" spans="1:53" ht="12.75">
      <c r="A277" s="1276" t="s">
        <v>588</v>
      </c>
      <c r="B277" s="1276"/>
      <c r="C277" s="1276"/>
      <c r="D277" s="1276"/>
      <c r="E277" s="1276"/>
      <c r="F277" s="1276"/>
      <c r="G277" s="1276"/>
      <c r="H277" s="1276"/>
      <c r="I277" s="1276"/>
      <c r="J277" s="1276"/>
      <c r="K277" s="1276"/>
      <c r="L277" s="1276"/>
      <c r="M277" s="1276"/>
      <c r="N277" s="1276"/>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BA277" s="61"/>
    </row>
    <row r="278" spans="1:53" ht="13.5" thickBot="1">
      <c r="A278" s="1277"/>
      <c r="B278" s="1277"/>
      <c r="C278" s="1277"/>
      <c r="D278" s="1277"/>
      <c r="E278" s="1277"/>
      <c r="F278" s="1277"/>
      <c r="G278" s="1277"/>
      <c r="H278" s="1277"/>
      <c r="I278" s="1277"/>
      <c r="J278" s="1277"/>
      <c r="K278" s="1277"/>
      <c r="L278" s="1277"/>
      <c r="M278" s="1277"/>
      <c r="N278" s="1277"/>
      <c r="O278" s="1277"/>
      <c r="P278" s="1277"/>
      <c r="Q278" s="1277"/>
      <c r="R278" s="1277"/>
      <c r="S278" s="1277"/>
      <c r="T278" s="1277"/>
      <c r="U278" s="1277"/>
      <c r="V278" s="1277"/>
      <c r="W278" s="1277"/>
      <c r="X278" s="1277"/>
      <c r="Y278" s="1277"/>
      <c r="Z278" s="1277"/>
      <c r="AA278" s="1277"/>
      <c r="AB278" s="1277"/>
      <c r="AC278" s="1277"/>
      <c r="AD278" s="1277"/>
      <c r="AE278" s="1277"/>
      <c r="AF278" s="1277"/>
      <c r="AG278" s="1277"/>
      <c r="AH278" s="1277"/>
      <c r="AI278" s="1277"/>
      <c r="AJ278" s="1277"/>
      <c r="AK278" s="1277"/>
      <c r="AL278" s="127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0" t="s">
        <v>1707</v>
      </c>
      <c r="I282" s="1100"/>
      <c r="J282" s="1100"/>
      <c r="K282" s="1100"/>
      <c r="L282" s="1100"/>
      <c r="M282" s="1100"/>
      <c r="N282" s="1100"/>
      <c r="O282" s="1100"/>
      <c r="P282" s="1100"/>
      <c r="Q282" s="1100"/>
      <c r="R282" s="1100"/>
      <c r="T282" s="58" t="s">
        <v>616</v>
      </c>
      <c r="V282" s="58"/>
      <c r="W282" s="58"/>
      <c r="X282" s="58"/>
      <c r="Y282" s="58"/>
      <c r="AA282" s="1100" t="s">
        <v>1714</v>
      </c>
      <c r="AB282" s="1100"/>
      <c r="AC282" s="1100"/>
      <c r="AD282" s="1100"/>
      <c r="AE282" s="1100"/>
      <c r="AF282" s="1100"/>
      <c r="AG282" s="1100"/>
      <c r="AH282" s="1100"/>
      <c r="AI282" s="1100"/>
      <c r="AJ282" s="1100"/>
      <c r="AK282" s="1100"/>
      <c r="BA282" s="61"/>
    </row>
    <row r="283" spans="1:53" ht="12.75" customHeight="1">
      <c r="B283" s="58" t="s">
        <v>518</v>
      </c>
      <c r="C283" s="58"/>
      <c r="D283" s="58"/>
      <c r="E283" s="58"/>
      <c r="F283" s="58"/>
      <c r="H283" s="1122" t="s">
        <v>1708</v>
      </c>
      <c r="I283" s="1122"/>
      <c r="J283" s="1122"/>
      <c r="K283" s="1122"/>
      <c r="L283" s="1122"/>
      <c r="M283" s="1122"/>
      <c r="N283" s="1122"/>
      <c r="O283" s="1122"/>
      <c r="P283" s="1122"/>
      <c r="Q283" s="1122"/>
      <c r="R283" s="1122"/>
      <c r="T283" s="58" t="s">
        <v>518</v>
      </c>
      <c r="V283" s="58"/>
      <c r="W283" s="58"/>
      <c r="X283" s="58"/>
      <c r="Y283" s="58"/>
      <c r="AA283" s="1122" t="s">
        <v>1715</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122" t="s">
        <v>1709</v>
      </c>
      <c r="I284" s="1122"/>
      <c r="J284" s="1122"/>
      <c r="K284" s="1122"/>
      <c r="L284" s="1122"/>
      <c r="M284" s="1122"/>
      <c r="N284" s="1122"/>
      <c r="O284" s="1122"/>
      <c r="P284" s="1122"/>
      <c r="Q284" s="1122"/>
      <c r="R284" s="1122"/>
      <c r="T284" s="58" t="s">
        <v>81</v>
      </c>
      <c r="V284" s="58"/>
      <c r="W284" s="58"/>
      <c r="X284" s="58"/>
      <c r="Y284" s="58"/>
      <c r="AA284" s="1122" t="s">
        <v>1716</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2" t="s">
        <v>1710</v>
      </c>
      <c r="I285" s="1122"/>
      <c r="J285" s="1122"/>
      <c r="K285" s="1122"/>
      <c r="L285" s="1122"/>
      <c r="M285" s="1122"/>
      <c r="N285" s="1122"/>
      <c r="O285" s="1122"/>
      <c r="P285" s="1122"/>
      <c r="Q285" s="1122"/>
      <c r="R285" s="1122"/>
      <c r="T285" s="58" t="s">
        <v>94</v>
      </c>
      <c r="V285" s="58"/>
      <c r="W285" s="58"/>
      <c r="X285" s="58"/>
      <c r="Y285" s="58"/>
      <c r="AA285" s="1122" t="s">
        <v>1717</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3" t="s">
        <v>1711</v>
      </c>
      <c r="I286" s="1124"/>
      <c r="J286" s="1124"/>
      <c r="K286" s="1124"/>
      <c r="L286" s="1124"/>
      <c r="M286" s="1124"/>
      <c r="N286" s="7" t="s">
        <v>220</v>
      </c>
      <c r="O286" s="7"/>
      <c r="P286" s="1238"/>
      <c r="Q286" s="1238"/>
      <c r="R286" s="1238"/>
      <c r="S286" s="58"/>
      <c r="T286" s="58" t="s">
        <v>95</v>
      </c>
      <c r="V286" s="58"/>
      <c r="W286" s="58"/>
      <c r="X286" s="58"/>
      <c r="Y286" s="58"/>
      <c r="AA286" s="1123" t="s">
        <v>1718</v>
      </c>
      <c r="AB286" s="1124"/>
      <c r="AC286" s="1124"/>
      <c r="AD286" s="1124"/>
      <c r="AE286" s="1124"/>
      <c r="AF286" s="1124"/>
      <c r="AG286" s="7" t="s">
        <v>220</v>
      </c>
      <c r="AH286" s="7"/>
      <c r="AI286" s="1238"/>
      <c r="AJ286" s="1238"/>
      <c r="AK286" s="1238"/>
      <c r="BA286" s="61"/>
    </row>
    <row r="287" spans="1:53" ht="12.75">
      <c r="B287" s="58" t="s">
        <v>96</v>
      </c>
      <c r="C287" s="58"/>
      <c r="D287" s="58"/>
      <c r="E287" s="58"/>
      <c r="F287" s="58"/>
      <c r="G287" s="58"/>
      <c r="H287" s="1103" t="s">
        <v>1712</v>
      </c>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122" t="s">
        <v>1713</v>
      </c>
      <c r="I288" s="1122"/>
      <c r="J288" s="1122"/>
      <c r="K288" s="1122"/>
      <c r="L288" s="1122"/>
      <c r="M288" s="1122"/>
      <c r="N288" s="1100"/>
      <c r="O288" s="1100"/>
      <c r="P288" s="1100"/>
      <c r="Q288" s="1100"/>
      <c r="R288" s="1100"/>
      <c r="S288" s="58"/>
      <c r="T288" s="58" t="s">
        <v>82</v>
      </c>
      <c r="V288" s="58"/>
      <c r="W288" s="58"/>
      <c r="X288" s="58"/>
      <c r="Y288" s="58"/>
      <c r="AA288" s="1122" t="s">
        <v>1719</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1720</v>
      </c>
      <c r="I290" s="1100"/>
      <c r="J290" s="1100"/>
      <c r="K290" s="1100"/>
      <c r="L290" s="1100"/>
      <c r="M290" s="1100"/>
      <c r="N290" s="1100"/>
      <c r="O290" s="1100"/>
      <c r="P290" s="1100"/>
      <c r="Q290" s="1100"/>
      <c r="R290" s="1100"/>
      <c r="T290" s="58" t="s">
        <v>388</v>
      </c>
      <c r="V290" s="58"/>
      <c r="W290" s="58"/>
      <c r="X290" s="58"/>
      <c r="Y290" s="58"/>
      <c r="AA290" s="1100" t="s">
        <v>1726</v>
      </c>
      <c r="AB290" s="1100"/>
      <c r="AC290" s="1100"/>
      <c r="AD290" s="1100"/>
      <c r="AE290" s="1100"/>
      <c r="AF290" s="1100"/>
      <c r="AG290" s="1100"/>
      <c r="AH290" s="1100"/>
      <c r="AI290" s="1100"/>
      <c r="AJ290" s="1100"/>
      <c r="AK290" s="1100"/>
      <c r="BA290" s="61"/>
    </row>
    <row r="291" spans="2:53" ht="12.75">
      <c r="B291" s="58" t="s">
        <v>518</v>
      </c>
      <c r="C291" s="58"/>
      <c r="D291" s="58"/>
      <c r="E291" s="58"/>
      <c r="F291" s="58"/>
      <c r="H291" s="1122" t="s">
        <v>1721</v>
      </c>
      <c r="I291" s="1122"/>
      <c r="J291" s="1122"/>
      <c r="K291" s="1122"/>
      <c r="L291" s="1122"/>
      <c r="M291" s="1122"/>
      <c r="N291" s="1122"/>
      <c r="O291" s="1122"/>
      <c r="P291" s="1122"/>
      <c r="Q291" s="1122"/>
      <c r="R291" s="1122"/>
      <c r="T291" s="58" t="s">
        <v>518</v>
      </c>
      <c r="V291" s="58"/>
      <c r="W291" s="58"/>
      <c r="X291" s="58"/>
      <c r="Y291" s="58"/>
      <c r="AA291" s="1122" t="s">
        <v>1727</v>
      </c>
      <c r="AB291" s="1122"/>
      <c r="AC291" s="1122"/>
      <c r="AD291" s="1122"/>
      <c r="AE291" s="1122"/>
      <c r="AF291" s="1122"/>
      <c r="AG291" s="1122"/>
      <c r="AH291" s="1122"/>
      <c r="AI291" s="1122"/>
      <c r="AJ291" s="1122"/>
      <c r="AK291" s="1122"/>
      <c r="BA291" s="61"/>
    </row>
    <row r="292" spans="2:53" ht="12.75">
      <c r="B292" s="58" t="s">
        <v>519</v>
      </c>
      <c r="C292" s="58"/>
      <c r="D292" s="58"/>
      <c r="E292" s="58"/>
      <c r="F292" s="58"/>
      <c r="H292" s="1122" t="s">
        <v>1722</v>
      </c>
      <c r="I292" s="1122"/>
      <c r="J292" s="1122"/>
      <c r="K292" s="1122"/>
      <c r="L292" s="1122"/>
      <c r="M292" s="1122"/>
      <c r="N292" s="1122"/>
      <c r="O292" s="1122"/>
      <c r="P292" s="1122"/>
      <c r="Q292" s="1122"/>
      <c r="R292" s="1122"/>
      <c r="T292" s="58" t="s">
        <v>81</v>
      </c>
      <c r="V292" s="58"/>
      <c r="W292" s="58"/>
      <c r="X292" s="58"/>
      <c r="Y292" s="58"/>
      <c r="AA292" s="1122" t="s">
        <v>1728</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2" t="s">
        <v>1723</v>
      </c>
      <c r="I293" s="1122"/>
      <c r="J293" s="1122"/>
      <c r="K293" s="1122"/>
      <c r="L293" s="1122"/>
      <c r="M293" s="1122"/>
      <c r="N293" s="1122"/>
      <c r="O293" s="1122"/>
      <c r="P293" s="1122"/>
      <c r="Q293" s="1122"/>
      <c r="R293" s="1122"/>
      <c r="T293" s="58" t="s">
        <v>94</v>
      </c>
      <c r="V293" s="58"/>
      <c r="W293" s="58"/>
      <c r="X293" s="58"/>
      <c r="Y293" s="58"/>
      <c r="AA293" s="1122" t="s">
        <v>1751</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1724</v>
      </c>
      <c r="I294" s="1124"/>
      <c r="J294" s="1124"/>
      <c r="K294" s="1124"/>
      <c r="L294" s="1124"/>
      <c r="M294" s="1124"/>
      <c r="N294" s="7" t="s">
        <v>220</v>
      </c>
      <c r="O294" s="7"/>
      <c r="P294" s="1238"/>
      <c r="Q294" s="1238"/>
      <c r="R294" s="1238"/>
      <c r="S294" s="58"/>
      <c r="T294" s="58" t="s">
        <v>95</v>
      </c>
      <c r="V294" s="58"/>
      <c r="W294" s="58"/>
      <c r="X294" s="58"/>
      <c r="Y294" s="58"/>
      <c r="AA294" s="1123" t="s">
        <v>1752</v>
      </c>
      <c r="AB294" s="1124"/>
      <c r="AC294" s="1124"/>
      <c r="AD294" s="1124"/>
      <c r="AE294" s="1124"/>
      <c r="AF294" s="1124"/>
      <c r="AG294" s="7" t="s">
        <v>220</v>
      </c>
      <c r="AH294" s="7"/>
      <c r="AI294" s="1238"/>
      <c r="AJ294" s="1238"/>
      <c r="AK294" s="1238"/>
      <c r="BA294" s="61"/>
    </row>
    <row r="295" spans="2:53" ht="12.75" customHeight="1">
      <c r="B295" s="58" t="s">
        <v>96</v>
      </c>
      <c r="C295" s="58"/>
      <c r="D295" s="58"/>
      <c r="E295" s="58"/>
      <c r="F295" s="58"/>
      <c r="G295" s="58"/>
      <c r="H295" s="1104"/>
      <c r="I295" s="1104"/>
      <c r="J295" s="1104"/>
      <c r="K295" s="1104"/>
      <c r="L295" s="1104"/>
      <c r="M295" s="1104"/>
      <c r="N295" s="60"/>
      <c r="O295" s="60"/>
      <c r="P295" s="62"/>
      <c r="Q295" s="62"/>
      <c r="R295" s="62"/>
      <c r="S295" s="58"/>
      <c r="T295" s="58" t="s">
        <v>96</v>
      </c>
      <c r="V295" s="58"/>
      <c r="W295" s="58"/>
      <c r="X295" s="58"/>
      <c r="Y295" s="58"/>
      <c r="AA295" s="1104"/>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2" t="s">
        <v>1725</v>
      </c>
      <c r="I296" s="1122"/>
      <c r="J296" s="1122"/>
      <c r="K296" s="1122"/>
      <c r="L296" s="1122"/>
      <c r="M296" s="1122"/>
      <c r="N296" s="1100"/>
      <c r="O296" s="1100"/>
      <c r="P296" s="1100"/>
      <c r="Q296" s="1100"/>
      <c r="R296" s="1100"/>
      <c r="S296" s="58"/>
      <c r="T296" s="58" t="s">
        <v>82</v>
      </c>
      <c r="V296" s="58"/>
      <c r="W296" s="58"/>
      <c r="X296" s="58"/>
      <c r="Y296" s="58"/>
      <c r="AA296" s="1122" t="s">
        <v>1753</v>
      </c>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098" t="str">
        <f>+H290</f>
        <v>Odu &amp; Associates, PC</v>
      </c>
      <c r="I298" s="1100"/>
      <c r="J298" s="1100"/>
      <c r="K298" s="1100"/>
      <c r="L298" s="1100"/>
      <c r="M298" s="1100"/>
      <c r="N298" s="1100"/>
      <c r="O298" s="1100"/>
      <c r="P298" s="1100"/>
      <c r="Q298" s="1100"/>
      <c r="R298" s="1100"/>
      <c r="T298" s="7" t="s">
        <v>973</v>
      </c>
      <c r="V298" s="58"/>
      <c r="W298" s="58"/>
      <c r="X298" s="58"/>
      <c r="Y298" s="58"/>
      <c r="AA298" s="1100" t="s">
        <v>1729</v>
      </c>
      <c r="AB298" s="1100"/>
      <c r="AC298" s="1100"/>
      <c r="AD298" s="1100"/>
      <c r="AE298" s="1100"/>
      <c r="AF298" s="1100"/>
      <c r="AG298" s="1100"/>
      <c r="AH298" s="1100"/>
      <c r="AI298" s="1100"/>
      <c r="AJ298" s="1100"/>
      <c r="AK298" s="1100"/>
      <c r="BA298" s="61"/>
    </row>
    <row r="299" spans="2:53" ht="12.75">
      <c r="B299" s="58" t="s">
        <v>518</v>
      </c>
      <c r="C299" s="58"/>
      <c r="D299" s="58"/>
      <c r="E299" s="58"/>
      <c r="F299" s="58"/>
      <c r="H299" s="1122" t="str">
        <f>+H291</f>
        <v>31805 Temecula Parkway #720</v>
      </c>
      <c r="I299" s="1122"/>
      <c r="J299" s="1122"/>
      <c r="K299" s="1122"/>
      <c r="L299" s="1122"/>
      <c r="M299" s="1122"/>
      <c r="N299" s="1122"/>
      <c r="O299" s="1122"/>
      <c r="P299" s="1122"/>
      <c r="Q299" s="1122"/>
      <c r="R299" s="1122"/>
      <c r="T299" s="58" t="s">
        <v>518</v>
      </c>
      <c r="V299" s="58"/>
      <c r="W299" s="58"/>
      <c r="X299" s="58"/>
      <c r="Y299" s="58"/>
      <c r="AA299" s="1122" t="s">
        <v>1730</v>
      </c>
      <c r="AB299" s="1122"/>
      <c r="AC299" s="1122"/>
      <c r="AD299" s="1122"/>
      <c r="AE299" s="1122"/>
      <c r="AF299" s="1122"/>
      <c r="AG299" s="1122"/>
      <c r="AH299" s="1122"/>
      <c r="AI299" s="1122"/>
      <c r="AJ299" s="1122"/>
      <c r="AK299" s="1122"/>
      <c r="BA299" s="61"/>
    </row>
    <row r="300" spans="2:53" ht="12.75">
      <c r="B300" s="58" t="s">
        <v>519</v>
      </c>
      <c r="C300" s="58"/>
      <c r="D300" s="58"/>
      <c r="E300" s="58"/>
      <c r="F300" s="58"/>
      <c r="H300" s="1122" t="str">
        <f>+H292</f>
        <v>Temecula, CA 92592</v>
      </c>
      <c r="I300" s="1122"/>
      <c r="J300" s="1122"/>
      <c r="K300" s="1122"/>
      <c r="L300" s="1122"/>
      <c r="M300" s="1122"/>
      <c r="N300" s="1122"/>
      <c r="O300" s="1122"/>
      <c r="P300" s="1122"/>
      <c r="Q300" s="1122"/>
      <c r="R300" s="1122"/>
      <c r="T300" s="58" t="s">
        <v>81</v>
      </c>
      <c r="V300" s="58"/>
      <c r="W300" s="58"/>
      <c r="X300" s="58"/>
      <c r="Y300" s="58"/>
      <c r="AA300" s="1122" t="s">
        <v>1731</v>
      </c>
      <c r="AB300" s="1122"/>
      <c r="AC300" s="1122"/>
      <c r="AD300" s="1122"/>
      <c r="AE300" s="1122"/>
      <c r="AF300" s="1122"/>
      <c r="AG300" s="1122"/>
      <c r="AH300" s="1122"/>
      <c r="AI300" s="1122"/>
      <c r="AJ300" s="1122"/>
      <c r="AK300" s="1122"/>
      <c r="BA300" s="61"/>
    </row>
    <row r="301" spans="2:53" ht="12.75">
      <c r="B301" s="58" t="s">
        <v>94</v>
      </c>
      <c r="C301" s="58"/>
      <c r="D301" s="58"/>
      <c r="E301" s="58"/>
      <c r="F301" s="58"/>
      <c r="H301" s="1122" t="str">
        <f>+H293</f>
        <v>Nkechi Odu</v>
      </c>
      <c r="I301" s="1122"/>
      <c r="J301" s="1122"/>
      <c r="K301" s="1122"/>
      <c r="L301" s="1122"/>
      <c r="M301" s="1122"/>
      <c r="N301" s="1122"/>
      <c r="O301" s="1122"/>
      <c r="P301" s="1122"/>
      <c r="Q301" s="1122"/>
      <c r="R301" s="1122"/>
      <c r="T301" s="58" t="s">
        <v>94</v>
      </c>
      <c r="V301" s="58"/>
      <c r="W301" s="58"/>
      <c r="X301" s="58"/>
      <c r="Y301" s="58"/>
      <c r="AA301" s="1122" t="s">
        <v>1732</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4" t="str">
        <f>+H294</f>
        <v>(951) 215-6212</v>
      </c>
      <c r="I302" s="1124"/>
      <c r="J302" s="1124"/>
      <c r="K302" s="1124"/>
      <c r="L302" s="1124"/>
      <c r="M302" s="1124"/>
      <c r="N302" s="7" t="s">
        <v>220</v>
      </c>
      <c r="O302" s="7"/>
      <c r="P302" s="1238"/>
      <c r="Q302" s="1238"/>
      <c r="R302" s="1238"/>
      <c r="S302" s="58"/>
      <c r="T302" s="58" t="s">
        <v>95</v>
      </c>
      <c r="V302" s="58"/>
      <c r="W302" s="58"/>
      <c r="X302" s="58"/>
      <c r="Y302" s="58"/>
      <c r="AA302" s="1123" t="s">
        <v>1733</v>
      </c>
      <c r="AB302" s="1124"/>
      <c r="AC302" s="1124"/>
      <c r="AD302" s="1124"/>
      <c r="AE302" s="1124"/>
      <c r="AF302" s="1124"/>
      <c r="AG302" s="7" t="s">
        <v>220</v>
      </c>
      <c r="AH302" s="7"/>
      <c r="AI302" s="1238"/>
      <c r="AJ302" s="1238"/>
      <c r="AK302" s="1238"/>
      <c r="BA302" s="61"/>
    </row>
    <row r="303" spans="2:53" ht="12.75">
      <c r="B303" s="58" t="s">
        <v>96</v>
      </c>
      <c r="C303" s="58"/>
      <c r="D303" s="58"/>
      <c r="E303" s="58"/>
      <c r="F303" s="58"/>
      <c r="G303" s="58"/>
      <c r="H303" s="1104"/>
      <c r="I303" s="1104"/>
      <c r="J303" s="1104"/>
      <c r="K303" s="1104"/>
      <c r="L303" s="1104"/>
      <c r="M303" s="1104"/>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22" t="str">
        <f>+H296</f>
        <v>nkechi@odulaw.com</v>
      </c>
      <c r="I304" s="1122"/>
      <c r="J304" s="1122"/>
      <c r="K304" s="1122"/>
      <c r="L304" s="1122"/>
      <c r="M304" s="1122"/>
      <c r="N304" s="1100"/>
      <c r="O304" s="1100"/>
      <c r="P304" s="1100"/>
      <c r="Q304" s="1100"/>
      <c r="R304" s="1100"/>
      <c r="S304" s="58"/>
      <c r="T304" s="58" t="s">
        <v>82</v>
      </c>
      <c r="V304" s="58"/>
      <c r="W304" s="58"/>
      <c r="X304" s="58"/>
      <c r="Y304" s="58"/>
      <c r="AA304" s="1122" t="s">
        <v>1734</v>
      </c>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1803</v>
      </c>
      <c r="I306" s="1100"/>
      <c r="J306" s="1100"/>
      <c r="K306" s="1100"/>
      <c r="L306" s="1100"/>
      <c r="M306" s="1100"/>
      <c r="N306" s="1100"/>
      <c r="O306" s="1100"/>
      <c r="P306" s="1100"/>
      <c r="Q306" s="1100"/>
      <c r="R306" s="1100"/>
      <c r="S306" s="58"/>
      <c r="T306" s="58" t="s">
        <v>389</v>
      </c>
      <c r="V306" s="58"/>
      <c r="W306" s="58"/>
      <c r="X306" s="58"/>
      <c r="Y306" s="58"/>
      <c r="AA306" s="1100" t="s">
        <v>1782</v>
      </c>
      <c r="AB306" s="1100"/>
      <c r="AC306" s="1100"/>
      <c r="AD306" s="1100"/>
      <c r="AE306" s="1100"/>
      <c r="AF306" s="1100"/>
      <c r="AG306" s="1100"/>
      <c r="AH306" s="1100"/>
      <c r="AI306" s="1100"/>
      <c r="AJ306" s="1100"/>
      <c r="AK306" s="1100"/>
      <c r="BA306" s="61"/>
    </row>
    <row r="307" spans="1:53" ht="12.75">
      <c r="B307" s="58" t="s">
        <v>518</v>
      </c>
      <c r="C307" s="58"/>
      <c r="D307" s="58"/>
      <c r="E307" s="58"/>
      <c r="F307" s="58"/>
      <c r="H307" s="1122"/>
      <c r="I307" s="1122"/>
      <c r="J307" s="1122"/>
      <c r="K307" s="1122"/>
      <c r="L307" s="1122"/>
      <c r="M307" s="1122"/>
      <c r="N307" s="1122"/>
      <c r="O307" s="1122"/>
      <c r="P307" s="1122"/>
      <c r="Q307" s="1122"/>
      <c r="R307" s="1122"/>
      <c r="S307" s="58"/>
      <c r="T307" s="58" t="s">
        <v>518</v>
      </c>
      <c r="V307" s="58"/>
      <c r="W307" s="58"/>
      <c r="X307" s="58"/>
      <c r="Y307" s="58"/>
      <c r="AA307" s="1122" t="s">
        <v>1783</v>
      </c>
      <c r="AB307" s="1122"/>
      <c r="AC307" s="1122"/>
      <c r="AD307" s="1122"/>
      <c r="AE307" s="1122"/>
      <c r="AF307" s="1122"/>
      <c r="AG307" s="1122"/>
      <c r="AH307" s="1122"/>
      <c r="AI307" s="1122"/>
      <c r="AJ307" s="1122"/>
      <c r="AK307" s="1122"/>
      <c r="BA307" s="61"/>
    </row>
    <row r="308" spans="1:53" ht="12.75">
      <c r="B308" s="58" t="s">
        <v>519</v>
      </c>
      <c r="C308" s="58"/>
      <c r="D308" s="58"/>
      <c r="E308" s="58"/>
      <c r="F308" s="58"/>
      <c r="H308" s="1122"/>
      <c r="I308" s="1122"/>
      <c r="J308" s="1122"/>
      <c r="K308" s="1122"/>
      <c r="L308" s="1122"/>
      <c r="M308" s="1122"/>
      <c r="N308" s="1122"/>
      <c r="O308" s="1122"/>
      <c r="P308" s="1122"/>
      <c r="Q308" s="1122"/>
      <c r="R308" s="1122"/>
      <c r="S308" s="58"/>
      <c r="T308" s="58" t="s">
        <v>81</v>
      </c>
      <c r="V308" s="58"/>
      <c r="W308" s="58"/>
      <c r="X308" s="58"/>
      <c r="Y308" s="58"/>
      <c r="AA308" s="1122" t="s">
        <v>1784</v>
      </c>
      <c r="AB308" s="1122"/>
      <c r="AC308" s="1122"/>
      <c r="AD308" s="1122"/>
      <c r="AE308" s="1122"/>
      <c r="AF308" s="1122"/>
      <c r="AG308" s="1122"/>
      <c r="AH308" s="1122"/>
      <c r="AI308" s="1122"/>
      <c r="AJ308" s="1122"/>
      <c r="AK308" s="1122"/>
      <c r="BA308" s="61"/>
    </row>
    <row r="309" spans="1:53" ht="12.75">
      <c r="B309" s="58" t="s">
        <v>94</v>
      </c>
      <c r="C309" s="58"/>
      <c r="D309" s="58"/>
      <c r="E309" s="58"/>
      <c r="F309" s="58"/>
      <c r="H309" s="1122"/>
      <c r="I309" s="1122"/>
      <c r="J309" s="1122"/>
      <c r="K309" s="1122"/>
      <c r="L309" s="1122"/>
      <c r="M309" s="1122"/>
      <c r="N309" s="1122"/>
      <c r="O309" s="1122"/>
      <c r="P309" s="1122"/>
      <c r="Q309" s="1122"/>
      <c r="R309" s="1122"/>
      <c r="S309" s="58"/>
      <c r="T309" s="58" t="s">
        <v>94</v>
      </c>
      <c r="V309" s="58"/>
      <c r="W309" s="58"/>
      <c r="X309" s="58"/>
      <c r="Y309" s="58"/>
      <c r="AA309" s="1122" t="s">
        <v>1785</v>
      </c>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124"/>
      <c r="I310" s="1124"/>
      <c r="J310" s="1124"/>
      <c r="K310" s="1124"/>
      <c r="L310" s="1124"/>
      <c r="M310" s="1124"/>
      <c r="N310" s="7" t="s">
        <v>220</v>
      </c>
      <c r="O310" s="7"/>
      <c r="P310" s="1238"/>
      <c r="Q310" s="1238"/>
      <c r="R310" s="1238"/>
      <c r="S310" s="58"/>
      <c r="T310" s="58" t="s">
        <v>95</v>
      </c>
      <c r="V310" s="58"/>
      <c r="W310" s="58"/>
      <c r="X310" s="58"/>
      <c r="Y310" s="58"/>
      <c r="AA310" s="1123" t="s">
        <v>1786</v>
      </c>
      <c r="AB310" s="1124"/>
      <c r="AC310" s="1124"/>
      <c r="AD310" s="1124"/>
      <c r="AE310" s="1124"/>
      <c r="AF310" s="1124"/>
      <c r="AG310" s="7" t="s">
        <v>220</v>
      </c>
      <c r="AH310" s="7"/>
      <c r="AI310" s="1238"/>
      <c r="AJ310" s="1238"/>
      <c r="AK310" s="1238"/>
      <c r="BA310" s="61"/>
    </row>
    <row r="311" spans="1:53" ht="12.75">
      <c r="B311" s="58" t="s">
        <v>96</v>
      </c>
      <c r="C311" s="58"/>
      <c r="D311" s="58"/>
      <c r="E311" s="58"/>
      <c r="F311" s="58"/>
      <c r="G311" s="58"/>
      <c r="H311" s="1104"/>
      <c r="I311" s="1104"/>
      <c r="J311" s="1104"/>
      <c r="K311" s="1104"/>
      <c r="L311" s="1104"/>
      <c r="M311" s="1104"/>
      <c r="N311" s="60"/>
      <c r="O311" s="60"/>
      <c r="P311" s="62"/>
      <c r="Q311" s="62"/>
      <c r="R311" s="62"/>
      <c r="S311" s="58"/>
      <c r="T311" s="58" t="s">
        <v>96</v>
      </c>
      <c r="V311" s="58"/>
      <c r="W311" s="58"/>
      <c r="X311" s="58"/>
      <c r="Y311" s="58"/>
      <c r="AA311" s="1103"/>
      <c r="AB311" s="1104"/>
      <c r="AC311" s="1104"/>
      <c r="AD311" s="1104"/>
      <c r="AE311" s="1104"/>
      <c r="AF311" s="1104"/>
      <c r="AG311" s="60"/>
      <c r="AH311" s="60"/>
      <c r="AI311" s="62"/>
      <c r="AJ311" s="62"/>
      <c r="AK311" s="62"/>
      <c r="BA311" s="61"/>
    </row>
    <row r="312" spans="1:53" ht="12.75">
      <c r="B312" s="58" t="s">
        <v>82</v>
      </c>
      <c r="C312" s="58"/>
      <c r="D312" s="58"/>
      <c r="E312" s="58"/>
      <c r="F312" s="58"/>
      <c r="G312" s="58"/>
      <c r="H312" s="1122"/>
      <c r="I312" s="1122"/>
      <c r="J312" s="1122"/>
      <c r="K312" s="1122"/>
      <c r="L312" s="1122"/>
      <c r="M312" s="1122"/>
      <c r="N312" s="1100"/>
      <c r="O312" s="1100"/>
      <c r="P312" s="1100"/>
      <c r="Q312" s="1100"/>
      <c r="R312" s="1100"/>
      <c r="S312" s="58"/>
      <c r="T312" s="58" t="s">
        <v>82</v>
      </c>
      <c r="V312" s="58"/>
      <c r="W312" s="58"/>
      <c r="X312" s="58"/>
      <c r="Y312" s="58"/>
      <c r="AA312" s="1122" t="s">
        <v>1787</v>
      </c>
      <c r="AB312" s="1122"/>
      <c r="AC312" s="1122"/>
      <c r="AD312" s="1122"/>
      <c r="AE312" s="1122"/>
      <c r="AF312" s="1122"/>
      <c r="AG312" s="1100"/>
      <c r="AH312" s="1100"/>
      <c r="AI312" s="1100"/>
      <c r="AJ312" s="1100"/>
      <c r="AK312" s="1100"/>
      <c r="BA312" s="61"/>
    </row>
    <row r="313" spans="1:53" ht="12.75">
      <c r="BA313" s="61"/>
    </row>
    <row r="314" spans="1:53" ht="12.75">
      <c r="B314" s="7" t="s">
        <v>1007</v>
      </c>
      <c r="C314" s="58"/>
      <c r="D314" s="58"/>
      <c r="E314" s="58"/>
      <c r="F314" s="58"/>
      <c r="H314" s="1100" t="s">
        <v>642</v>
      </c>
      <c r="I314" s="1100"/>
      <c r="J314" s="1100"/>
      <c r="K314" s="1100"/>
      <c r="L314" s="1100"/>
      <c r="M314" s="1100"/>
      <c r="N314" s="1100"/>
      <c r="O314" s="1100"/>
      <c r="P314" s="1100"/>
      <c r="Q314" s="1100"/>
      <c r="R314" s="1100"/>
      <c r="T314" s="58" t="s">
        <v>390</v>
      </c>
      <c r="V314" s="58"/>
      <c r="W314" s="58"/>
      <c r="X314" s="58"/>
      <c r="Y314" s="58"/>
      <c r="AA314" s="1100" t="s">
        <v>1738</v>
      </c>
      <c r="AB314" s="1100"/>
      <c r="AC314" s="1100"/>
      <c r="AD314" s="1100"/>
      <c r="AE314" s="1100"/>
      <c r="AF314" s="1100"/>
      <c r="AG314" s="1100"/>
      <c r="AH314" s="1100"/>
      <c r="AI314" s="1100"/>
      <c r="AJ314" s="1100"/>
      <c r="AK314" s="1100"/>
      <c r="BA314" s="61"/>
    </row>
    <row r="315" spans="1:53" ht="12.75" customHeight="1">
      <c r="B315" s="58" t="s">
        <v>518</v>
      </c>
      <c r="C315" s="58"/>
      <c r="D315" s="58"/>
      <c r="E315" s="58"/>
      <c r="F315" s="58"/>
      <c r="H315" s="1122"/>
      <c r="I315" s="1122"/>
      <c r="J315" s="1122"/>
      <c r="K315" s="1122"/>
      <c r="L315" s="1122"/>
      <c r="M315" s="1122"/>
      <c r="N315" s="1122"/>
      <c r="O315" s="1122"/>
      <c r="P315" s="1122"/>
      <c r="Q315" s="1122"/>
      <c r="R315" s="1122"/>
      <c r="T315" s="58" t="s">
        <v>518</v>
      </c>
      <c r="V315" s="58"/>
      <c r="W315" s="58"/>
      <c r="X315" s="58"/>
      <c r="Y315" s="58"/>
      <c r="AA315" s="1122" t="s">
        <v>1739</v>
      </c>
      <c r="AB315" s="1122"/>
      <c r="AC315" s="1122"/>
      <c r="AD315" s="1122"/>
      <c r="AE315" s="1122"/>
      <c r="AF315" s="1122"/>
      <c r="AG315" s="1122"/>
      <c r="AH315" s="1122"/>
      <c r="AI315" s="1122"/>
      <c r="AJ315" s="1122"/>
      <c r="AK315" s="1122"/>
      <c r="BA315" s="61"/>
    </row>
    <row r="316" spans="1:53" ht="12.75">
      <c r="B316" s="58" t="s">
        <v>519</v>
      </c>
      <c r="C316" s="58"/>
      <c r="D316" s="58"/>
      <c r="E316" s="58"/>
      <c r="F316" s="58"/>
      <c r="H316" s="1122"/>
      <c r="I316" s="1122"/>
      <c r="J316" s="1122"/>
      <c r="K316" s="1122"/>
      <c r="L316" s="1122"/>
      <c r="M316" s="1122"/>
      <c r="N316" s="1122"/>
      <c r="O316" s="1122"/>
      <c r="P316" s="1122"/>
      <c r="Q316" s="1122"/>
      <c r="R316" s="1122"/>
      <c r="T316" s="58" t="s">
        <v>81</v>
      </c>
      <c r="V316" s="58"/>
      <c r="W316" s="58"/>
      <c r="X316" s="58"/>
      <c r="Y316" s="58"/>
      <c r="AA316" s="1122" t="s">
        <v>1740</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c r="I317" s="1122"/>
      <c r="J317" s="1122"/>
      <c r="K317" s="1122"/>
      <c r="L317" s="1122"/>
      <c r="M317" s="1122"/>
      <c r="N317" s="1122"/>
      <c r="O317" s="1122"/>
      <c r="P317" s="1122"/>
      <c r="Q317" s="1122"/>
      <c r="R317" s="1122"/>
      <c r="T317" s="58" t="s">
        <v>94</v>
      </c>
      <c r="V317" s="58"/>
      <c r="W317" s="58"/>
      <c r="X317" s="58"/>
      <c r="Y317" s="58"/>
      <c r="AA317" s="1122" t="s">
        <v>1741</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4"/>
      <c r="I318" s="1124"/>
      <c r="J318" s="1124"/>
      <c r="K318" s="1124"/>
      <c r="L318" s="1124"/>
      <c r="M318" s="1124"/>
      <c r="N318" s="7" t="s">
        <v>220</v>
      </c>
      <c r="O318" s="7"/>
      <c r="P318" s="1238"/>
      <c r="Q318" s="1238"/>
      <c r="R318" s="1238"/>
      <c r="S318" s="58"/>
      <c r="T318" s="58" t="s">
        <v>95</v>
      </c>
      <c r="V318" s="58"/>
      <c r="W318" s="58"/>
      <c r="X318" s="58"/>
      <c r="Y318" s="58"/>
      <c r="AA318" s="1123" t="s">
        <v>1742</v>
      </c>
      <c r="AB318" s="1124"/>
      <c r="AC318" s="1124"/>
      <c r="AD318" s="1124"/>
      <c r="AE318" s="1124"/>
      <c r="AF318" s="1124"/>
      <c r="AG318" s="7" t="s">
        <v>220</v>
      </c>
      <c r="AH318" s="7"/>
      <c r="AI318" s="1238"/>
      <c r="AJ318" s="1238"/>
      <c r="AK318" s="1238"/>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3" t="s">
        <v>1743</v>
      </c>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2"/>
      <c r="I320" s="1122"/>
      <c r="J320" s="1122"/>
      <c r="K320" s="1122"/>
      <c r="L320" s="1122"/>
      <c r="M320" s="1122"/>
      <c r="N320" s="1100"/>
      <c r="O320" s="1100"/>
      <c r="P320" s="1100"/>
      <c r="Q320" s="1100"/>
      <c r="R320" s="1100"/>
      <c r="S320" s="58"/>
      <c r="T320" s="58" t="s">
        <v>82</v>
      </c>
      <c r="V320" s="58"/>
      <c r="W320" s="58"/>
      <c r="X320" s="58"/>
      <c r="Y320" s="58"/>
      <c r="AA320" s="1122" t="s">
        <v>1744</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
        <v>642</v>
      </c>
      <c r="I322" s="1100"/>
      <c r="J322" s="1100"/>
      <c r="K322" s="1100"/>
      <c r="L322" s="1100"/>
      <c r="M322" s="1100"/>
      <c r="N322" s="1100"/>
      <c r="O322" s="1100"/>
      <c r="P322" s="1100"/>
      <c r="Q322" s="1100"/>
      <c r="R322" s="1100"/>
      <c r="T322" s="58" t="s">
        <v>392</v>
      </c>
      <c r="V322" s="58"/>
      <c r="W322" s="58"/>
      <c r="X322" s="58"/>
      <c r="Y322" s="58"/>
      <c r="AA322" s="1100" t="s">
        <v>642</v>
      </c>
      <c r="AB322" s="1100"/>
      <c r="AC322" s="1100"/>
      <c r="AD322" s="1100"/>
      <c r="AE322" s="1100"/>
      <c r="AF322" s="1100"/>
      <c r="AG322" s="1100"/>
      <c r="AH322" s="1100"/>
      <c r="AI322" s="1100"/>
      <c r="AJ322" s="1100"/>
      <c r="AK322" s="1100"/>
      <c r="AL322" s="39"/>
    </row>
    <row r="323" spans="1:53" ht="12.75">
      <c r="A323" s="39"/>
      <c r="B323" s="58" t="s">
        <v>518</v>
      </c>
      <c r="C323" s="58"/>
      <c r="D323" s="58"/>
      <c r="E323" s="58"/>
      <c r="F323" s="58"/>
      <c r="H323" s="1122"/>
      <c r="I323" s="1122"/>
      <c r="J323" s="1122"/>
      <c r="K323" s="1122"/>
      <c r="L323" s="1122"/>
      <c r="M323" s="1122"/>
      <c r="N323" s="1122"/>
      <c r="O323" s="1122"/>
      <c r="P323" s="1122"/>
      <c r="Q323" s="1122"/>
      <c r="R323" s="1122"/>
      <c r="T323" s="58" t="s">
        <v>518</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22"/>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4"/>
      <c r="I326" s="1124"/>
      <c r="J326" s="1124"/>
      <c r="K326" s="1124"/>
      <c r="L326" s="1124"/>
      <c r="M326" s="1124"/>
      <c r="N326" s="7" t="s">
        <v>220</v>
      </c>
      <c r="O326" s="7"/>
      <c r="P326" s="1238"/>
      <c r="Q326" s="1238"/>
      <c r="R326" s="1238"/>
      <c r="S326" s="58"/>
      <c r="T326" s="58" t="s">
        <v>95</v>
      </c>
      <c r="V326" s="58"/>
      <c r="W326" s="58"/>
      <c r="X326" s="58"/>
      <c r="Y326" s="58"/>
      <c r="AA326" s="1124"/>
      <c r="AB326" s="1124"/>
      <c r="AC326" s="1124"/>
      <c r="AD326" s="1124"/>
      <c r="AE326" s="1124"/>
      <c r="AF326" s="1124"/>
      <c r="AG326" s="7" t="s">
        <v>220</v>
      </c>
      <c r="AH326" s="7"/>
      <c r="AI326" s="1238"/>
      <c r="AJ326" s="1238"/>
      <c r="AK326" s="1238"/>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4"/>
      <c r="AB327" s="1104"/>
      <c r="AC327" s="1104"/>
      <c r="AD327" s="1104"/>
      <c r="AE327" s="1104"/>
      <c r="AF327" s="1104"/>
      <c r="AG327" s="60"/>
      <c r="AH327" s="60"/>
      <c r="AI327" s="62"/>
      <c r="AJ327" s="62"/>
      <c r="AK327" s="62"/>
      <c r="AL327" s="39"/>
    </row>
    <row r="328" spans="1:53" ht="12.75" customHeight="1">
      <c r="A328" s="39"/>
      <c r="B328" s="58" t="s">
        <v>82</v>
      </c>
      <c r="C328" s="58"/>
      <c r="D328" s="58"/>
      <c r="E328" s="58"/>
      <c r="F328" s="58"/>
      <c r="G328" s="58"/>
      <c r="H328" s="1122"/>
      <c r="I328" s="1122"/>
      <c r="J328" s="1122"/>
      <c r="K328" s="1122"/>
      <c r="L328" s="1122"/>
      <c r="M328" s="1122"/>
      <c r="N328" s="1100"/>
      <c r="O328" s="1100"/>
      <c r="P328" s="1100"/>
      <c r="Q328" s="1100"/>
      <c r="R328" s="1100"/>
      <c r="S328" s="58"/>
      <c r="T328" s="58" t="s">
        <v>82</v>
      </c>
      <c r="V328" s="58"/>
      <c r="W328" s="58"/>
      <c r="X328" s="58"/>
      <c r="Y328" s="58"/>
      <c r="AA328" s="1122"/>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1745</v>
      </c>
      <c r="I330" s="1100"/>
      <c r="J330" s="1100"/>
      <c r="K330" s="1100"/>
      <c r="L330" s="1100"/>
      <c r="M330" s="1100"/>
      <c r="N330" s="1100"/>
      <c r="O330" s="1100"/>
      <c r="P330" s="1100"/>
      <c r="Q330" s="1100"/>
      <c r="R330" s="1100"/>
      <c r="T330" s="422" t="s">
        <v>982</v>
      </c>
      <c r="V330" s="58"/>
      <c r="W330" s="58"/>
      <c r="X330" s="58"/>
      <c r="Y330" s="58"/>
      <c r="AA330" s="1100" t="s">
        <v>1735</v>
      </c>
      <c r="AB330" s="1100"/>
      <c r="AC330" s="1100"/>
      <c r="AD330" s="1100"/>
      <c r="AE330" s="1100"/>
      <c r="AF330" s="1100"/>
      <c r="AG330" s="1100"/>
      <c r="AH330" s="1100"/>
      <c r="AI330" s="1100"/>
      <c r="AJ330" s="1100"/>
      <c r="AK330" s="1100"/>
      <c r="AL330" s="39"/>
    </row>
    <row r="331" spans="1:53" ht="12.75" customHeight="1">
      <c r="B331" s="58" t="s">
        <v>518</v>
      </c>
      <c r="C331" s="248"/>
      <c r="D331" s="248"/>
      <c r="E331" s="248"/>
      <c r="F331" s="248"/>
      <c r="G331" s="3"/>
      <c r="H331" s="1122" t="s">
        <v>1746</v>
      </c>
      <c r="I331" s="1122"/>
      <c r="J331" s="1122"/>
      <c r="K331" s="1122"/>
      <c r="L331" s="1122"/>
      <c r="M331" s="1122"/>
      <c r="N331" s="1122"/>
      <c r="O331" s="1122"/>
      <c r="P331" s="1122"/>
      <c r="Q331" s="1122"/>
      <c r="R331" s="1122"/>
      <c r="T331" s="58" t="s">
        <v>518</v>
      </c>
      <c r="V331" s="58"/>
      <c r="W331" s="58"/>
      <c r="X331" s="58"/>
      <c r="Y331" s="58"/>
      <c r="AA331" s="1122" t="s">
        <v>1727</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2" t="s">
        <v>1709</v>
      </c>
      <c r="I332" s="1122"/>
      <c r="J332" s="1122"/>
      <c r="K332" s="1122"/>
      <c r="L332" s="1122"/>
      <c r="M332" s="1122"/>
      <c r="N332" s="1122"/>
      <c r="O332" s="1122"/>
      <c r="P332" s="1122"/>
      <c r="Q332" s="1122"/>
      <c r="R332" s="1122"/>
      <c r="T332" s="58" t="s">
        <v>81</v>
      </c>
      <c r="V332" s="58"/>
      <c r="W332" s="58"/>
      <c r="X332" s="58"/>
      <c r="Y332" s="58"/>
      <c r="AA332" s="1122" t="s">
        <v>1728</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1747</v>
      </c>
      <c r="I333" s="1122"/>
      <c r="J333" s="1122"/>
      <c r="K333" s="1122"/>
      <c r="L333" s="1122"/>
      <c r="M333" s="1122"/>
      <c r="N333" s="1122"/>
      <c r="O333" s="1122"/>
      <c r="P333" s="1122"/>
      <c r="Q333" s="1122"/>
      <c r="R333" s="1122"/>
      <c r="T333" s="58" t="s">
        <v>94</v>
      </c>
      <c r="V333" s="58"/>
      <c r="W333" s="58"/>
      <c r="X333" s="58"/>
      <c r="Y333" s="58"/>
      <c r="AA333" s="1122" t="s">
        <v>1736</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1748</v>
      </c>
      <c r="I334" s="1124"/>
      <c r="J334" s="1124"/>
      <c r="K334" s="1124"/>
      <c r="L334" s="1124"/>
      <c r="M334" s="1124"/>
      <c r="N334" s="7" t="s">
        <v>220</v>
      </c>
      <c r="O334" s="7"/>
      <c r="P334" s="1238"/>
      <c r="Q334" s="1238"/>
      <c r="R334" s="1238"/>
      <c r="S334" s="58"/>
      <c r="T334" s="58" t="s">
        <v>95</v>
      </c>
      <c r="V334" s="58"/>
      <c r="W334" s="58"/>
      <c r="X334" s="58"/>
      <c r="Y334" s="58"/>
      <c r="AA334" s="1123" t="s">
        <v>1711</v>
      </c>
      <c r="AB334" s="1124"/>
      <c r="AC334" s="1124"/>
      <c r="AD334" s="1124"/>
      <c r="AE334" s="1124"/>
      <c r="AF334" s="1124"/>
      <c r="AG334" s="7" t="s">
        <v>220</v>
      </c>
      <c r="AH334" s="7"/>
      <c r="AI334" s="1238"/>
      <c r="AJ334" s="1238"/>
      <c r="AK334" s="1238"/>
      <c r="AL334" s="39"/>
    </row>
    <row r="335" spans="1:53" ht="12.75" customHeight="1">
      <c r="A335" s="39"/>
      <c r="B335" s="58" t="s">
        <v>96</v>
      </c>
      <c r="C335" s="248"/>
      <c r="D335" s="248"/>
      <c r="E335" s="248"/>
      <c r="F335" s="248"/>
      <c r="G335" s="248"/>
      <c r="H335" s="1103" t="s">
        <v>1749</v>
      </c>
      <c r="I335" s="1104"/>
      <c r="J335" s="1104"/>
      <c r="K335" s="1104"/>
      <c r="L335" s="1104"/>
      <c r="M335" s="1104"/>
      <c r="N335" s="60"/>
      <c r="O335" s="60"/>
      <c r="P335" s="62"/>
      <c r="Q335" s="62"/>
      <c r="R335" s="62"/>
      <c r="S335" s="58"/>
      <c r="T335" s="58" t="s">
        <v>96</v>
      </c>
      <c r="V335" s="58"/>
      <c r="W335" s="58"/>
      <c r="X335" s="58"/>
      <c r="Y335" s="58"/>
      <c r="AA335" s="1103" t="s">
        <v>1712</v>
      </c>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22" t="s">
        <v>1750</v>
      </c>
      <c r="I336" s="1122"/>
      <c r="J336" s="1122"/>
      <c r="K336" s="1122"/>
      <c r="L336" s="1122"/>
      <c r="M336" s="1122"/>
      <c r="N336" s="1100"/>
      <c r="O336" s="1100"/>
      <c r="P336" s="1100"/>
      <c r="Q336" s="1100"/>
      <c r="R336" s="1100"/>
      <c r="S336" s="58"/>
      <c r="T336" s="58" t="s">
        <v>82</v>
      </c>
      <c r="V336" s="58"/>
      <c r="W336" s="58"/>
      <c r="X336" s="58"/>
      <c r="Y336" s="58"/>
      <c r="AA336" s="1122" t="s">
        <v>1737</v>
      </c>
      <c r="AB336" s="1122"/>
      <c r="AC336" s="1122"/>
      <c r="AD336" s="1122"/>
      <c r="AE336" s="1122"/>
      <c r="AF336" s="1122"/>
      <c r="AG336" s="1100"/>
      <c r="AH336" s="1100"/>
      <c r="AI336" s="1100"/>
      <c r="AJ336" s="1100"/>
      <c r="AK336" s="110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0" t="s">
        <v>642</v>
      </c>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6" t="s">
        <v>589</v>
      </c>
      <c r="B346" s="1276"/>
      <c r="C346" s="1276"/>
      <c r="D346" s="1276"/>
      <c r="E346" s="1276"/>
      <c r="F346" s="1276"/>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row>
    <row r="347" spans="1:53" ht="12.75" customHeight="1" thickBot="1">
      <c r="A347" s="1277"/>
      <c r="B347" s="1277"/>
      <c r="C347" s="1277"/>
      <c r="D347" s="1277"/>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c r="AL347" s="127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1" t="s">
        <v>592</v>
      </c>
      <c r="N350" s="1101"/>
      <c r="P350" s="12" t="s">
        <v>599</v>
      </c>
      <c r="AJ350" s="1101" t="s">
        <v>723</v>
      </c>
      <c r="AK350" s="1101"/>
    </row>
    <row r="351" spans="1:53" ht="12.75" customHeight="1">
      <c r="D351" s="7" t="s">
        <v>956</v>
      </c>
      <c r="R351" s="12" t="s">
        <v>600</v>
      </c>
      <c r="AJ351" s="1101" t="s">
        <v>642</v>
      </c>
      <c r="AK351" s="1101"/>
    </row>
    <row r="352" spans="1:53" ht="12.75" customHeight="1">
      <c r="D352" s="12" t="s">
        <v>766</v>
      </c>
      <c r="M352" s="1101" t="s">
        <v>642</v>
      </c>
      <c r="N352" s="1101"/>
      <c r="P352" s="7" t="s">
        <v>953</v>
      </c>
      <c r="AJ352" s="1101" t="s">
        <v>642</v>
      </c>
      <c r="AK352" s="1101"/>
    </row>
    <row r="353" spans="1:34" ht="12.75" customHeight="1">
      <c r="D353" s="12" t="s">
        <v>767</v>
      </c>
      <c r="M353" s="1101" t="s">
        <v>642</v>
      </c>
      <c r="N353" s="110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642</v>
      </c>
      <c r="O358" s="1101"/>
      <c r="P358" s="69"/>
      <c r="Q358" s="69"/>
      <c r="R358" s="69"/>
      <c r="S358" s="69"/>
      <c r="T358" s="69"/>
      <c r="U358" s="69"/>
      <c r="V358" s="69"/>
      <c r="W358" s="69"/>
      <c r="X358" s="69"/>
      <c r="Y358" s="70"/>
      <c r="Z358" s="70"/>
      <c r="AC358" s="69"/>
      <c r="AD358" s="69"/>
      <c r="AE358" s="69"/>
    </row>
    <row r="359" spans="1:34" ht="12.75" customHeight="1">
      <c r="E359" s="12" t="s">
        <v>395</v>
      </c>
      <c r="Y359" s="1101" t="s">
        <v>642</v>
      </c>
      <c r="Z359" s="1101"/>
    </row>
    <row r="360" spans="1:34" ht="12.75" customHeight="1">
      <c r="D360" s="7" t="s">
        <v>1092</v>
      </c>
      <c r="Q360" s="1100" t="s">
        <v>642</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642</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34" t="s">
        <v>768</v>
      </c>
      <c r="F363" s="1234"/>
      <c r="G363" s="1234"/>
      <c r="H363" s="1234"/>
      <c r="I363" s="1234"/>
      <c r="J363" s="1234"/>
      <c r="K363" s="1234"/>
      <c r="L363" s="1234"/>
      <c r="M363" s="1234"/>
      <c r="N363" s="1234"/>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row>
    <row r="364" spans="1:34" ht="12.75" customHeight="1">
      <c r="E364" s="1234"/>
      <c r="F364" s="1234"/>
      <c r="G364" s="1234"/>
      <c r="H364" s="1234"/>
      <c r="I364" s="1234"/>
      <c r="J364" s="1234"/>
      <c r="K364" s="1234"/>
      <c r="L364" s="1234"/>
      <c r="M364" s="1234"/>
      <c r="N364" s="1234"/>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row>
    <row r="365" spans="1:34" ht="12.75" customHeight="1">
      <c r="E365" s="7" t="s">
        <v>493</v>
      </c>
      <c r="F365" s="7"/>
      <c r="G365" s="7"/>
      <c r="H365" s="7"/>
      <c r="I365" s="7"/>
      <c r="J365" s="7"/>
      <c r="K365" s="7"/>
      <c r="L365" s="7"/>
      <c r="N365" s="1530" t="s">
        <v>642</v>
      </c>
      <c r="O365" s="1435"/>
      <c r="P365" s="1435"/>
      <c r="Q365" s="1435"/>
      <c r="R365" s="7"/>
      <c r="U365" s="7" t="s">
        <v>494</v>
      </c>
      <c r="V365" s="7"/>
      <c r="W365" s="7"/>
      <c r="X365" s="7"/>
      <c r="Y365" s="7"/>
      <c r="Z365" s="7"/>
      <c r="AA365" s="7"/>
      <c r="AB365" s="7"/>
      <c r="AC365" s="1530" t="s">
        <v>642</v>
      </c>
      <c r="AD365" s="1435"/>
      <c r="AE365" s="1435"/>
      <c r="AF365" s="1435"/>
    </row>
    <row r="366" spans="1:34" ht="12.75" customHeight="1">
      <c r="E366" s="7" t="s">
        <v>495</v>
      </c>
      <c r="F366" s="7"/>
      <c r="G366" s="7"/>
      <c r="H366" s="7"/>
      <c r="I366" s="7"/>
      <c r="J366" s="7"/>
      <c r="K366" s="7"/>
      <c r="L366" s="7"/>
      <c r="N366" s="1530" t="s">
        <v>642</v>
      </c>
      <c r="O366" s="1435"/>
      <c r="P366" s="1435"/>
      <c r="Q366" s="1435"/>
      <c r="R366" s="7"/>
      <c r="U366" s="7" t="s">
        <v>0</v>
      </c>
      <c r="V366" s="7"/>
      <c r="W366" s="7"/>
      <c r="X366" s="7"/>
      <c r="Y366" s="7"/>
      <c r="Z366" s="7"/>
      <c r="AA366" s="7"/>
      <c r="AB366" s="7"/>
      <c r="AC366" s="1530" t="s">
        <v>642</v>
      </c>
      <c r="AD366" s="1435"/>
      <c r="AE366" s="1435"/>
      <c r="AF366" s="1435"/>
    </row>
    <row r="367" spans="1:34" ht="12.75" customHeight="1">
      <c r="E367" s="7" t="s">
        <v>1</v>
      </c>
      <c r="F367" s="7"/>
      <c r="G367" s="7"/>
      <c r="H367" s="7"/>
      <c r="I367" s="7"/>
      <c r="J367" s="7"/>
      <c r="K367" s="7"/>
      <c r="L367" s="7"/>
      <c r="N367" s="1530" t="s">
        <v>642</v>
      </c>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565" t="s">
        <v>642</v>
      </c>
      <c r="O368" s="1595"/>
      <c r="P368" s="1595"/>
      <c r="Q368" s="1595"/>
      <c r="R368" s="1595"/>
      <c r="S368" s="1595"/>
      <c r="T368" s="1595"/>
      <c r="U368" s="1595"/>
      <c r="V368" s="1595"/>
      <c r="W368" s="1595"/>
      <c r="X368" s="1595"/>
      <c r="Y368" s="1595"/>
      <c r="Z368" s="1595"/>
      <c r="AA368" s="1595"/>
      <c r="AB368" s="1595"/>
      <c r="AC368" s="1595"/>
      <c r="AD368" s="1595"/>
      <c r="AE368" s="1595"/>
      <c r="AF368" s="1595"/>
    </row>
    <row r="369" spans="1:38" ht="12.75" customHeight="1">
      <c r="E369" s="7"/>
      <c r="F369" s="7"/>
      <c r="G369" s="7"/>
      <c r="H369" s="7"/>
      <c r="I369" s="7"/>
      <c r="J369" s="7"/>
      <c r="K369" s="7"/>
      <c r="L369" s="7"/>
      <c r="N369" s="1596"/>
      <c r="O369" s="1596"/>
      <c r="P369" s="1596"/>
      <c r="Q369" s="1596"/>
      <c r="R369" s="1596"/>
      <c r="S369" s="1596"/>
      <c r="T369" s="1596"/>
      <c r="U369" s="1596"/>
      <c r="V369" s="1596"/>
      <c r="W369" s="1596"/>
      <c r="X369" s="1596"/>
      <c r="Y369" s="1596"/>
      <c r="Z369" s="1596"/>
      <c r="AA369" s="1596"/>
      <c r="AB369" s="1596"/>
      <c r="AC369" s="1596"/>
      <c r="AD369" s="1596"/>
      <c r="AE369" s="1596"/>
      <c r="AF369" s="159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6"/>
      <c r="T372" s="1126"/>
      <c r="U372" s="4" t="s">
        <v>328</v>
      </c>
      <c r="V372" s="1126"/>
      <c r="W372" s="1126"/>
      <c r="Y372" s="25" t="s">
        <v>326</v>
      </c>
      <c r="AA372" s="25"/>
      <c r="AB372" s="25" t="s">
        <v>327</v>
      </c>
      <c r="AD372" s="1126"/>
      <c r="AE372" s="1126"/>
      <c r="AF372" s="4" t="s">
        <v>328</v>
      </c>
      <c r="AG372" s="1126"/>
      <c r="AH372" s="1126"/>
    </row>
    <row r="373" spans="1:38" ht="12.75" customHeight="1">
      <c r="E373" s="7" t="s">
        <v>1127</v>
      </c>
      <c r="F373" s="7"/>
      <c r="G373" s="7"/>
      <c r="H373" s="7"/>
      <c r="I373" s="7"/>
      <c r="J373" s="7"/>
      <c r="K373" s="7"/>
      <c r="L373" s="7"/>
      <c r="N373" s="1125" t="s">
        <v>642</v>
      </c>
      <c r="O373" s="1126"/>
      <c r="P373" s="1126"/>
    </row>
    <row r="374" spans="1:38" ht="12.75" customHeight="1">
      <c r="E374" s="399" t="s">
        <v>1129</v>
      </c>
      <c r="F374" s="7"/>
      <c r="G374" s="7"/>
      <c r="H374" s="7"/>
      <c r="I374" s="7"/>
      <c r="J374" s="7"/>
      <c r="K374" s="7"/>
      <c r="L374" s="7"/>
      <c r="AG374" s="1120" t="s">
        <v>642</v>
      </c>
      <c r="AH374" s="1120"/>
    </row>
    <row r="375" spans="1:38" ht="12.75" customHeight="1">
      <c r="E375" s="7"/>
      <c r="F375" s="7"/>
      <c r="G375" s="7" t="s">
        <v>1150</v>
      </c>
      <c r="H375" s="7"/>
      <c r="I375" s="7"/>
      <c r="J375" s="7"/>
      <c r="K375" s="7"/>
      <c r="L375" s="7"/>
      <c r="AG375" s="1120" t="s">
        <v>642</v>
      </c>
      <c r="AH375" s="1120"/>
    </row>
    <row r="376" spans="1:38" ht="12.75" customHeight="1">
      <c r="E376" s="7"/>
      <c r="F376" s="7"/>
      <c r="G376" s="530" t="s">
        <v>1130</v>
      </c>
      <c r="H376" s="7"/>
      <c r="I376" s="7"/>
      <c r="J376" s="7"/>
      <c r="K376" s="7"/>
      <c r="L376" s="7"/>
      <c r="V376" s="1101" t="s">
        <v>642</v>
      </c>
      <c r="W376" s="1101"/>
      <c r="Y376" s="35" t="s">
        <v>1094</v>
      </c>
    </row>
    <row r="377" spans="1:38" ht="12.75" customHeight="1">
      <c r="E377" s="7" t="s">
        <v>1095</v>
      </c>
      <c r="F377" s="7"/>
      <c r="G377" s="7"/>
      <c r="H377" s="7"/>
      <c r="I377" s="7"/>
      <c r="J377" s="7"/>
      <c r="K377" s="7"/>
      <c r="L377" s="7"/>
      <c r="V377" s="1101" t="s">
        <v>642</v>
      </c>
      <c r="W377" s="1101"/>
      <c r="Y377" s="7" t="s">
        <v>1096</v>
      </c>
    </row>
    <row r="378" spans="1:38" ht="12.75" customHeight="1"/>
    <row r="379" spans="1:38" ht="12.75" customHeight="1">
      <c r="A379" s="50" t="s">
        <v>84</v>
      </c>
      <c r="B379" s="50"/>
    </row>
    <row r="380" spans="1:38" ht="12.75" customHeight="1">
      <c r="D380" s="12" t="s">
        <v>463</v>
      </c>
      <c r="J380" s="1100" t="s">
        <v>1754</v>
      </c>
      <c r="K380" s="1100"/>
      <c r="L380" s="1100"/>
      <c r="M380" s="1100"/>
      <c r="N380" s="1100"/>
      <c r="O380" s="1100"/>
      <c r="P380" s="1100"/>
      <c r="Q380" s="1100"/>
      <c r="R380" s="1100"/>
      <c r="S380" s="1100"/>
      <c r="T380" s="1100"/>
      <c r="U380" s="1100"/>
      <c r="V380" s="14" t="s">
        <v>90</v>
      </c>
      <c r="W380" s="14"/>
      <c r="X380" s="14"/>
      <c r="Y380" s="14"/>
      <c r="Z380" s="14"/>
      <c r="AA380" s="14"/>
      <c r="AB380" s="14"/>
      <c r="AC380" s="1100" t="s">
        <v>1755</v>
      </c>
      <c r="AD380" s="1100"/>
      <c r="AE380" s="1100"/>
      <c r="AF380" s="1100"/>
      <c r="AG380" s="1100"/>
      <c r="AH380" s="1100"/>
      <c r="AI380" s="1100"/>
      <c r="AJ380" s="1100"/>
    </row>
    <row r="381" spans="1:38" ht="12.75" customHeight="1">
      <c r="A381" s="743"/>
      <c r="B381" s="743"/>
      <c r="C381" s="743"/>
      <c r="D381" s="58" t="s">
        <v>1422</v>
      </c>
      <c r="E381" s="743"/>
      <c r="F381" s="743"/>
      <c r="G381" s="743"/>
      <c r="H381" s="743"/>
      <c r="I381" s="743"/>
      <c r="J381" s="1122" t="s">
        <v>1756</v>
      </c>
      <c r="K381" s="1122"/>
      <c r="L381" s="1122"/>
      <c r="M381" s="1122"/>
      <c r="N381" s="1122"/>
      <c r="O381" s="1122"/>
      <c r="P381" s="1122"/>
      <c r="Q381" s="1122"/>
      <c r="R381" s="1122"/>
      <c r="S381" s="1122"/>
      <c r="T381" s="1122"/>
      <c r="U381" s="1122"/>
      <c r="V381" s="58" t="s">
        <v>1422</v>
      </c>
      <c r="W381" s="14"/>
      <c r="X381" s="14"/>
      <c r="Y381" s="14"/>
      <c r="Z381" s="14"/>
      <c r="AA381" s="14"/>
      <c r="AB381" s="14"/>
      <c r="AC381" s="1100"/>
      <c r="AD381" s="1100"/>
      <c r="AE381" s="1100"/>
      <c r="AF381" s="1100"/>
      <c r="AG381" s="1100"/>
      <c r="AH381" s="1100"/>
      <c r="AI381" s="1100"/>
      <c r="AJ381" s="1100"/>
      <c r="AK381" s="743"/>
      <c r="AL381" s="743"/>
    </row>
    <row r="382" spans="1:38" ht="12.75" customHeight="1">
      <c r="A382" s="743"/>
      <c r="B382" s="743"/>
      <c r="C382" s="743"/>
      <c r="D382" s="58" t="s">
        <v>478</v>
      </c>
      <c r="E382" s="743"/>
      <c r="F382" s="743"/>
      <c r="G382" s="743"/>
      <c r="H382" s="743"/>
      <c r="I382" s="743"/>
      <c r="J382" s="1122" t="s">
        <v>1757</v>
      </c>
      <c r="K382" s="1122"/>
      <c r="L382" s="1122"/>
      <c r="M382" s="1122"/>
      <c r="N382" s="1122"/>
      <c r="O382" s="1122"/>
      <c r="P382" s="1122"/>
      <c r="Q382" s="1122"/>
      <c r="R382" s="1122"/>
      <c r="S382" s="1122"/>
      <c r="T382" s="1122"/>
      <c r="U382" s="1122"/>
      <c r="V382" s="58" t="s">
        <v>478</v>
      </c>
      <c r="W382" s="14"/>
      <c r="X382" s="14"/>
      <c r="Y382" s="14"/>
      <c r="Z382" s="14"/>
      <c r="AA382" s="14"/>
      <c r="AB382" s="14"/>
      <c r="AC382" s="1100"/>
      <c r="AD382" s="1100"/>
      <c r="AE382" s="1100"/>
      <c r="AF382" s="1100"/>
      <c r="AG382" s="1100"/>
      <c r="AH382" s="1100"/>
      <c r="AI382" s="1100"/>
      <c r="AJ382" s="1100"/>
      <c r="AK382" s="743"/>
      <c r="AL382" s="743"/>
    </row>
    <row r="383" spans="1:38" ht="12.75" customHeight="1">
      <c r="A383" s="743"/>
      <c r="B383" s="743"/>
      <c r="C383" s="743"/>
      <c r="D383" s="496" t="s">
        <v>1418</v>
      </c>
      <c r="E383" s="743"/>
      <c r="F383" s="743"/>
      <c r="G383" s="743"/>
      <c r="H383" s="743"/>
      <c r="I383" s="88"/>
      <c r="J383" s="1240" t="s">
        <v>1759</v>
      </c>
      <c r="K383" s="1240"/>
      <c r="L383" s="1240"/>
      <c r="M383" s="1240"/>
      <c r="N383" s="1240"/>
      <c r="O383" s="1240"/>
      <c r="P383" s="1240"/>
      <c r="Q383" s="1240"/>
      <c r="R383" s="1240"/>
      <c r="S383" s="1240"/>
      <c r="T383" s="1240"/>
      <c r="U383" s="1240"/>
      <c r="V383" s="1100" t="s">
        <v>1758</v>
      </c>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61">
        <v>43087</v>
      </c>
      <c r="R384" s="1561"/>
      <c r="S384" s="1561"/>
      <c r="T384" s="1561"/>
      <c r="U384" s="1561"/>
      <c r="V384" s="12" t="s">
        <v>331</v>
      </c>
      <c r="AI384" s="1101" t="s">
        <v>723</v>
      </c>
      <c r="AJ384" s="1101"/>
    </row>
    <row r="385" spans="1:38" ht="12.75" customHeight="1">
      <c r="D385" s="12" t="s">
        <v>5</v>
      </c>
      <c r="Q385" s="1232">
        <v>44000</v>
      </c>
      <c r="R385" s="1233"/>
      <c r="S385" s="1233"/>
      <c r="T385" s="1233"/>
      <c r="U385" s="1233"/>
      <c r="W385" s="33" t="s">
        <v>80</v>
      </c>
      <c r="AG385" s="1558"/>
      <c r="AH385" s="1558"/>
      <c r="AI385" s="1558"/>
      <c r="AJ385" s="1558"/>
    </row>
    <row r="386" spans="1:38" ht="12.75" customHeight="1">
      <c r="D386" s="12" t="s">
        <v>462</v>
      </c>
      <c r="Q386" s="1594">
        <v>1500000</v>
      </c>
      <c r="R386" s="1594"/>
      <c r="S386" s="1594"/>
      <c r="T386" s="1594"/>
      <c r="U386" s="1594"/>
      <c r="V386" s="58" t="s">
        <v>1421</v>
      </c>
      <c r="AG386" s="1560">
        <v>43993</v>
      </c>
      <c r="AH386" s="1560"/>
      <c r="AI386" s="1560"/>
      <c r="AJ386" s="1560"/>
    </row>
    <row r="387" spans="1:38" ht="12.75" customHeight="1">
      <c r="D387" s="12" t="s">
        <v>95</v>
      </c>
      <c r="I387" s="1123" t="s">
        <v>1760</v>
      </c>
      <c r="J387" s="1124"/>
      <c r="K387" s="1124"/>
      <c r="L387" s="1124"/>
      <c r="M387" s="1124"/>
      <c r="N387" s="1124"/>
      <c r="Q387" s="57" t="s">
        <v>220</v>
      </c>
      <c r="S387" s="1591"/>
      <c r="T387" s="1591"/>
      <c r="U387" s="1591"/>
      <c r="V387" s="12" t="s">
        <v>79</v>
      </c>
      <c r="AI387" s="1101" t="s">
        <v>723</v>
      </c>
      <c r="AJ387" s="1101"/>
    </row>
    <row r="388" spans="1:38" ht="12.75">
      <c r="D388" s="12" t="s">
        <v>332</v>
      </c>
      <c r="Q388" s="1204"/>
      <c r="R388" s="1204"/>
      <c r="S388" s="1204"/>
      <c r="T388" s="1204"/>
      <c r="U388" s="1204"/>
      <c r="V388" s="12" t="s">
        <v>333</v>
      </c>
      <c r="AG388" s="1559"/>
      <c r="AH388" s="1558"/>
      <c r="AI388" s="1558"/>
      <c r="AJ388" s="1558"/>
    </row>
    <row r="389" spans="1:38" ht="12.75">
      <c r="D389" s="12" t="s">
        <v>334</v>
      </c>
      <c r="Q389" s="1557"/>
      <c r="R389" s="1557"/>
      <c r="S389" s="1557"/>
      <c r="T389" s="1557"/>
      <c r="U389" s="1557"/>
      <c r="V389" s="743" t="s">
        <v>1398</v>
      </c>
      <c r="AG389" s="1558"/>
      <c r="AH389" s="1558"/>
      <c r="AI389" s="1558"/>
      <c r="AJ389" s="1558"/>
    </row>
    <row r="390" spans="1:38" ht="12.75">
      <c r="D390" s="743" t="s">
        <v>1397</v>
      </c>
      <c r="V390" s="743"/>
      <c r="AG390" s="1558"/>
      <c r="AH390" s="1558"/>
      <c r="AI390" s="1558"/>
      <c r="AJ390" s="155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8" t="s">
        <v>1761</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642</v>
      </c>
      <c r="S394" s="1101"/>
      <c r="T394" s="12" t="s">
        <v>620</v>
      </c>
      <c r="U394" s="743"/>
      <c r="V394" s="743"/>
      <c r="W394" s="743"/>
      <c r="X394" s="743"/>
      <c r="Y394" s="743"/>
      <c r="Z394" s="743"/>
      <c r="AA394" s="743"/>
      <c r="AB394" s="743"/>
      <c r="AC394" s="743"/>
      <c r="AD394" s="1435">
        <v>0</v>
      </c>
      <c r="AE394" s="1435"/>
      <c r="AF394" s="743"/>
    </row>
    <row r="395" spans="1:38" ht="12.75" customHeight="1">
      <c r="C395" s="25"/>
      <c r="E395" s="12" t="s">
        <v>114</v>
      </c>
      <c r="F395" s="743"/>
      <c r="G395" s="743"/>
      <c r="H395" s="743"/>
      <c r="I395" s="743"/>
      <c r="J395" s="743"/>
      <c r="K395" s="743"/>
      <c r="L395" s="743"/>
      <c r="M395" s="743"/>
      <c r="N395" s="25"/>
      <c r="O395" s="25"/>
      <c r="P395" s="743"/>
      <c r="Q395" s="743"/>
      <c r="R395" s="1101" t="s">
        <v>592</v>
      </c>
      <c r="S395" s="1101"/>
      <c r="T395" s="12" t="s">
        <v>620</v>
      </c>
      <c r="U395" s="743"/>
      <c r="V395" s="743"/>
      <c r="W395" s="743"/>
      <c r="X395" s="743"/>
      <c r="Y395" s="743"/>
      <c r="Z395" s="743"/>
      <c r="AA395" s="743"/>
      <c r="AB395" s="743"/>
      <c r="AC395" s="743"/>
      <c r="AD395" s="1435">
        <v>3</v>
      </c>
      <c r="AE395" s="1435"/>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642</v>
      </c>
      <c r="T396" s="1101"/>
      <c r="U396" s="743"/>
      <c r="V396" s="743"/>
      <c r="W396" s="743"/>
      <c r="X396" s="743"/>
      <c r="Y396" s="743"/>
      <c r="Z396" s="743"/>
      <c r="AA396" s="743"/>
      <c r="AB396" s="743"/>
      <c r="AC396" s="743"/>
      <c r="AD396" s="743"/>
      <c r="AE396" s="743"/>
      <c r="AF396" s="743"/>
    </row>
    <row r="397" spans="1:38" ht="12.75" customHeight="1">
      <c r="E397" s="12" t="s">
        <v>177</v>
      </c>
      <c r="F397" s="743"/>
      <c r="G397" s="743"/>
      <c r="H397" s="1589" t="s">
        <v>1762</v>
      </c>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743"/>
    </row>
    <row r="398" spans="1:38" ht="12.75" customHeight="1">
      <c r="E398" s="25"/>
      <c r="F398" s="743"/>
      <c r="G398" s="743"/>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6"/>
      <c r="F406" s="1126"/>
      <c r="G406" s="1126"/>
      <c r="H406" s="23" t="s">
        <v>122</v>
      </c>
      <c r="I406" s="1126"/>
      <c r="J406" s="1126"/>
      <c r="K406" s="1126"/>
      <c r="L406" s="12" t="s">
        <v>123</v>
      </c>
      <c r="N406" s="144" t="s">
        <v>626</v>
      </c>
      <c r="P406" s="1121">
        <v>2.61</v>
      </c>
      <c r="Q406" s="1121"/>
      <c r="R406" s="1121"/>
      <c r="S406" s="12" t="s">
        <v>124</v>
      </c>
      <c r="W406" s="1593">
        <f>IF(E406&gt;0,(E406*I406),(P406*43560))</f>
        <v>113691.59999999999</v>
      </c>
      <c r="X406" s="1593"/>
      <c r="Y406" s="1593"/>
      <c r="Z406" s="12" t="s">
        <v>125</v>
      </c>
      <c r="AF406" s="1121">
        <f>AG424/P406</f>
        <v>40.229885057471265</v>
      </c>
      <c r="AG406" s="1121"/>
      <c r="AH406" s="1121"/>
    </row>
    <row r="407" spans="1:36" ht="12.75">
      <c r="E407" s="12" t="s">
        <v>56</v>
      </c>
    </row>
    <row r="408" spans="1:36" ht="12.75">
      <c r="E408" s="1597"/>
      <c r="F408" s="1597"/>
      <c r="G408" s="1597"/>
      <c r="H408" s="1597"/>
      <c r="I408" s="1597"/>
      <c r="J408" s="1597"/>
      <c r="K408" s="1597"/>
      <c r="L408" s="1597"/>
      <c r="M408" s="1597"/>
      <c r="N408" s="1597"/>
      <c r="O408" s="1597"/>
      <c r="P408" s="1597"/>
      <c r="Q408" s="1597"/>
      <c r="R408" s="1597"/>
      <c r="S408" s="1597"/>
      <c r="T408" s="1597"/>
      <c r="U408" s="1597"/>
      <c r="V408" s="1597"/>
      <c r="W408" s="1597"/>
      <c r="X408" s="1597"/>
      <c r="Y408" s="1597"/>
      <c r="Z408" s="1597"/>
      <c r="AA408" s="1597"/>
      <c r="AB408" s="1597"/>
      <c r="AC408" s="1597"/>
      <c r="AD408" s="1597"/>
      <c r="AE408" s="1597"/>
      <c r="AF408" s="1597"/>
      <c r="AG408" s="1597"/>
      <c r="AH408" s="1597"/>
      <c r="AI408" s="1597"/>
      <c r="AJ408" s="1597"/>
    </row>
    <row r="409" spans="1:36" ht="12.75"/>
    <row r="410" spans="1:36" ht="12.75">
      <c r="A410" s="50" t="s">
        <v>643</v>
      </c>
      <c r="B410" s="50"/>
      <c r="C410" s="50"/>
      <c r="D410" s="50" t="s">
        <v>127</v>
      </c>
    </row>
    <row r="411" spans="1:36" ht="12.75">
      <c r="E411" s="12" t="s">
        <v>128</v>
      </c>
      <c r="P411" s="1101">
        <v>1</v>
      </c>
      <c r="Q411" s="1101"/>
      <c r="S411" s="12" t="s">
        <v>203</v>
      </c>
      <c r="AE411" s="1101">
        <v>1</v>
      </c>
      <c r="AF411" s="1101"/>
    </row>
    <row r="412" spans="1:36" ht="12.75">
      <c r="E412" s="12" t="s">
        <v>204</v>
      </c>
      <c r="P412" s="1101">
        <v>1</v>
      </c>
      <c r="Q412" s="1101"/>
      <c r="S412" s="12" t="s">
        <v>138</v>
      </c>
      <c r="AE412" s="1101" t="s">
        <v>592</v>
      </c>
      <c r="AF412" s="1101"/>
    </row>
    <row r="413" spans="1:36" ht="12.75" customHeight="1">
      <c r="F413" s="67" t="s">
        <v>139</v>
      </c>
    </row>
    <row r="414" spans="1:36" ht="12.75" customHeight="1">
      <c r="F414" s="1565" t="s">
        <v>1804</v>
      </c>
      <c r="G414" s="1566"/>
      <c r="H414" s="1566"/>
      <c r="I414" s="1566"/>
      <c r="J414" s="1566"/>
      <c r="K414" s="1566"/>
      <c r="L414" s="1566"/>
      <c r="M414" s="1566"/>
      <c r="N414" s="1566"/>
      <c r="O414" s="1566"/>
      <c r="P414" s="1566"/>
      <c r="Q414" s="1566"/>
      <c r="R414" s="1566"/>
      <c r="S414" s="1566"/>
      <c r="T414" s="1566"/>
      <c r="U414" s="1566"/>
      <c r="V414" s="1566"/>
      <c r="W414" s="1566"/>
      <c r="X414" s="1566"/>
      <c r="Y414" s="1566"/>
      <c r="Z414" s="1566"/>
      <c r="AA414" s="1566"/>
      <c r="AB414" s="1566"/>
      <c r="AC414" s="1566"/>
      <c r="AD414" s="1566"/>
      <c r="AE414" s="1566"/>
      <c r="AF414" s="1566"/>
      <c r="AG414" s="1566"/>
      <c r="AH414" s="1566"/>
    </row>
    <row r="415" spans="1:36" ht="12.75" customHeight="1">
      <c r="F415" s="1333"/>
      <c r="G415" s="1333"/>
      <c r="H415" s="1333"/>
      <c r="I415" s="1333"/>
      <c r="J415" s="1333"/>
      <c r="K415" s="1333"/>
      <c r="L415" s="1333"/>
      <c r="M415" s="1333"/>
      <c r="N415" s="1333"/>
      <c r="O415" s="1333"/>
      <c r="P415" s="1333"/>
      <c r="Q415" s="1333"/>
      <c r="R415" s="1333"/>
      <c r="S415" s="1333"/>
      <c r="T415" s="1333"/>
      <c r="U415" s="1333"/>
      <c r="V415" s="1333"/>
      <c r="W415" s="1333"/>
      <c r="X415" s="1333"/>
      <c r="Y415" s="1333"/>
      <c r="Z415" s="1333"/>
      <c r="AA415" s="1333"/>
      <c r="AB415" s="1333"/>
      <c r="AC415" s="1333"/>
      <c r="AD415" s="1333"/>
      <c r="AE415" s="1333"/>
      <c r="AF415" s="1333"/>
      <c r="AG415" s="1333"/>
      <c r="AH415" s="1333"/>
    </row>
    <row r="416" spans="1:36" ht="12.75" customHeight="1">
      <c r="E416" s="12" t="s">
        <v>659</v>
      </c>
      <c r="N416" s="39"/>
      <c r="O416" s="39"/>
      <c r="P416" s="243"/>
      <c r="Q416" s="1101" t="s">
        <v>592</v>
      </c>
      <c r="R416" s="110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1" t="s">
        <v>642</v>
      </c>
      <c r="AG417" s="1602"/>
    </row>
    <row r="418" spans="1:96" ht="12.75" customHeight="1">
      <c r="S418" s="25"/>
      <c r="T418" s="25"/>
    </row>
    <row r="419" spans="1:96" ht="12.75" customHeight="1">
      <c r="A419" s="50"/>
      <c r="B419" s="50"/>
      <c r="C419" s="50"/>
      <c r="E419" s="7" t="s">
        <v>330</v>
      </c>
      <c r="Z419" s="1101" t="s">
        <v>723</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1" t="s">
        <v>642</v>
      </c>
      <c r="AA421" s="1101"/>
    </row>
    <row r="422" spans="1:96" ht="12.75" customHeight="1"/>
    <row r="423" spans="1:96" ht="12.75" customHeight="1">
      <c r="A423" s="50" t="s">
        <v>514</v>
      </c>
      <c r="B423" s="50"/>
      <c r="C423" s="50"/>
      <c r="D423" s="50" t="s">
        <v>843</v>
      </c>
      <c r="AF423" s="80"/>
    </row>
    <row r="424" spans="1:96" ht="12.75" customHeight="1">
      <c r="D424" s="1175" t="s">
        <v>48</v>
      </c>
      <c r="E424" s="1176"/>
      <c r="F424" s="1176"/>
      <c r="G424" s="1176"/>
      <c r="H424" s="1176"/>
      <c r="I424" s="1176"/>
      <c r="J424" s="1176"/>
      <c r="K424" s="1176"/>
      <c r="L424" s="1176"/>
      <c r="M424" s="1176"/>
      <c r="N424" s="1176"/>
      <c r="O424" s="1176"/>
      <c r="P424" s="1176"/>
      <c r="Q424" s="1176"/>
      <c r="R424" s="1176"/>
      <c r="S424" s="1176"/>
      <c r="T424" s="1176"/>
      <c r="U424" s="1176"/>
      <c r="V424" s="1176"/>
      <c r="W424" s="1176"/>
      <c r="X424" s="1176"/>
      <c r="Y424" s="1176"/>
      <c r="Z424" s="1176"/>
      <c r="AA424" s="1176"/>
      <c r="AB424" s="1176"/>
      <c r="AC424" s="1176"/>
      <c r="AD424" s="1176"/>
      <c r="AE424" s="1176"/>
      <c r="AF424" s="1543"/>
      <c r="AG424" s="1540">
        <v>105</v>
      </c>
      <c r="AH424" s="1540"/>
      <c r="AI424" s="1540"/>
      <c r="AJ424" s="1540"/>
    </row>
    <row r="425" spans="1:96" ht="12.75" customHeight="1">
      <c r="D425" s="1521" t="s">
        <v>1489</v>
      </c>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3"/>
      <c r="AG425" s="1547">
        <v>0</v>
      </c>
      <c r="AH425" s="1187"/>
      <c r="AI425" s="1187"/>
      <c r="AJ425" s="1187"/>
    </row>
    <row r="426" spans="1:96" ht="12.75" customHeight="1">
      <c r="D426" s="1521" t="s">
        <v>1184</v>
      </c>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3"/>
      <c r="AG426" s="1540">
        <v>104</v>
      </c>
      <c r="AH426" s="1540"/>
      <c r="AI426" s="1540"/>
      <c r="AJ426" s="1540"/>
    </row>
    <row r="427" spans="1:96" ht="12.75" customHeight="1">
      <c r="D427" s="1521" t="s">
        <v>1185</v>
      </c>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3"/>
      <c r="AG427" s="1540">
        <v>104</v>
      </c>
      <c r="AH427" s="1540"/>
      <c r="AI427" s="1540"/>
      <c r="AJ427" s="1540"/>
    </row>
    <row r="428" spans="1:96" ht="12.75" customHeight="1">
      <c r="D428" s="1521" t="s">
        <v>1187</v>
      </c>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3"/>
      <c r="AG428" s="1592">
        <f>IF(ISERROR(AG427/AG426),"",AG427/AG426)</f>
        <v>1</v>
      </c>
      <c r="AH428" s="1592"/>
      <c r="AI428" s="1592"/>
      <c r="AJ428" s="1592"/>
    </row>
    <row r="429" spans="1:96" ht="12.75" customHeight="1">
      <c r="D429" s="1521" t="s">
        <v>1186</v>
      </c>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3"/>
      <c r="AG429" s="1467">
        <v>72158</v>
      </c>
      <c r="AH429" s="1467"/>
      <c r="AI429" s="1467"/>
      <c r="AJ429" s="1467"/>
    </row>
    <row r="430" spans="1:96" ht="12.75" customHeight="1">
      <c r="D430" s="1521" t="s">
        <v>1188</v>
      </c>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3"/>
      <c r="AG430" s="1467">
        <v>72158</v>
      </c>
      <c r="AH430" s="1467"/>
      <c r="AI430" s="1467"/>
      <c r="AJ430" s="1467"/>
    </row>
    <row r="431" spans="1:96" ht="12.75" customHeight="1">
      <c r="D431" s="1521" t="s">
        <v>1189</v>
      </c>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3"/>
      <c r="AG431" s="1592">
        <f>IF(ISERROR(AG430/AG429),"",AG430/AG429)</f>
        <v>1</v>
      </c>
      <c r="AH431" s="1592"/>
      <c r="AI431" s="1592"/>
      <c r="AJ431" s="1592"/>
    </row>
    <row r="432" spans="1:96" ht="12.75" customHeight="1">
      <c r="D432" s="1521" t="s">
        <v>1190</v>
      </c>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3"/>
      <c r="AG432" s="1592">
        <f>MIN(IF(AG428&gt;AG431,AG431,AG428),1)</f>
        <v>1</v>
      </c>
      <c r="AH432" s="1592"/>
      <c r="AI432" s="1592"/>
      <c r="AJ432" s="159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1" t="s">
        <v>1461</v>
      </c>
      <c r="E433" s="1176"/>
      <c r="F433" s="1176"/>
      <c r="G433" s="1176"/>
      <c r="H433" s="1176"/>
      <c r="I433" s="1176"/>
      <c r="J433" s="1176"/>
      <c r="K433" s="1176"/>
      <c r="L433" s="1176"/>
      <c r="M433" s="1176"/>
      <c r="N433" s="1176"/>
      <c r="O433" s="1176"/>
      <c r="P433" s="1176"/>
      <c r="Q433" s="1176"/>
      <c r="R433" s="1176"/>
      <c r="S433" s="1176"/>
      <c r="T433" s="1176"/>
      <c r="U433" s="1176"/>
      <c r="V433" s="1176"/>
      <c r="W433" s="1176"/>
      <c r="X433" s="1176"/>
      <c r="Y433" s="1176"/>
      <c r="Z433" s="1176"/>
      <c r="AA433" s="1176"/>
      <c r="AB433" s="1176"/>
      <c r="AC433" s="1176"/>
      <c r="AD433" s="1176"/>
      <c r="AE433" s="1176"/>
      <c r="AF433" s="1543"/>
      <c r="AG433" s="1467">
        <v>2023</v>
      </c>
      <c r="AH433" s="1467"/>
      <c r="AI433" s="1467"/>
      <c r="AJ433" s="146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5" t="s">
        <v>618</v>
      </c>
      <c r="E434" s="1176"/>
      <c r="F434" s="1176"/>
      <c r="G434" s="1176"/>
      <c r="H434" s="1176"/>
      <c r="I434" s="1176"/>
      <c r="J434" s="1176"/>
      <c r="K434" s="1176"/>
      <c r="L434" s="1176"/>
      <c r="M434" s="1176"/>
      <c r="N434" s="1176"/>
      <c r="O434" s="1176"/>
      <c r="P434" s="1176"/>
      <c r="Q434" s="1176"/>
      <c r="R434" s="1176"/>
      <c r="S434" s="1176"/>
      <c r="T434" s="1176"/>
      <c r="U434" s="1176"/>
      <c r="V434" s="1176"/>
      <c r="W434" s="1176"/>
      <c r="X434" s="1176"/>
      <c r="Y434" s="1176"/>
      <c r="Z434" s="1176"/>
      <c r="AA434" s="1176"/>
      <c r="AB434" s="1176"/>
      <c r="AC434" s="1176"/>
      <c r="AD434" s="1176"/>
      <c r="AE434" s="1176"/>
      <c r="AF434" s="1543"/>
      <c r="AG434" s="1467">
        <f>1446*2</f>
        <v>2892</v>
      </c>
      <c r="AH434" s="1467"/>
      <c r="AI434" s="1467"/>
      <c r="AJ434" s="146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1" t="s">
        <v>1462</v>
      </c>
      <c r="E435" s="1176"/>
      <c r="F435" s="1176"/>
      <c r="G435" s="1176"/>
      <c r="H435" s="1176"/>
      <c r="I435" s="1176"/>
      <c r="J435" s="1176"/>
      <c r="K435" s="1176"/>
      <c r="L435" s="1176"/>
      <c r="M435" s="1176"/>
      <c r="N435" s="1176"/>
      <c r="O435" s="1176"/>
      <c r="P435" s="1176"/>
      <c r="Q435" s="1176"/>
      <c r="R435" s="1176"/>
      <c r="S435" s="1176"/>
      <c r="T435" s="1176"/>
      <c r="U435" s="1176"/>
      <c r="V435" s="1176"/>
      <c r="W435" s="1176"/>
      <c r="X435" s="1176"/>
      <c r="Y435" s="1176"/>
      <c r="Z435" s="1176"/>
      <c r="AA435" s="1176"/>
      <c r="AB435" s="1176"/>
      <c r="AC435" s="1176"/>
      <c r="AD435" s="1176"/>
      <c r="AE435" s="1176"/>
      <c r="AF435" s="1543"/>
      <c r="AG435" s="1467">
        <v>16143</v>
      </c>
      <c r="AH435" s="1467"/>
      <c r="AI435" s="1467"/>
      <c r="AJ435" s="146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1" t="s">
        <v>1191</v>
      </c>
      <c r="E436" s="1176"/>
      <c r="F436" s="1176"/>
      <c r="G436" s="1176"/>
      <c r="H436" s="1176"/>
      <c r="I436" s="1176"/>
      <c r="J436" s="1176"/>
      <c r="K436" s="1176"/>
      <c r="L436" s="1176"/>
      <c r="M436" s="1176"/>
      <c r="N436" s="1176"/>
      <c r="O436" s="1176"/>
      <c r="P436" s="1176"/>
      <c r="Q436" s="1176"/>
      <c r="R436" s="1176"/>
      <c r="S436" s="1176"/>
      <c r="T436" s="1176"/>
      <c r="U436" s="1176"/>
      <c r="V436" s="1176"/>
      <c r="W436" s="1176"/>
      <c r="X436" s="1176"/>
      <c r="Y436" s="1176"/>
      <c r="Z436" s="1176"/>
      <c r="AA436" s="1176"/>
      <c r="AB436" s="1176"/>
      <c r="AC436" s="1176"/>
      <c r="AD436" s="1176"/>
      <c r="AE436" s="1176"/>
      <c r="AF436" s="1543"/>
      <c r="AG436" s="1467">
        <v>41839</v>
      </c>
      <c r="AH436" s="1467"/>
      <c r="AI436" s="1467"/>
      <c r="AJ436" s="146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9" t="s">
        <v>1192</v>
      </c>
      <c r="E437" s="1580"/>
      <c r="F437" s="1580"/>
      <c r="G437" s="1580"/>
      <c r="H437" s="1580"/>
      <c r="I437" s="1580"/>
      <c r="J437" s="1580"/>
      <c r="K437" s="1580"/>
      <c r="L437" s="1580"/>
      <c r="M437" s="1580"/>
      <c r="N437" s="1580"/>
      <c r="O437" s="1580"/>
      <c r="P437" s="1580"/>
      <c r="Q437" s="1580"/>
      <c r="R437" s="1580"/>
      <c r="S437" s="1580"/>
      <c r="T437" s="1580"/>
      <c r="U437" s="1580"/>
      <c r="V437" s="1580"/>
      <c r="W437" s="1580"/>
      <c r="X437" s="1580"/>
      <c r="Y437" s="1580"/>
      <c r="Z437" s="1580"/>
      <c r="AA437" s="1580"/>
      <c r="AB437" s="1580"/>
      <c r="AC437" s="1580"/>
      <c r="AD437" s="1580"/>
      <c r="AE437" s="1580"/>
      <c r="AF437" s="1581"/>
      <c r="AG437" s="1541">
        <f>AG429+AG433+AG435+AG436</f>
        <v>132163</v>
      </c>
      <c r="AH437" s="1541"/>
      <c r="AI437" s="1541"/>
      <c r="AJ437" s="154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2" t="s">
        <v>1463</v>
      </c>
      <c r="E438" s="1582"/>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1582"/>
      <c r="AG438" s="1582"/>
      <c r="AH438" s="1582"/>
      <c r="AI438" s="1582"/>
      <c r="AJ438" s="158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3"/>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3"/>
      <c r="AG439" s="1583"/>
      <c r="AH439" s="1583"/>
      <c r="AI439" s="1583"/>
      <c r="AJ439" s="158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7">
        <f>'Sources and Uses Budget'!B105/Application!AG424</f>
        <v>447391.92356515309</v>
      </c>
      <c r="AD441" s="1127"/>
      <c r="AE441" s="1127"/>
      <c r="AF441" s="112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7">
        <f>'Sources and Uses Budget'!C105/Application!AG424</f>
        <v>440249.06642229593</v>
      </c>
      <c r="AD442" s="1127"/>
      <c r="AE442" s="1127"/>
      <c r="AF442" s="112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7">
        <f>('Sources and Uses Budget'!$S$107+'Sources and Uses Budget'!$T$107)/Application!AG424</f>
        <v>408942.29291325202</v>
      </c>
      <c r="AD443" s="1127"/>
      <c r="AE443" s="1127"/>
      <c r="AF443" s="112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8" t="s">
        <v>750</v>
      </c>
      <c r="E452" s="1469"/>
      <c r="F452" s="1469"/>
      <c r="G452" s="1469"/>
      <c r="H452" s="1469"/>
      <c r="I452" s="1469"/>
      <c r="J452" s="1469"/>
      <c r="K452" s="1469"/>
      <c r="L452" s="1469"/>
      <c r="M452" s="1469"/>
      <c r="N452" s="1469"/>
      <c r="O452" s="1469"/>
      <c r="P452" s="1469"/>
      <c r="Q452" s="1469"/>
      <c r="R452" s="1469"/>
      <c r="S452" s="1469"/>
      <c r="T452" s="1469"/>
      <c r="U452" s="1469"/>
      <c r="V452" s="1470"/>
      <c r="W452" s="1272" t="s">
        <v>642</v>
      </c>
      <c r="X452" s="1273"/>
      <c r="Y452" s="127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8" t="s">
        <v>751</v>
      </c>
      <c r="E453" s="1469"/>
      <c r="F453" s="1469"/>
      <c r="G453" s="1469"/>
      <c r="H453" s="1469"/>
      <c r="I453" s="1469"/>
      <c r="J453" s="1469"/>
      <c r="K453" s="1469"/>
      <c r="L453" s="1469"/>
      <c r="M453" s="1469"/>
      <c r="N453" s="1469"/>
      <c r="O453" s="1469"/>
      <c r="P453" s="1469"/>
      <c r="Q453" s="1469"/>
      <c r="R453" s="1469"/>
      <c r="S453" s="1469"/>
      <c r="T453" s="1469"/>
      <c r="U453" s="1469"/>
      <c r="V453" s="1470"/>
      <c r="W453" s="1272" t="s">
        <v>642</v>
      </c>
      <c r="X453" s="1273"/>
      <c r="Y453" s="127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8" t="s">
        <v>752</v>
      </c>
      <c r="E454" s="1469"/>
      <c r="F454" s="1469"/>
      <c r="G454" s="1469"/>
      <c r="H454" s="1469"/>
      <c r="I454" s="1469"/>
      <c r="J454" s="1469"/>
      <c r="K454" s="1469"/>
      <c r="L454" s="1469"/>
      <c r="M454" s="1469"/>
      <c r="N454" s="1469"/>
      <c r="O454" s="1469"/>
      <c r="P454" s="1469"/>
      <c r="Q454" s="1469"/>
      <c r="R454" s="1469"/>
      <c r="S454" s="1469"/>
      <c r="T454" s="1469"/>
      <c r="U454" s="1469"/>
      <c r="V454" s="1470"/>
      <c r="W454" s="1272">
        <v>10</v>
      </c>
      <c r="X454" s="1273"/>
      <c r="Y454" s="127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8" t="s">
        <v>753</v>
      </c>
      <c r="E455" s="1469"/>
      <c r="F455" s="1469"/>
      <c r="G455" s="1469"/>
      <c r="H455" s="1469"/>
      <c r="I455" s="1469"/>
      <c r="J455" s="1469"/>
      <c r="K455" s="1469"/>
      <c r="L455" s="1469"/>
      <c r="M455" s="1469"/>
      <c r="N455" s="1469"/>
      <c r="O455" s="1469"/>
      <c r="P455" s="1469"/>
      <c r="Q455" s="1469"/>
      <c r="R455" s="1469"/>
      <c r="S455" s="1469"/>
      <c r="T455" s="1469"/>
      <c r="U455" s="1469"/>
      <c r="V455" s="1470"/>
      <c r="W455" s="1272" t="s">
        <v>642</v>
      </c>
      <c r="X455" s="1273"/>
      <c r="Y455" s="127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8" t="s">
        <v>976</v>
      </c>
      <c r="E456" s="1469"/>
      <c r="F456" s="1469"/>
      <c r="G456" s="1469"/>
      <c r="H456" s="1469"/>
      <c r="I456" s="1469"/>
      <c r="J456" s="1469"/>
      <c r="K456" s="1469"/>
      <c r="L456" s="1469"/>
      <c r="M456" s="1469"/>
      <c r="N456" s="1469"/>
      <c r="O456" s="1469"/>
      <c r="P456" s="1469"/>
      <c r="Q456" s="1469"/>
      <c r="R456" s="1469"/>
      <c r="S456" s="1469"/>
      <c r="T456" s="1469"/>
      <c r="U456" s="1469"/>
      <c r="V456" s="1470"/>
      <c r="W456" s="1272" t="s">
        <v>642</v>
      </c>
      <c r="X456" s="1273"/>
      <c r="Y456" s="127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8" t="s">
        <v>754</v>
      </c>
      <c r="E457" s="1469"/>
      <c r="F457" s="1469"/>
      <c r="G457" s="1469"/>
      <c r="H457" s="1469"/>
      <c r="I457" s="1469"/>
      <c r="J457" s="1469"/>
      <c r="K457" s="1469"/>
      <c r="L457" s="1469"/>
      <c r="M457" s="1469"/>
      <c r="N457" s="1469"/>
      <c r="O457" s="1469"/>
      <c r="P457" s="1469"/>
      <c r="Q457" s="1469"/>
      <c r="R457" s="1469"/>
      <c r="S457" s="1469"/>
      <c r="T457" s="1469"/>
      <c r="U457" s="1469"/>
      <c r="V457" s="1470"/>
      <c r="W457" s="1272" t="s">
        <v>642</v>
      </c>
      <c r="X457" s="1273"/>
      <c r="Y457" s="127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8" t="s">
        <v>1157</v>
      </c>
      <c r="E458" s="1469"/>
      <c r="F458" s="1469"/>
      <c r="G458" s="1469"/>
      <c r="H458" s="1469"/>
      <c r="I458" s="1469"/>
      <c r="J458" s="1469"/>
      <c r="K458" s="1469"/>
      <c r="L458" s="1469"/>
      <c r="M458" s="1469"/>
      <c r="N458" s="1469"/>
      <c r="O458" s="1469"/>
      <c r="P458" s="1469"/>
      <c r="Q458" s="1469"/>
      <c r="R458" s="1469"/>
      <c r="S458" s="1469"/>
      <c r="T458" s="1469"/>
      <c r="U458" s="1469"/>
      <c r="V458" s="1470"/>
      <c r="W458" s="1272" t="s">
        <v>642</v>
      </c>
      <c r="X458" s="1273"/>
      <c r="Y458" s="127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7"/>
      <c r="H459" s="1538"/>
      <c r="I459" s="1538"/>
      <c r="J459" s="1538"/>
      <c r="K459" s="1538"/>
      <c r="L459" s="1538"/>
      <c r="M459" s="1538"/>
      <c r="N459" s="1538"/>
      <c r="O459" s="1538"/>
      <c r="P459" s="1538"/>
      <c r="Q459" s="1538"/>
      <c r="R459" s="1538"/>
      <c r="S459" s="1538"/>
      <c r="T459" s="1538"/>
      <c r="U459" s="1538"/>
      <c r="V459" s="1539"/>
      <c r="W459" s="1272" t="s">
        <v>642</v>
      </c>
      <c r="X459" s="1273"/>
      <c r="Y459" s="127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2" t="s">
        <v>755</v>
      </c>
      <c r="E463" s="1473"/>
      <c r="F463" s="1473"/>
      <c r="G463" s="1473"/>
      <c r="H463" s="1473"/>
      <c r="I463" s="1473"/>
      <c r="J463" s="1473"/>
      <c r="K463" s="1473"/>
      <c r="L463" s="1473"/>
      <c r="M463" s="1473"/>
      <c r="N463" s="1473"/>
      <c r="O463" s="1473"/>
      <c r="P463" s="1473"/>
      <c r="Q463" s="1473"/>
      <c r="R463" s="1473"/>
      <c r="S463" s="1473"/>
      <c r="T463" s="1473"/>
      <c r="U463" s="1473"/>
      <c r="V463" s="1473"/>
      <c r="W463" s="1584"/>
      <c r="X463" s="1584"/>
      <c r="Y463" s="158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8" t="s">
        <v>756</v>
      </c>
      <c r="E464" s="1469"/>
      <c r="F464" s="1469"/>
      <c r="G464" s="1469"/>
      <c r="H464" s="1469"/>
      <c r="I464" s="1469"/>
      <c r="J464" s="1469"/>
      <c r="K464" s="1469"/>
      <c r="L464" s="1469"/>
      <c r="M464" s="1469"/>
      <c r="N464" s="1469"/>
      <c r="O464" s="1469"/>
      <c r="P464" s="1469"/>
      <c r="Q464" s="1469"/>
      <c r="R464" s="1469"/>
      <c r="S464" s="1469"/>
      <c r="T464" s="1469"/>
      <c r="U464" s="1469"/>
      <c r="V464" s="1470"/>
      <c r="W464" s="1272" t="s">
        <v>642</v>
      </c>
      <c r="X464" s="1273"/>
      <c r="Y464" s="127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6" t="s">
        <v>893</v>
      </c>
      <c r="B466" s="1276"/>
      <c r="C466" s="1276"/>
      <c r="D466" s="1276"/>
      <c r="E466" s="1276"/>
      <c r="F466" s="1276"/>
      <c r="G466" s="1276"/>
      <c r="H466" s="1276"/>
      <c r="I466" s="1276"/>
      <c r="J466" s="1276"/>
      <c r="K466" s="1276"/>
      <c r="L466" s="1276"/>
      <c r="M466" s="1276"/>
      <c r="N466" s="1276"/>
      <c r="O466" s="1276"/>
      <c r="P466" s="1276"/>
      <c r="Q466" s="1276"/>
      <c r="R466" s="1276"/>
      <c r="S466" s="1276"/>
      <c r="T466" s="1276"/>
      <c r="U466" s="1276"/>
      <c r="V466" s="1276"/>
      <c r="W466" s="1276"/>
      <c r="X466" s="1276"/>
      <c r="Y466" s="1276"/>
      <c r="Z466" s="1276"/>
      <c r="AA466" s="1276"/>
      <c r="AB466" s="1276"/>
      <c r="AC466" s="1276"/>
      <c r="AD466" s="1276"/>
      <c r="AE466" s="1276"/>
      <c r="AF466" s="1276"/>
      <c r="AG466" s="1276"/>
      <c r="AH466" s="1276"/>
      <c r="AI466" s="1276"/>
      <c r="AJ466" s="1276"/>
      <c r="AK466" s="1276"/>
      <c r="AL466" s="127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7"/>
      <c r="B467" s="1277"/>
      <c r="C467" s="1277"/>
      <c r="D467" s="1277"/>
      <c r="E467" s="1277"/>
      <c r="F467" s="1277"/>
      <c r="G467" s="1277"/>
      <c r="H467" s="1277"/>
      <c r="I467" s="1277"/>
      <c r="J467" s="1277"/>
      <c r="K467" s="1277"/>
      <c r="L467" s="1277"/>
      <c r="M467" s="1277"/>
      <c r="N467" s="1277"/>
      <c r="O467" s="1277"/>
      <c r="P467" s="1277"/>
      <c r="Q467" s="1277"/>
      <c r="R467" s="1277"/>
      <c r="S467" s="1277"/>
      <c r="T467" s="1277"/>
      <c r="U467" s="1277"/>
      <c r="V467" s="1277"/>
      <c r="W467" s="1277"/>
      <c r="X467" s="1277"/>
      <c r="Y467" s="1277"/>
      <c r="Z467" s="1277"/>
      <c r="AA467" s="1277"/>
      <c r="AB467" s="1277"/>
      <c r="AC467" s="1277"/>
      <c r="AD467" s="1277"/>
      <c r="AE467" s="1277"/>
      <c r="AF467" s="1277"/>
      <c r="AG467" s="1277"/>
      <c r="AH467" s="1277"/>
      <c r="AI467" s="1277"/>
      <c r="AJ467" s="1277"/>
      <c r="AK467" s="1277"/>
      <c r="AL467" s="127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9" t="s">
        <v>894</v>
      </c>
      <c r="U471" s="1480"/>
      <c r="V471" s="1480"/>
      <c r="W471" s="1480"/>
      <c r="X471" s="1480"/>
      <c r="Y471" s="1480"/>
      <c r="Z471" s="1480"/>
      <c r="AA471" s="1480"/>
      <c r="AB471" s="1480"/>
      <c r="AC471" s="1480"/>
      <c r="AD471" s="1480"/>
      <c r="AE471" s="1480"/>
      <c r="AF471" s="1480"/>
      <c r="AG471" s="1480"/>
      <c r="AH471" s="152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4" t="s">
        <v>38</v>
      </c>
      <c r="U472" s="1474"/>
      <c r="V472" s="1474"/>
      <c r="W472" s="1474"/>
      <c r="X472" s="1474"/>
      <c r="Y472" s="1474" t="s">
        <v>39</v>
      </c>
      <c r="Z472" s="1474"/>
      <c r="AA472" s="1474"/>
      <c r="AB472" s="1474"/>
      <c r="AC472" s="1474"/>
      <c r="AD472" s="1474" t="s">
        <v>362</v>
      </c>
      <c r="AE472" s="1474"/>
      <c r="AF472" s="1474"/>
      <c r="AG472" s="1474"/>
      <c r="AH472" s="147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4"/>
      <c r="U473" s="1474"/>
      <c r="V473" s="1474"/>
      <c r="W473" s="1474"/>
      <c r="X473" s="1474"/>
      <c r="Y473" s="1474"/>
      <c r="Z473" s="1474"/>
      <c r="AA473" s="1474"/>
      <c r="AB473" s="1474"/>
      <c r="AC473" s="1474"/>
      <c r="AD473" s="1474"/>
      <c r="AE473" s="1474"/>
      <c r="AF473" s="1474"/>
      <c r="AG473" s="1474"/>
      <c r="AH473" s="147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1" t="s">
        <v>642</v>
      </c>
      <c r="U474" s="1471"/>
      <c r="V474" s="1471"/>
      <c r="W474" s="1471"/>
      <c r="X474" s="1471"/>
      <c r="Y474" s="1471" t="s">
        <v>642</v>
      </c>
      <c r="Z474" s="1471"/>
      <c r="AA474" s="1471"/>
      <c r="AB474" s="1471"/>
      <c r="AC474" s="1471"/>
      <c r="AD474" s="1471" t="s">
        <v>642</v>
      </c>
      <c r="AE474" s="1471"/>
      <c r="AF474" s="1471"/>
      <c r="AG474" s="1471"/>
      <c r="AH474" s="14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1">
        <v>43586</v>
      </c>
      <c r="U475" s="1471"/>
      <c r="V475" s="1471"/>
      <c r="W475" s="1471"/>
      <c r="X475" s="1471"/>
      <c r="Y475" s="1471">
        <v>43798</v>
      </c>
      <c r="Z475" s="1471"/>
      <c r="AA475" s="1471"/>
      <c r="AB475" s="1471"/>
      <c r="AC475" s="1471"/>
      <c r="AD475" s="1471"/>
      <c r="AE475" s="1471"/>
      <c r="AF475" s="1471"/>
      <c r="AG475" s="1471"/>
      <c r="AH475" s="14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1" t="s">
        <v>642</v>
      </c>
      <c r="U476" s="1471"/>
      <c r="V476" s="1471"/>
      <c r="W476" s="1471"/>
      <c r="X476" s="1471"/>
      <c r="Y476" s="1471" t="s">
        <v>642</v>
      </c>
      <c r="Z476" s="1471"/>
      <c r="AA476" s="1471"/>
      <c r="AB476" s="1471"/>
      <c r="AC476" s="1471"/>
      <c r="AD476" s="1471" t="s">
        <v>642</v>
      </c>
      <c r="AE476" s="1471"/>
      <c r="AF476" s="1471"/>
      <c r="AG476" s="1471"/>
      <c r="AH476" s="14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1" t="s">
        <v>642</v>
      </c>
      <c r="U477" s="1471"/>
      <c r="V477" s="1471"/>
      <c r="W477" s="1471"/>
      <c r="X477" s="1471"/>
      <c r="Y477" s="1471" t="s">
        <v>642</v>
      </c>
      <c r="Z477" s="1471"/>
      <c r="AA477" s="1471"/>
      <c r="AB477" s="1471"/>
      <c r="AC477" s="1471"/>
      <c r="AD477" s="1471" t="s">
        <v>642</v>
      </c>
      <c r="AE477" s="1471"/>
      <c r="AF477" s="1471"/>
      <c r="AG477" s="1471"/>
      <c r="AH477" s="147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1" t="s">
        <v>642</v>
      </c>
      <c r="U478" s="1471"/>
      <c r="V478" s="1471"/>
      <c r="W478" s="1471"/>
      <c r="X478" s="1471"/>
      <c r="Y478" s="1471" t="s">
        <v>642</v>
      </c>
      <c r="Z478" s="1471"/>
      <c r="AA478" s="1471"/>
      <c r="AB478" s="1471"/>
      <c r="AC478" s="1471"/>
      <c r="AD478" s="1471" t="s">
        <v>642</v>
      </c>
      <c r="AE478" s="1471"/>
      <c r="AF478" s="1471"/>
      <c r="AG478" s="1471"/>
      <c r="AH478" s="14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1" t="s">
        <v>642</v>
      </c>
      <c r="U479" s="1471"/>
      <c r="V479" s="1471"/>
      <c r="W479" s="1471"/>
      <c r="X479" s="1471"/>
      <c r="Y479" s="1471" t="s">
        <v>642</v>
      </c>
      <c r="Z479" s="1471"/>
      <c r="AA479" s="1471"/>
      <c r="AB479" s="1471"/>
      <c r="AC479" s="1471"/>
      <c r="AD479" s="1471" t="s">
        <v>642</v>
      </c>
      <c r="AE479" s="1471"/>
      <c r="AF479" s="1471"/>
      <c r="AG479" s="1471"/>
      <c r="AH479" s="14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1">
        <v>43449</v>
      </c>
      <c r="U480" s="1471"/>
      <c r="V480" s="1471"/>
      <c r="W480" s="1471"/>
      <c r="X480" s="1471"/>
      <c r="Y480" s="1471">
        <v>0</v>
      </c>
      <c r="Z480" s="1471"/>
      <c r="AA480" s="1471"/>
      <c r="AB480" s="1471"/>
      <c r="AC480" s="1471"/>
      <c r="AD480" s="1471">
        <v>43495</v>
      </c>
      <c r="AE480" s="1471"/>
      <c r="AF480" s="1471"/>
      <c r="AG480" s="1471"/>
      <c r="AH480" s="147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1">
        <v>43449</v>
      </c>
      <c r="U481" s="1471"/>
      <c r="V481" s="1471"/>
      <c r="W481" s="1471"/>
      <c r="X481" s="1471"/>
      <c r="Y481" s="1471">
        <v>0</v>
      </c>
      <c r="Z481" s="1471"/>
      <c r="AA481" s="1471"/>
      <c r="AB481" s="1471"/>
      <c r="AC481" s="1471"/>
      <c r="AD481" s="1471">
        <v>43495</v>
      </c>
      <c r="AE481" s="1471"/>
      <c r="AF481" s="1471"/>
      <c r="AG481" s="1471"/>
      <c r="AH481" s="14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1" t="s">
        <v>642</v>
      </c>
      <c r="U482" s="1471"/>
      <c r="V482" s="1471"/>
      <c r="W482" s="1471"/>
      <c r="X482" s="1471"/>
      <c r="Y482" s="1471" t="s">
        <v>642</v>
      </c>
      <c r="Z482" s="1471"/>
      <c r="AA482" s="1471"/>
      <c r="AB482" s="1471"/>
      <c r="AC482" s="1471"/>
      <c r="AD482" s="1471" t="s">
        <v>642</v>
      </c>
      <c r="AE482" s="1471"/>
      <c r="AF482" s="1471"/>
      <c r="AG482" s="1471"/>
      <c r="AH482" s="14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1" t="s">
        <v>642</v>
      </c>
      <c r="U483" s="1471"/>
      <c r="V483" s="1471"/>
      <c r="W483" s="1471"/>
      <c r="X483" s="1471"/>
      <c r="Y483" s="1471" t="s">
        <v>642</v>
      </c>
      <c r="Z483" s="1471"/>
      <c r="AA483" s="1471"/>
      <c r="AB483" s="1471"/>
      <c r="AC483" s="1471"/>
      <c r="AD483" s="1471" t="s">
        <v>642</v>
      </c>
      <c r="AE483" s="1471"/>
      <c r="AF483" s="1471"/>
      <c r="AG483" s="1471"/>
      <c r="AH483" s="147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6" t="s">
        <v>428</v>
      </c>
      <c r="R485" s="1477"/>
      <c r="S485" s="1477"/>
      <c r="T485" s="1477"/>
      <c r="U485" s="1477"/>
      <c r="V485" s="1477"/>
      <c r="W485" s="1477"/>
      <c r="X485" s="1477"/>
      <c r="Y485" s="1477"/>
      <c r="Z485" s="1477"/>
      <c r="AA485" s="1477"/>
      <c r="AB485" s="1477"/>
      <c r="AC485" s="1477"/>
      <c r="AD485" s="1477"/>
      <c r="AE485" s="1477"/>
      <c r="AF485" s="1477"/>
      <c r="AG485" s="1477"/>
      <c r="AH485" s="1477"/>
      <c r="AI485" s="1477"/>
      <c r="AJ485" s="1477"/>
      <c r="AK485" s="147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11" t="s">
        <v>1775</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31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1" t="s">
        <v>1779</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31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1" t="s">
        <v>1776</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31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1" t="s">
        <v>432</v>
      </c>
      <c r="C489" s="1482"/>
      <c r="D489" s="1482"/>
      <c r="E489" s="1482"/>
      <c r="F489" s="1482"/>
      <c r="G489" s="1482"/>
      <c r="H489" s="1482"/>
      <c r="I489" s="1482"/>
      <c r="J489" s="1482"/>
      <c r="K489" s="1482"/>
      <c r="L489" s="1482"/>
      <c r="M489" s="1482"/>
      <c r="N489" s="1482"/>
      <c r="O489" s="1482"/>
      <c r="P489" s="148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4"/>
      <c r="C490" s="1485"/>
      <c r="D490" s="1485"/>
      <c r="E490" s="1485"/>
      <c r="F490" s="1485"/>
      <c r="G490" s="1485"/>
      <c r="H490" s="1485"/>
      <c r="I490" s="1485"/>
      <c r="J490" s="1485"/>
      <c r="K490" s="1485"/>
      <c r="L490" s="1485"/>
      <c r="M490" s="1485"/>
      <c r="N490" s="1485"/>
      <c r="O490" s="1485"/>
      <c r="P490" s="1486"/>
      <c r="Q490" s="1490" t="s">
        <v>723</v>
      </c>
      <c r="R490" s="1491"/>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7"/>
      <c r="C491" s="1488"/>
      <c r="D491" s="1488"/>
      <c r="E491" s="1488"/>
      <c r="F491" s="1488"/>
      <c r="G491" s="1488"/>
      <c r="H491" s="1488"/>
      <c r="I491" s="1488"/>
      <c r="J491" s="1488"/>
      <c r="K491" s="1488"/>
      <c r="L491" s="1488"/>
      <c r="M491" s="1488"/>
      <c r="N491" s="1488"/>
      <c r="O491" s="1488"/>
      <c r="P491" s="1489"/>
      <c r="Q491" s="1492"/>
      <c r="R491" s="1493"/>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1" t="s">
        <v>1777</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31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1" t="s">
        <v>1778</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31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6" t="s">
        <v>436</v>
      </c>
      <c r="AD498" s="1477"/>
      <c r="AE498" s="1477"/>
      <c r="AF498" s="1477"/>
      <c r="AG498" s="1477"/>
      <c r="AH498" s="1477"/>
      <c r="AI498" s="1477"/>
      <c r="AJ498" s="1477"/>
      <c r="AK498" s="147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9" t="s">
        <v>437</v>
      </c>
      <c r="AD499" s="1480"/>
      <c r="AE499" s="1480"/>
      <c r="AF499" s="1480"/>
      <c r="AG499" s="82" t="s">
        <v>438</v>
      </c>
      <c r="AH499" s="1480" t="s">
        <v>439</v>
      </c>
      <c r="AI499" s="1480"/>
      <c r="AJ499" s="1480"/>
      <c r="AK499" s="152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4" t="s">
        <v>440</v>
      </c>
      <c r="C500" s="1495"/>
      <c r="D500" s="1495"/>
      <c r="E500" s="1495"/>
      <c r="F500" s="1495"/>
      <c r="G500" s="1495"/>
      <c r="H500" s="1496"/>
      <c r="I500" s="72" t="s">
        <v>441</v>
      </c>
      <c r="J500" s="72"/>
      <c r="K500" s="72"/>
      <c r="L500" s="72"/>
      <c r="M500" s="72"/>
      <c r="N500" s="72"/>
      <c r="O500" s="72"/>
      <c r="P500" s="72"/>
      <c r="Q500" s="72"/>
      <c r="R500" s="72"/>
      <c r="S500" s="72"/>
      <c r="T500" s="72"/>
      <c r="U500" s="72"/>
      <c r="V500" s="72"/>
      <c r="W500" s="72"/>
      <c r="X500" s="25"/>
      <c r="Y500" s="25"/>
      <c r="AC500" s="1475" t="s">
        <v>642</v>
      </c>
      <c r="AD500" s="1435"/>
      <c r="AE500" s="1435"/>
      <c r="AF500" s="1435"/>
      <c r="AG500" s="75" t="s">
        <v>438</v>
      </c>
      <c r="AH500" s="1240">
        <v>0</v>
      </c>
      <c r="AI500" s="1240"/>
      <c r="AJ500" s="1240"/>
      <c r="AK500" s="124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7"/>
      <c r="C501" s="1498"/>
      <c r="D501" s="1498"/>
      <c r="E501" s="1498"/>
      <c r="F501" s="1498"/>
      <c r="G501" s="1498"/>
      <c r="H501" s="1499"/>
      <c r="I501" s="80" t="s">
        <v>442</v>
      </c>
      <c r="J501" s="80"/>
      <c r="K501" s="80"/>
      <c r="L501" s="80"/>
      <c r="M501" s="80"/>
      <c r="N501" s="80"/>
      <c r="O501" s="80"/>
      <c r="P501" s="80"/>
      <c r="Q501" s="80"/>
      <c r="R501" s="80"/>
      <c r="S501" s="80"/>
      <c r="T501" s="80"/>
      <c r="U501" s="80"/>
      <c r="V501" s="80"/>
      <c r="W501" s="80"/>
      <c r="X501" s="80"/>
      <c r="Y501" s="80"/>
      <c r="Z501" s="80"/>
      <c r="AA501" s="80"/>
      <c r="AB501" s="80"/>
      <c r="AC501" s="1475">
        <v>12</v>
      </c>
      <c r="AD501" s="1435"/>
      <c r="AE501" s="1435"/>
      <c r="AF501" s="1435"/>
      <c r="AG501" s="65" t="s">
        <v>438</v>
      </c>
      <c r="AH501" s="1240">
        <v>2017</v>
      </c>
      <c r="AI501" s="1240"/>
      <c r="AJ501" s="1240"/>
      <c r="AK501" s="124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4" t="s">
        <v>443</v>
      </c>
      <c r="C502" s="1495"/>
      <c r="D502" s="1495"/>
      <c r="E502" s="1495"/>
      <c r="F502" s="1495"/>
      <c r="G502" s="1495"/>
      <c r="H502" s="1496"/>
      <c r="I502" s="72" t="s">
        <v>444</v>
      </c>
      <c r="J502" s="72"/>
      <c r="K502" s="72"/>
      <c r="L502" s="72"/>
      <c r="M502" s="72"/>
      <c r="N502" s="72"/>
      <c r="O502" s="72"/>
      <c r="P502" s="72"/>
      <c r="Q502" s="72"/>
      <c r="R502" s="72"/>
      <c r="S502" s="72"/>
      <c r="T502" s="72"/>
      <c r="U502" s="72"/>
      <c r="V502" s="72"/>
      <c r="W502" s="72"/>
      <c r="X502" s="25"/>
      <c r="Y502" s="25"/>
      <c r="AC502" s="1475">
        <v>1</v>
      </c>
      <c r="AD502" s="1435"/>
      <c r="AE502" s="1435"/>
      <c r="AF502" s="1435"/>
      <c r="AG502" s="75" t="s">
        <v>438</v>
      </c>
      <c r="AH502" s="1240">
        <v>2019</v>
      </c>
      <c r="AI502" s="1240"/>
      <c r="AJ502" s="1240"/>
      <c r="AK502" s="124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7"/>
      <c r="C503" s="1498"/>
      <c r="D503" s="1498"/>
      <c r="E503" s="1498"/>
      <c r="F503" s="1498"/>
      <c r="G503" s="1498"/>
      <c r="H503" s="1499"/>
      <c r="I503" s="25" t="s">
        <v>445</v>
      </c>
      <c r="J503" s="25"/>
      <c r="K503" s="25"/>
      <c r="L503" s="25"/>
      <c r="M503" s="25"/>
      <c r="N503" s="25"/>
      <c r="O503" s="25"/>
      <c r="P503" s="25"/>
      <c r="Q503" s="25"/>
      <c r="R503" s="25"/>
      <c r="S503" s="25"/>
      <c r="T503" s="25"/>
      <c r="U503" s="25"/>
      <c r="V503" s="25"/>
      <c r="W503" s="25"/>
      <c r="X503" s="25"/>
      <c r="Y503" s="25"/>
      <c r="AC503" s="1475" t="s">
        <v>642</v>
      </c>
      <c r="AD503" s="1435"/>
      <c r="AE503" s="1435"/>
      <c r="AF503" s="1435"/>
      <c r="AG503" s="75" t="s">
        <v>438</v>
      </c>
      <c r="AH503" s="1240"/>
      <c r="AI503" s="1240"/>
      <c r="AJ503" s="1240"/>
      <c r="AK503" s="124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7"/>
      <c r="C504" s="1498"/>
      <c r="D504" s="1498"/>
      <c r="E504" s="1498"/>
      <c r="F504" s="1498"/>
      <c r="G504" s="1498"/>
      <c r="H504" s="1499"/>
      <c r="I504" s="25" t="s">
        <v>446</v>
      </c>
      <c r="J504" s="25"/>
      <c r="K504" s="25"/>
      <c r="L504" s="25"/>
      <c r="M504" s="25"/>
      <c r="N504" s="25"/>
      <c r="O504" s="25"/>
      <c r="P504" s="25"/>
      <c r="Q504" s="25"/>
      <c r="R504" s="25"/>
      <c r="S504" s="25"/>
      <c r="T504" s="25"/>
      <c r="U504" s="25"/>
      <c r="V504" s="25"/>
      <c r="W504" s="25"/>
      <c r="X504" s="25"/>
      <c r="Y504" s="25"/>
      <c r="AC504" s="1475">
        <v>1</v>
      </c>
      <c r="AD504" s="1435"/>
      <c r="AE504" s="1435"/>
      <c r="AF504" s="1435"/>
      <c r="AG504" s="75" t="s">
        <v>438</v>
      </c>
      <c r="AH504" s="1240">
        <v>2019</v>
      </c>
      <c r="AI504" s="1240"/>
      <c r="AJ504" s="1240"/>
      <c r="AK504" s="124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7"/>
      <c r="C505" s="1498"/>
      <c r="D505" s="1498"/>
      <c r="E505" s="1498"/>
      <c r="F505" s="1498"/>
      <c r="G505" s="1498"/>
      <c r="H505" s="1499"/>
      <c r="I505" s="25" t="s">
        <v>447</v>
      </c>
      <c r="J505" s="25"/>
      <c r="K505" s="25"/>
      <c r="L505" s="25"/>
      <c r="M505" s="25"/>
      <c r="N505" s="25"/>
      <c r="O505" s="25"/>
      <c r="P505" s="25"/>
      <c r="Q505" s="25"/>
      <c r="R505" s="25"/>
      <c r="S505" s="25"/>
      <c r="T505" s="25"/>
      <c r="U505" s="25"/>
      <c r="V505" s="25"/>
      <c r="W505" s="25"/>
      <c r="X505" s="25"/>
      <c r="Y505" s="25"/>
      <c r="AC505" s="1475">
        <v>4</v>
      </c>
      <c r="AD505" s="1435"/>
      <c r="AE505" s="1435"/>
      <c r="AF505" s="1435"/>
      <c r="AG505" s="75" t="s">
        <v>438</v>
      </c>
      <c r="AH505" s="1240">
        <v>2020</v>
      </c>
      <c r="AI505" s="1240"/>
      <c r="AJ505" s="1240"/>
      <c r="AK505" s="124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7"/>
      <c r="C506" s="1498"/>
      <c r="D506" s="1498"/>
      <c r="E506" s="1498"/>
      <c r="F506" s="1498"/>
      <c r="G506" s="1498"/>
      <c r="H506" s="1499"/>
      <c r="I506" s="80" t="s">
        <v>448</v>
      </c>
      <c r="J506" s="80"/>
      <c r="K506" s="80"/>
      <c r="L506" s="80"/>
      <c r="M506" s="80"/>
      <c r="N506" s="80"/>
      <c r="O506" s="80"/>
      <c r="P506" s="80"/>
      <c r="Q506" s="80"/>
      <c r="R506" s="80"/>
      <c r="S506" s="80"/>
      <c r="T506" s="80"/>
      <c r="U506" s="80"/>
      <c r="V506" s="80"/>
      <c r="W506" s="80"/>
      <c r="X506" s="80"/>
      <c r="Y506" s="80"/>
      <c r="Z506" s="80"/>
      <c r="AA506" s="80"/>
      <c r="AB506" s="80"/>
      <c r="AC506" s="1475">
        <v>4</v>
      </c>
      <c r="AD506" s="1435"/>
      <c r="AE506" s="1435"/>
      <c r="AF506" s="1435"/>
      <c r="AG506" s="65" t="s">
        <v>438</v>
      </c>
      <c r="AH506" s="1240">
        <v>2020</v>
      </c>
      <c r="AI506" s="1240"/>
      <c r="AJ506" s="1240"/>
      <c r="AK506" s="124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4" t="s">
        <v>449</v>
      </c>
      <c r="C507" s="1495"/>
      <c r="D507" s="1495"/>
      <c r="E507" s="1495"/>
      <c r="F507" s="1495"/>
      <c r="G507" s="1495"/>
      <c r="H507" s="1496"/>
      <c r="I507" s="72" t="s">
        <v>450</v>
      </c>
      <c r="J507" s="72"/>
      <c r="K507" s="72"/>
      <c r="L507" s="72"/>
      <c r="M507" s="72"/>
      <c r="N507" s="72"/>
      <c r="O507" s="72"/>
      <c r="P507" s="72"/>
      <c r="Q507" s="72"/>
      <c r="R507" s="72"/>
      <c r="S507" s="72"/>
      <c r="T507" s="72"/>
      <c r="U507" s="72"/>
      <c r="V507" s="72"/>
      <c r="W507" s="72"/>
      <c r="X507" s="25"/>
      <c r="Y507" s="25"/>
      <c r="AC507" s="1475">
        <v>10</v>
      </c>
      <c r="AD507" s="1435"/>
      <c r="AE507" s="1435"/>
      <c r="AF507" s="1435"/>
      <c r="AG507" s="75" t="s">
        <v>438</v>
      </c>
      <c r="AH507" s="1240">
        <v>2019</v>
      </c>
      <c r="AI507" s="1240"/>
      <c r="AJ507" s="1240"/>
      <c r="AK507" s="124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7"/>
      <c r="C508" s="1498"/>
      <c r="D508" s="1498"/>
      <c r="E508" s="1498"/>
      <c r="F508" s="1498"/>
      <c r="G508" s="1498"/>
      <c r="H508" s="1499"/>
      <c r="I508" s="25" t="s">
        <v>451</v>
      </c>
      <c r="J508" s="25"/>
      <c r="K508" s="25"/>
      <c r="L508" s="25"/>
      <c r="M508" s="25"/>
      <c r="N508" s="25"/>
      <c r="O508" s="25"/>
      <c r="P508" s="25"/>
      <c r="Q508" s="25"/>
      <c r="R508" s="25"/>
      <c r="S508" s="25"/>
      <c r="T508" s="25"/>
      <c r="U508" s="25"/>
      <c r="V508" s="25"/>
      <c r="W508" s="25"/>
      <c r="X508" s="25"/>
      <c r="Y508" s="25"/>
      <c r="AC508" s="1475">
        <v>11</v>
      </c>
      <c r="AD508" s="1435"/>
      <c r="AE508" s="1435"/>
      <c r="AF508" s="1435"/>
      <c r="AG508" s="75" t="s">
        <v>438</v>
      </c>
      <c r="AH508" s="1240">
        <v>2019</v>
      </c>
      <c r="AI508" s="1240"/>
      <c r="AJ508" s="1240"/>
      <c r="AK508" s="124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7"/>
      <c r="C509" s="1498"/>
      <c r="D509" s="1498"/>
      <c r="E509" s="1498"/>
      <c r="F509" s="1498"/>
      <c r="G509" s="1498"/>
      <c r="H509" s="1499"/>
      <c r="I509" s="80" t="s">
        <v>452</v>
      </c>
      <c r="J509" s="80"/>
      <c r="K509" s="80"/>
      <c r="L509" s="80"/>
      <c r="M509" s="80"/>
      <c r="N509" s="80"/>
      <c r="O509" s="80"/>
      <c r="P509" s="80"/>
      <c r="Q509" s="80"/>
      <c r="R509" s="80"/>
      <c r="S509" s="80"/>
      <c r="T509" s="80"/>
      <c r="U509" s="80"/>
      <c r="V509" s="80"/>
      <c r="W509" s="80"/>
      <c r="X509" s="80"/>
      <c r="Y509" s="80"/>
      <c r="Z509" s="80"/>
      <c r="AA509" s="80"/>
      <c r="AB509" s="80"/>
      <c r="AC509" s="1475">
        <v>6</v>
      </c>
      <c r="AD509" s="1435"/>
      <c r="AE509" s="1435"/>
      <c r="AF509" s="1435"/>
      <c r="AG509" s="65" t="s">
        <v>438</v>
      </c>
      <c r="AH509" s="1240">
        <v>2020</v>
      </c>
      <c r="AI509" s="1240"/>
      <c r="AJ509" s="1240"/>
      <c r="AK509" s="124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4" t="s">
        <v>453</v>
      </c>
      <c r="C510" s="1495"/>
      <c r="D510" s="1495"/>
      <c r="E510" s="1495"/>
      <c r="F510" s="1495"/>
      <c r="G510" s="1495"/>
      <c r="H510" s="1496"/>
      <c r="I510" s="72" t="s">
        <v>450</v>
      </c>
      <c r="J510" s="72"/>
      <c r="K510" s="72"/>
      <c r="L510" s="72"/>
      <c r="M510" s="72"/>
      <c r="N510" s="72"/>
      <c r="O510" s="72"/>
      <c r="P510" s="72"/>
      <c r="Q510" s="72"/>
      <c r="R510" s="72"/>
      <c r="S510" s="72"/>
      <c r="T510" s="72"/>
      <c r="U510" s="72"/>
      <c r="V510" s="72"/>
      <c r="W510" s="72"/>
      <c r="X510" s="72"/>
      <c r="Y510" s="72"/>
      <c r="Z510" s="72"/>
      <c r="AA510" s="72"/>
      <c r="AB510" s="72"/>
      <c r="AC510" s="1184">
        <v>10</v>
      </c>
      <c r="AD510" s="1185"/>
      <c r="AE510" s="1185"/>
      <c r="AF510" s="1185"/>
      <c r="AG510" s="204" t="s">
        <v>438</v>
      </c>
      <c r="AH510" s="1240">
        <v>2019</v>
      </c>
      <c r="AI510" s="1240"/>
      <c r="AJ510" s="1240"/>
      <c r="AK510" s="124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7"/>
      <c r="C511" s="1498"/>
      <c r="D511" s="1498"/>
      <c r="E511" s="1498"/>
      <c r="F511" s="1498"/>
      <c r="G511" s="1498"/>
      <c r="H511" s="1499"/>
      <c r="I511" s="25" t="s">
        <v>451</v>
      </c>
      <c r="J511" s="25"/>
      <c r="K511" s="25"/>
      <c r="L511" s="25"/>
      <c r="M511" s="25"/>
      <c r="N511" s="25"/>
      <c r="O511" s="25"/>
      <c r="P511" s="25"/>
      <c r="Q511" s="25"/>
      <c r="R511" s="25"/>
      <c r="S511" s="25"/>
      <c r="T511" s="25"/>
      <c r="U511" s="25"/>
      <c r="V511" s="25"/>
      <c r="W511" s="25"/>
      <c r="X511" s="25"/>
      <c r="Y511" s="25"/>
      <c r="Z511" s="25"/>
      <c r="AA511" s="25"/>
      <c r="AB511" s="25"/>
      <c r="AC511" s="1475">
        <v>11</v>
      </c>
      <c r="AD511" s="1435"/>
      <c r="AE511" s="1435"/>
      <c r="AF511" s="1435"/>
      <c r="AG511" s="75" t="s">
        <v>438</v>
      </c>
      <c r="AH511" s="1240">
        <v>2019</v>
      </c>
      <c r="AI511" s="1240"/>
      <c r="AJ511" s="1240"/>
      <c r="AK511" s="124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0"/>
      <c r="C512" s="1501"/>
      <c r="D512" s="1501"/>
      <c r="E512" s="1501"/>
      <c r="F512" s="1501"/>
      <c r="G512" s="1501"/>
      <c r="H512" s="1502"/>
      <c r="I512" s="80" t="s">
        <v>452</v>
      </c>
      <c r="J512" s="80"/>
      <c r="K512" s="80"/>
      <c r="L512" s="80"/>
      <c r="M512" s="80"/>
      <c r="N512" s="80"/>
      <c r="O512" s="80"/>
      <c r="P512" s="80"/>
      <c r="Q512" s="80"/>
      <c r="R512" s="80"/>
      <c r="S512" s="80"/>
      <c r="T512" s="80"/>
      <c r="U512" s="80"/>
      <c r="V512" s="80"/>
      <c r="W512" s="80"/>
      <c r="X512" s="80"/>
      <c r="Y512" s="80"/>
      <c r="Z512" s="80"/>
      <c r="AA512" s="80"/>
      <c r="AB512" s="80"/>
      <c r="AC512" s="1475">
        <v>6</v>
      </c>
      <c r="AD512" s="1435"/>
      <c r="AE512" s="1435"/>
      <c r="AF512" s="1435"/>
      <c r="AG512" s="65" t="s">
        <v>438</v>
      </c>
      <c r="AH512" s="1240">
        <v>2020</v>
      </c>
      <c r="AI512" s="1240"/>
      <c r="AJ512" s="1240"/>
      <c r="AK512" s="124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4" t="s">
        <v>454</v>
      </c>
      <c r="C513" s="1495"/>
      <c r="D513" s="1495"/>
      <c r="E513" s="1495"/>
      <c r="F513" s="1495"/>
      <c r="G513" s="1495"/>
      <c r="H513" s="1496"/>
      <c r="I513" s="71" t="s">
        <v>455</v>
      </c>
      <c r="J513" s="72"/>
      <c r="K513" s="72"/>
      <c r="L513" s="72"/>
      <c r="M513" s="72"/>
      <c r="N513" s="72"/>
      <c r="O513" s="1122" t="s">
        <v>1674</v>
      </c>
      <c r="P513" s="1122"/>
      <c r="Q513" s="1122"/>
      <c r="R513" s="1122"/>
      <c r="S513" s="1122"/>
      <c r="T513" s="1122"/>
      <c r="U513" s="1122"/>
      <c r="V513" s="1122"/>
      <c r="W513" s="1122"/>
      <c r="X513" s="1122"/>
      <c r="Y513" s="1122"/>
      <c r="Z513" s="1122"/>
      <c r="AA513" s="1122"/>
      <c r="AB513" s="94"/>
      <c r="AC513" s="1184" t="s">
        <v>642</v>
      </c>
      <c r="AD513" s="1185"/>
      <c r="AE513" s="1185"/>
      <c r="AF513" s="1185"/>
      <c r="AG513" s="204" t="s">
        <v>438</v>
      </c>
      <c r="AH513" s="1240"/>
      <c r="AI513" s="1240"/>
      <c r="AJ513" s="1240"/>
      <c r="AK513" s="124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7"/>
      <c r="C514" s="1498"/>
      <c r="D514" s="1498"/>
      <c r="E514" s="1498"/>
      <c r="F514" s="1498"/>
      <c r="G514" s="1498"/>
      <c r="H514" s="1499"/>
      <c r="I514" s="175" t="s">
        <v>456</v>
      </c>
      <c r="J514" s="25"/>
      <c r="K514" s="25"/>
      <c r="L514" s="25"/>
      <c r="M514" s="25"/>
      <c r="N514" s="25"/>
      <c r="O514" s="25"/>
      <c r="P514" s="25"/>
      <c r="Q514" s="25"/>
      <c r="R514" s="25"/>
      <c r="S514" s="25"/>
      <c r="T514" s="25"/>
      <c r="U514" s="25"/>
      <c r="V514" s="25"/>
      <c r="W514" s="25"/>
      <c r="X514" s="25"/>
      <c r="Y514" s="25"/>
      <c r="Z514" s="25"/>
      <c r="AA514" s="25"/>
      <c r="AB514" s="101"/>
      <c r="AC514" s="1475">
        <v>3</v>
      </c>
      <c r="AD514" s="1435"/>
      <c r="AE514" s="1435"/>
      <c r="AF514" s="1435"/>
      <c r="AG514" s="75" t="s">
        <v>438</v>
      </c>
      <c r="AH514" s="1240">
        <v>2019</v>
      </c>
      <c r="AI514" s="1240"/>
      <c r="AJ514" s="1240"/>
      <c r="AK514" s="124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7"/>
      <c r="C515" s="1498"/>
      <c r="D515" s="1498"/>
      <c r="E515" s="1498"/>
      <c r="F515" s="1498"/>
      <c r="G515" s="1498"/>
      <c r="H515" s="1499"/>
      <c r="I515" s="79" t="s">
        <v>457</v>
      </c>
      <c r="J515" s="80"/>
      <c r="K515" s="80"/>
      <c r="L515" s="80"/>
      <c r="M515" s="80"/>
      <c r="N515" s="80"/>
      <c r="O515" s="80"/>
      <c r="P515" s="80"/>
      <c r="Q515" s="80"/>
      <c r="R515" s="80"/>
      <c r="S515" s="80"/>
      <c r="T515" s="80"/>
      <c r="U515" s="80"/>
      <c r="V515" s="80"/>
      <c r="W515" s="80"/>
      <c r="X515" s="80"/>
      <c r="Y515" s="80"/>
      <c r="Z515" s="80"/>
      <c r="AA515" s="80"/>
      <c r="AB515" s="81"/>
      <c r="AC515" s="1475">
        <v>11</v>
      </c>
      <c r="AD515" s="1435"/>
      <c r="AE515" s="1435"/>
      <c r="AF515" s="1435"/>
      <c r="AG515" s="65" t="s">
        <v>438</v>
      </c>
      <c r="AH515" s="1240">
        <v>2019</v>
      </c>
      <c r="AI515" s="1240"/>
      <c r="AJ515" s="1240"/>
      <c r="AK515" s="124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7"/>
      <c r="C516" s="1498"/>
      <c r="D516" s="1498"/>
      <c r="E516" s="1498"/>
      <c r="F516" s="1498"/>
      <c r="G516" s="1498"/>
      <c r="H516" s="1499"/>
      <c r="I516" s="72" t="s">
        <v>458</v>
      </c>
      <c r="J516" s="72"/>
      <c r="K516" s="72"/>
      <c r="L516" s="72"/>
      <c r="M516" s="72"/>
      <c r="N516" s="72"/>
      <c r="O516" s="1100" t="s">
        <v>1675</v>
      </c>
      <c r="P516" s="1100"/>
      <c r="Q516" s="1100"/>
      <c r="R516" s="1100"/>
      <c r="S516" s="1100"/>
      <c r="T516" s="1100"/>
      <c r="U516" s="1100"/>
      <c r="V516" s="1100"/>
      <c r="W516" s="1100"/>
      <c r="X516" s="1100"/>
      <c r="Y516" s="1100"/>
      <c r="Z516" s="1100"/>
      <c r="AA516" s="1100"/>
      <c r="AC516" s="1475" t="s">
        <v>642</v>
      </c>
      <c r="AD516" s="1435"/>
      <c r="AE516" s="1435"/>
      <c r="AF516" s="1435"/>
      <c r="AG516" s="75" t="s">
        <v>438</v>
      </c>
      <c r="AH516" s="1240"/>
      <c r="AI516" s="1240"/>
      <c r="AJ516" s="1240"/>
      <c r="AK516" s="124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7"/>
      <c r="C517" s="1498"/>
      <c r="D517" s="1498"/>
      <c r="E517" s="1498"/>
      <c r="F517" s="1498"/>
      <c r="G517" s="1498"/>
      <c r="H517" s="1499"/>
      <c r="I517" s="25" t="s">
        <v>456</v>
      </c>
      <c r="J517" s="25"/>
      <c r="K517" s="25"/>
      <c r="L517" s="25"/>
      <c r="M517" s="25"/>
      <c r="N517" s="25"/>
      <c r="O517" s="25"/>
      <c r="P517" s="25"/>
      <c r="Q517" s="25"/>
      <c r="R517" s="25"/>
      <c r="S517" s="25"/>
      <c r="T517" s="25"/>
      <c r="U517" s="25"/>
      <c r="V517" s="25"/>
      <c r="W517" s="25"/>
      <c r="X517" s="25"/>
      <c r="Y517" s="25"/>
      <c r="AC517" s="1475">
        <v>2</v>
      </c>
      <c r="AD517" s="1435"/>
      <c r="AE517" s="1435"/>
      <c r="AF517" s="1435"/>
      <c r="AG517" s="75" t="s">
        <v>438</v>
      </c>
      <c r="AH517" s="1240">
        <v>2019</v>
      </c>
      <c r="AI517" s="1240"/>
      <c r="AJ517" s="1240"/>
      <c r="AK517" s="124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7"/>
      <c r="C518" s="1498"/>
      <c r="D518" s="1498"/>
      <c r="E518" s="1498"/>
      <c r="F518" s="1498"/>
      <c r="G518" s="1498"/>
      <c r="H518" s="1499"/>
      <c r="I518" s="80" t="s">
        <v>457</v>
      </c>
      <c r="J518" s="80"/>
      <c r="K518" s="80"/>
      <c r="L518" s="80"/>
      <c r="M518" s="80"/>
      <c r="N518" s="80"/>
      <c r="O518" s="80"/>
      <c r="P518" s="80"/>
      <c r="Q518" s="80"/>
      <c r="R518" s="80"/>
      <c r="S518" s="80"/>
      <c r="T518" s="80"/>
      <c r="U518" s="80"/>
      <c r="V518" s="80"/>
      <c r="W518" s="80"/>
      <c r="X518" s="80"/>
      <c r="Y518" s="80"/>
      <c r="Z518" s="80"/>
      <c r="AA518" s="80"/>
      <c r="AB518" s="80"/>
      <c r="AC518" s="1475">
        <v>7</v>
      </c>
      <c r="AD518" s="1435"/>
      <c r="AE518" s="1435"/>
      <c r="AF518" s="1435"/>
      <c r="AG518" s="65" t="s">
        <v>438</v>
      </c>
      <c r="AH518" s="1240">
        <v>2019</v>
      </c>
      <c r="AI518" s="1240"/>
      <c r="AJ518" s="1240"/>
      <c r="AK518" s="124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7"/>
      <c r="C519" s="1498"/>
      <c r="D519" s="1498"/>
      <c r="E519" s="1498"/>
      <c r="F519" s="1498"/>
      <c r="G519" s="1498"/>
      <c r="H519" s="1499"/>
      <c r="I519" s="72" t="s">
        <v>458</v>
      </c>
      <c r="J519" s="72"/>
      <c r="K519" s="72"/>
      <c r="L519" s="72"/>
      <c r="M519" s="72"/>
      <c r="N519" s="72"/>
      <c r="O519" s="1100" t="s">
        <v>1676</v>
      </c>
      <c r="P519" s="1100"/>
      <c r="Q519" s="1100"/>
      <c r="R519" s="1100"/>
      <c r="S519" s="1100"/>
      <c r="T519" s="1100"/>
      <c r="U519" s="1100"/>
      <c r="V519" s="1100"/>
      <c r="W519" s="1100"/>
      <c r="X519" s="1100"/>
      <c r="Y519" s="1100"/>
      <c r="Z519" s="1100"/>
      <c r="AA519" s="1100"/>
      <c r="AC519" s="1475" t="s">
        <v>642</v>
      </c>
      <c r="AD519" s="1435"/>
      <c r="AE519" s="1435"/>
      <c r="AF519" s="1435"/>
      <c r="AG519" s="75" t="s">
        <v>438</v>
      </c>
      <c r="AH519" s="1240"/>
      <c r="AI519" s="1240"/>
      <c r="AJ519" s="1240"/>
      <c r="AK519" s="124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7"/>
      <c r="C520" s="1498"/>
      <c r="D520" s="1498"/>
      <c r="E520" s="1498"/>
      <c r="F520" s="1498"/>
      <c r="G520" s="1498"/>
      <c r="H520" s="1499"/>
      <c r="I520" s="25" t="s">
        <v>456</v>
      </c>
      <c r="J520" s="25"/>
      <c r="K520" s="25"/>
      <c r="L520" s="25"/>
      <c r="M520" s="25"/>
      <c r="N520" s="25"/>
      <c r="O520" s="25"/>
      <c r="P520" s="25"/>
      <c r="Q520" s="25"/>
      <c r="R520" s="25"/>
      <c r="S520" s="25"/>
      <c r="T520" s="25"/>
      <c r="U520" s="25"/>
      <c r="V520" s="25"/>
      <c r="W520" s="25"/>
      <c r="X520" s="25"/>
      <c r="Y520" s="25"/>
      <c r="AC520" s="1475">
        <v>12</v>
      </c>
      <c r="AD520" s="1435"/>
      <c r="AE520" s="1435"/>
      <c r="AF520" s="1435"/>
      <c r="AG520" s="75" t="s">
        <v>438</v>
      </c>
      <c r="AH520" s="1240">
        <v>2018</v>
      </c>
      <c r="AI520" s="1240"/>
      <c r="AJ520" s="1240"/>
      <c r="AK520" s="124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7"/>
      <c r="C521" s="1498"/>
      <c r="D521" s="1498"/>
      <c r="E521" s="1498"/>
      <c r="F521" s="1498"/>
      <c r="G521" s="1498"/>
      <c r="H521" s="1499"/>
      <c r="I521" s="80" t="s">
        <v>457</v>
      </c>
      <c r="J521" s="80"/>
      <c r="K521" s="80"/>
      <c r="L521" s="80"/>
      <c r="M521" s="80"/>
      <c r="N521" s="80"/>
      <c r="O521" s="80"/>
      <c r="P521" s="80"/>
      <c r="Q521" s="80"/>
      <c r="R521" s="80"/>
      <c r="S521" s="80"/>
      <c r="T521" s="80"/>
      <c r="U521" s="80"/>
      <c r="V521" s="80"/>
      <c r="W521" s="80"/>
      <c r="X521" s="80"/>
      <c r="Y521" s="80"/>
      <c r="Z521" s="80"/>
      <c r="AA521" s="80"/>
      <c r="AB521" s="80"/>
      <c r="AC521" s="1475">
        <v>1</v>
      </c>
      <c r="AD521" s="1435"/>
      <c r="AE521" s="1435"/>
      <c r="AF521" s="1435"/>
      <c r="AG521" s="65" t="s">
        <v>438</v>
      </c>
      <c r="AH521" s="1240">
        <v>2019</v>
      </c>
      <c r="AI521" s="1240"/>
      <c r="AJ521" s="1240"/>
      <c r="AK521" s="124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7"/>
      <c r="C522" s="1498"/>
      <c r="D522" s="1498"/>
      <c r="E522" s="1498"/>
      <c r="F522" s="1498"/>
      <c r="G522" s="1498"/>
      <c r="H522" s="1499"/>
      <c r="I522" s="72" t="s">
        <v>458</v>
      </c>
      <c r="J522" s="72"/>
      <c r="K522" s="72"/>
      <c r="L522" s="72"/>
      <c r="M522" s="72"/>
      <c r="N522" s="72"/>
      <c r="O522" s="1100" t="s">
        <v>1706</v>
      </c>
      <c r="P522" s="1100"/>
      <c r="Q522" s="1100"/>
      <c r="R522" s="1100"/>
      <c r="S522" s="1100"/>
      <c r="T522" s="1100"/>
      <c r="U522" s="1100"/>
      <c r="V522" s="1100"/>
      <c r="W522" s="1100"/>
      <c r="X522" s="1100"/>
      <c r="Y522" s="1100"/>
      <c r="Z522" s="1100"/>
      <c r="AA522" s="1100"/>
      <c r="AC522" s="1475" t="s">
        <v>642</v>
      </c>
      <c r="AD522" s="1435"/>
      <c r="AE522" s="1435"/>
      <c r="AF522" s="1435"/>
      <c r="AG522" s="75" t="s">
        <v>438</v>
      </c>
      <c r="AH522" s="1240"/>
      <c r="AI522" s="1240"/>
      <c r="AJ522" s="1240"/>
      <c r="AK522" s="124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7"/>
      <c r="C523" s="1498"/>
      <c r="D523" s="1498"/>
      <c r="E523" s="1498"/>
      <c r="F523" s="1498"/>
      <c r="G523" s="1498"/>
      <c r="H523" s="1499"/>
      <c r="I523" s="25" t="s">
        <v>456</v>
      </c>
      <c r="J523" s="25"/>
      <c r="K523" s="25"/>
      <c r="L523" s="25"/>
      <c r="M523" s="25"/>
      <c r="N523" s="25"/>
      <c r="O523" s="25"/>
      <c r="P523" s="25"/>
      <c r="Q523" s="25"/>
      <c r="R523" s="25"/>
      <c r="S523" s="25"/>
      <c r="T523" s="25"/>
      <c r="U523" s="25"/>
      <c r="V523" s="25"/>
      <c r="W523" s="25"/>
      <c r="X523" s="25"/>
      <c r="Y523" s="25"/>
      <c r="AC523" s="1475">
        <v>5</v>
      </c>
      <c r="AD523" s="1435"/>
      <c r="AE523" s="1435"/>
      <c r="AF523" s="1435"/>
      <c r="AG523" s="75" t="s">
        <v>438</v>
      </c>
      <c r="AH523" s="1240">
        <v>2019</v>
      </c>
      <c r="AI523" s="1240"/>
      <c r="AJ523" s="1240"/>
      <c r="AK523" s="124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7"/>
      <c r="C524" s="1498"/>
      <c r="D524" s="1498"/>
      <c r="E524" s="1498"/>
      <c r="F524" s="1498"/>
      <c r="G524" s="1498"/>
      <c r="H524" s="1499"/>
      <c r="I524" s="80" t="s">
        <v>457</v>
      </c>
      <c r="J524" s="80"/>
      <c r="K524" s="80"/>
      <c r="L524" s="80"/>
      <c r="M524" s="80"/>
      <c r="N524" s="80"/>
      <c r="O524" s="80"/>
      <c r="P524" s="80"/>
      <c r="Q524" s="80"/>
      <c r="R524" s="80"/>
      <c r="S524" s="80"/>
      <c r="T524" s="80"/>
      <c r="U524" s="80"/>
      <c r="V524" s="80"/>
      <c r="W524" s="80"/>
      <c r="X524" s="80"/>
      <c r="Y524" s="80"/>
      <c r="Z524" s="80"/>
      <c r="AA524" s="80"/>
      <c r="AB524" s="80"/>
      <c r="AC524" s="1475">
        <v>11</v>
      </c>
      <c r="AD524" s="1435"/>
      <c r="AE524" s="1435"/>
      <c r="AF524" s="1435"/>
      <c r="AG524" s="65" t="s">
        <v>438</v>
      </c>
      <c r="AH524" s="1240">
        <v>2019</v>
      </c>
      <c r="AI524" s="1240"/>
      <c r="AJ524" s="1240"/>
      <c r="AK524" s="124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7"/>
      <c r="C525" s="1498"/>
      <c r="D525" s="1498"/>
      <c r="E525" s="1498"/>
      <c r="F525" s="1498"/>
      <c r="G525" s="1498"/>
      <c r="H525" s="1499"/>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75" t="s">
        <v>642</v>
      </c>
      <c r="AD525" s="1435"/>
      <c r="AE525" s="1435"/>
      <c r="AF525" s="1435"/>
      <c r="AG525" s="75" t="s">
        <v>438</v>
      </c>
      <c r="AH525" s="1240"/>
      <c r="AI525" s="1240"/>
      <c r="AJ525" s="1240"/>
      <c r="AK525" s="124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7"/>
      <c r="C526" s="1498"/>
      <c r="D526" s="1498"/>
      <c r="E526" s="1498"/>
      <c r="F526" s="1498"/>
      <c r="G526" s="1498"/>
      <c r="H526" s="1499"/>
      <c r="I526" s="25" t="s">
        <v>456</v>
      </c>
      <c r="J526" s="25"/>
      <c r="K526" s="25"/>
      <c r="L526" s="25"/>
      <c r="M526" s="25"/>
      <c r="N526" s="25"/>
      <c r="O526" s="25"/>
      <c r="P526" s="25"/>
      <c r="Q526" s="25"/>
      <c r="R526" s="25"/>
      <c r="S526" s="25"/>
      <c r="T526" s="25"/>
      <c r="U526" s="25"/>
      <c r="V526" s="25"/>
      <c r="W526" s="25"/>
      <c r="X526" s="25"/>
      <c r="Y526" s="25"/>
      <c r="AC526" s="1475" t="s">
        <v>642</v>
      </c>
      <c r="AD526" s="1435"/>
      <c r="AE526" s="1435"/>
      <c r="AF526" s="1435"/>
      <c r="AG526" s="65" t="s">
        <v>438</v>
      </c>
      <c r="AH526" s="1240"/>
      <c r="AI526" s="1240"/>
      <c r="AJ526" s="1240"/>
      <c r="AK526" s="124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7"/>
      <c r="C527" s="1498"/>
      <c r="D527" s="1498"/>
      <c r="E527" s="1498"/>
      <c r="F527" s="1498"/>
      <c r="G527" s="1498"/>
      <c r="H527" s="1499"/>
      <c r="I527" s="80" t="s">
        <v>457</v>
      </c>
      <c r="J527" s="80"/>
      <c r="K527" s="80"/>
      <c r="L527" s="80"/>
      <c r="M527" s="80"/>
      <c r="N527" s="80"/>
      <c r="O527" s="80"/>
      <c r="P527" s="80"/>
      <c r="Q527" s="80"/>
      <c r="R527" s="80"/>
      <c r="S527" s="80"/>
      <c r="T527" s="80"/>
      <c r="U527" s="80"/>
      <c r="V527" s="80"/>
      <c r="W527" s="80"/>
      <c r="X527" s="80"/>
      <c r="Y527" s="80"/>
      <c r="Z527" s="80"/>
      <c r="AA527" s="80"/>
      <c r="AB527" s="80"/>
      <c r="AC527" s="1475" t="s">
        <v>642</v>
      </c>
      <c r="AD527" s="1435"/>
      <c r="AE527" s="1435"/>
      <c r="AF527" s="1435"/>
      <c r="AG527" s="75" t="s">
        <v>438</v>
      </c>
      <c r="AH527" s="1240"/>
      <c r="AI527" s="1240"/>
      <c r="AJ527" s="1240"/>
      <c r="AK527" s="124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7"/>
      <c r="C528" s="1498"/>
      <c r="D528" s="1498"/>
      <c r="E528" s="1498"/>
      <c r="F528" s="1498"/>
      <c r="G528" s="1498"/>
      <c r="H528" s="1499"/>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75" t="s">
        <v>642</v>
      </c>
      <c r="AD528" s="1435"/>
      <c r="AE528" s="1435"/>
      <c r="AF528" s="1435"/>
      <c r="AG528" s="65" t="s">
        <v>438</v>
      </c>
      <c r="AH528" s="1240"/>
      <c r="AI528" s="1240"/>
      <c r="AJ528" s="1240"/>
      <c r="AK528" s="124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7"/>
      <c r="C529" s="1498"/>
      <c r="D529" s="1498"/>
      <c r="E529" s="1498"/>
      <c r="F529" s="1498"/>
      <c r="G529" s="1498"/>
      <c r="H529" s="1499"/>
      <c r="I529" s="25" t="s">
        <v>456</v>
      </c>
      <c r="J529" s="25"/>
      <c r="K529" s="25"/>
      <c r="L529" s="25"/>
      <c r="M529" s="25"/>
      <c r="N529" s="25"/>
      <c r="O529" s="25"/>
      <c r="P529" s="25"/>
      <c r="Q529" s="25"/>
      <c r="R529" s="25"/>
      <c r="S529" s="25"/>
      <c r="T529" s="25"/>
      <c r="U529" s="25"/>
      <c r="V529" s="25"/>
      <c r="W529" s="25"/>
      <c r="X529" s="25"/>
      <c r="Y529" s="25"/>
      <c r="AC529" s="1475" t="s">
        <v>642</v>
      </c>
      <c r="AD529" s="1435"/>
      <c r="AE529" s="1435"/>
      <c r="AF529" s="1435"/>
      <c r="AG529" s="75" t="s">
        <v>438</v>
      </c>
      <c r="AH529" s="1240"/>
      <c r="AI529" s="1240"/>
      <c r="AJ529" s="1240"/>
      <c r="AK529" s="124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7"/>
      <c r="C530" s="1498"/>
      <c r="D530" s="1498"/>
      <c r="E530" s="1498"/>
      <c r="F530" s="1498"/>
      <c r="G530" s="1498"/>
      <c r="H530" s="1499"/>
      <c r="I530" s="80" t="s">
        <v>457</v>
      </c>
      <c r="J530" s="80"/>
      <c r="K530" s="80"/>
      <c r="L530" s="80"/>
      <c r="M530" s="80"/>
      <c r="N530" s="80"/>
      <c r="O530" s="80"/>
      <c r="P530" s="80"/>
      <c r="Q530" s="80"/>
      <c r="R530" s="80"/>
      <c r="S530" s="80"/>
      <c r="T530" s="80"/>
      <c r="U530" s="80"/>
      <c r="V530" s="80"/>
      <c r="W530" s="80"/>
      <c r="X530" s="80"/>
      <c r="Y530" s="80"/>
      <c r="Z530" s="80"/>
      <c r="AA530" s="80"/>
      <c r="AB530" s="80"/>
      <c r="AC530" s="1475" t="s">
        <v>642</v>
      </c>
      <c r="AD530" s="1435"/>
      <c r="AE530" s="1435"/>
      <c r="AF530" s="1435"/>
      <c r="AG530" s="65" t="s">
        <v>438</v>
      </c>
      <c r="AH530" s="1240"/>
      <c r="AI530" s="1240"/>
      <c r="AJ530" s="1240"/>
      <c r="AK530" s="124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7"/>
      <c r="C531" s="1498"/>
      <c r="D531" s="1498"/>
      <c r="E531" s="1498"/>
      <c r="F531" s="1498"/>
      <c r="G531" s="1498"/>
      <c r="H531" s="1499"/>
      <c r="I531" s="72" t="s">
        <v>611</v>
      </c>
      <c r="J531" s="72"/>
      <c r="K531" s="72"/>
      <c r="L531" s="72"/>
      <c r="M531" s="72"/>
      <c r="N531" s="72"/>
      <c r="O531" s="72"/>
      <c r="P531" s="72"/>
      <c r="Q531" s="72"/>
      <c r="R531" s="72"/>
      <c r="S531" s="72"/>
      <c r="T531" s="72"/>
      <c r="U531" s="72"/>
      <c r="V531" s="72"/>
      <c r="W531" s="72"/>
      <c r="X531" s="25"/>
      <c r="Y531" s="25"/>
      <c r="AC531" s="1475">
        <v>6</v>
      </c>
      <c r="AD531" s="1435"/>
      <c r="AE531" s="1435"/>
      <c r="AF531" s="1435"/>
      <c r="AG531" s="65" t="s">
        <v>438</v>
      </c>
      <c r="AH531" s="1240">
        <v>2020</v>
      </c>
      <c r="AI531" s="1240"/>
      <c r="AJ531" s="1240"/>
      <c r="AK531" s="124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7"/>
      <c r="C532" s="1498"/>
      <c r="D532" s="1498"/>
      <c r="E532" s="1498"/>
      <c r="F532" s="1498"/>
      <c r="G532" s="1498"/>
      <c r="H532" s="1499"/>
      <c r="I532" s="25" t="s">
        <v>612</v>
      </c>
      <c r="J532" s="25"/>
      <c r="K532" s="25"/>
      <c r="L532" s="25"/>
      <c r="M532" s="25"/>
      <c r="N532" s="25"/>
      <c r="O532" s="25"/>
      <c r="P532" s="25"/>
      <c r="Q532" s="25"/>
      <c r="R532" s="25"/>
      <c r="S532" s="25"/>
      <c r="T532" s="25"/>
      <c r="U532" s="25"/>
      <c r="V532" s="25"/>
      <c r="W532" s="25"/>
      <c r="X532" s="25"/>
      <c r="Y532" s="25"/>
      <c r="AC532" s="1475">
        <v>6</v>
      </c>
      <c r="AD532" s="1435"/>
      <c r="AE532" s="1435"/>
      <c r="AF532" s="1435"/>
      <c r="AG532" s="75" t="s">
        <v>438</v>
      </c>
      <c r="AH532" s="1240">
        <v>2020</v>
      </c>
      <c r="AI532" s="1240"/>
      <c r="AJ532" s="1240"/>
      <c r="AK532" s="124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7"/>
      <c r="C533" s="1498"/>
      <c r="D533" s="1498"/>
      <c r="E533" s="1498"/>
      <c r="F533" s="1498"/>
      <c r="G533" s="1498"/>
      <c r="H533" s="1499"/>
      <c r="I533" s="25" t="s">
        <v>613</v>
      </c>
      <c r="J533" s="25"/>
      <c r="K533" s="25"/>
      <c r="L533" s="25"/>
      <c r="M533" s="25"/>
      <c r="N533" s="25"/>
      <c r="O533" s="25"/>
      <c r="P533" s="25"/>
      <c r="Q533" s="25"/>
      <c r="R533" s="25"/>
      <c r="S533" s="25"/>
      <c r="T533" s="25"/>
      <c r="U533" s="25"/>
      <c r="V533" s="25"/>
      <c r="W533" s="25"/>
      <c r="X533" s="25"/>
      <c r="Y533" s="25"/>
      <c r="AC533" s="1475">
        <v>12</v>
      </c>
      <c r="AD533" s="1435"/>
      <c r="AE533" s="1435"/>
      <c r="AF533" s="1435"/>
      <c r="AG533" s="65" t="s">
        <v>438</v>
      </c>
      <c r="AH533" s="1240">
        <v>2021</v>
      </c>
      <c r="AI533" s="1240"/>
      <c r="AJ533" s="1240"/>
      <c r="AK533" s="124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7"/>
      <c r="C534" s="1498"/>
      <c r="D534" s="1498"/>
      <c r="E534" s="1498"/>
      <c r="F534" s="1498"/>
      <c r="G534" s="1498"/>
      <c r="H534" s="1499"/>
      <c r="I534" s="25" t="s">
        <v>614</v>
      </c>
      <c r="J534" s="25"/>
      <c r="K534" s="25"/>
      <c r="L534" s="25"/>
      <c r="M534" s="25"/>
      <c r="N534" s="25"/>
      <c r="O534" s="25"/>
      <c r="P534" s="25"/>
      <c r="Q534" s="25"/>
      <c r="R534" s="25"/>
      <c r="S534" s="25"/>
      <c r="T534" s="25"/>
      <c r="U534" s="25"/>
      <c r="V534" s="25"/>
      <c r="W534" s="25"/>
      <c r="X534" s="25"/>
      <c r="Y534" s="25"/>
      <c r="AC534" s="1475">
        <v>12</v>
      </c>
      <c r="AD534" s="1435"/>
      <c r="AE534" s="1435"/>
      <c r="AF534" s="1435"/>
      <c r="AG534" s="65" t="s">
        <v>438</v>
      </c>
      <c r="AH534" s="1240">
        <v>2021</v>
      </c>
      <c r="AI534" s="1240"/>
      <c r="AJ534" s="1240"/>
      <c r="AK534" s="124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0"/>
      <c r="C535" s="1501"/>
      <c r="D535" s="1501"/>
      <c r="E535" s="1501"/>
      <c r="F535" s="1501"/>
      <c r="G535" s="1501"/>
      <c r="H535" s="1502"/>
      <c r="I535" s="80" t="s">
        <v>496</v>
      </c>
      <c r="J535" s="80"/>
      <c r="K535" s="80"/>
      <c r="L535" s="80"/>
      <c r="M535" s="80"/>
      <c r="N535" s="80"/>
      <c r="O535" s="80"/>
      <c r="P535" s="80"/>
      <c r="Q535" s="80"/>
      <c r="R535" s="80"/>
      <c r="S535" s="80"/>
      <c r="T535" s="80"/>
      <c r="U535" s="80"/>
      <c r="V535" s="80"/>
      <c r="W535" s="80"/>
      <c r="X535" s="80"/>
      <c r="Y535" s="80"/>
      <c r="Z535" s="80"/>
      <c r="AA535" s="80"/>
      <c r="AB535" s="80"/>
      <c r="AC535" s="1475">
        <v>6</v>
      </c>
      <c r="AD535" s="1435"/>
      <c r="AE535" s="1435"/>
      <c r="AF535" s="1435"/>
      <c r="AG535" s="65" t="s">
        <v>438</v>
      </c>
      <c r="AH535" s="1240">
        <v>2022</v>
      </c>
      <c r="AI535" s="1240"/>
      <c r="AJ535" s="1240"/>
      <c r="AK535" s="124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590</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6" t="s">
        <v>498</v>
      </c>
      <c r="C544" s="1477"/>
      <c r="D544" s="1477"/>
      <c r="E544" s="1477"/>
      <c r="F544" s="1477"/>
      <c r="G544" s="1477"/>
      <c r="H544" s="1477"/>
      <c r="I544" s="1477"/>
      <c r="J544" s="1477"/>
      <c r="K544" s="1477"/>
      <c r="L544" s="1477"/>
      <c r="M544" s="1477"/>
      <c r="N544" s="1477"/>
      <c r="O544" s="1478"/>
      <c r="P544" s="1476" t="s">
        <v>346</v>
      </c>
      <c r="Q544" s="1477"/>
      <c r="R544" s="1477"/>
      <c r="S544" s="1477"/>
      <c r="T544" s="1478"/>
      <c r="U544" s="1476" t="s">
        <v>499</v>
      </c>
      <c r="V544" s="1477"/>
      <c r="W544" s="1477"/>
      <c r="X544" s="1477"/>
      <c r="Y544" s="1478"/>
      <c r="Z544" s="1531" t="s">
        <v>1424</v>
      </c>
      <c r="AA544" s="1532"/>
      <c r="AB544" s="1532"/>
      <c r="AC544" s="1532"/>
      <c r="AD544" s="1533"/>
      <c r="AE544" s="1476" t="s">
        <v>500</v>
      </c>
      <c r="AF544" s="1477"/>
      <c r="AG544" s="1477"/>
      <c r="AH544" s="1477"/>
      <c r="AI544" s="1477"/>
      <c r="AJ544" s="1477"/>
      <c r="AK544" s="147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42" t="s">
        <v>1796</v>
      </c>
      <c r="D545" s="1242"/>
      <c r="E545" s="1242"/>
      <c r="F545" s="1242"/>
      <c r="G545" s="1242"/>
      <c r="H545" s="1242"/>
      <c r="I545" s="1242"/>
      <c r="J545" s="1242"/>
      <c r="K545" s="1242"/>
      <c r="L545" s="1242"/>
      <c r="M545" s="1242"/>
      <c r="N545" s="1242"/>
      <c r="O545" s="1444"/>
      <c r="P545" s="1239">
        <v>24</v>
      </c>
      <c r="Q545" s="1240"/>
      <c r="R545" s="1240"/>
      <c r="S545" s="1240"/>
      <c r="T545" s="1241"/>
      <c r="U545" s="1445">
        <v>4.4999999999999998E-2</v>
      </c>
      <c r="V545" s="1446"/>
      <c r="W545" s="1446"/>
      <c r="X545" s="1446"/>
      <c r="Y545" s="1447"/>
      <c r="Z545" s="1137" t="s">
        <v>1679</v>
      </c>
      <c r="AA545" s="1137"/>
      <c r="AB545" s="1137"/>
      <c r="AC545" s="1137"/>
      <c r="AD545" s="1138"/>
      <c r="AE545" s="1147">
        <v>24999999.726080004</v>
      </c>
      <c r="AF545" s="1148"/>
      <c r="AG545" s="1148"/>
      <c r="AH545" s="1148"/>
      <c r="AI545" s="1148"/>
      <c r="AJ545" s="1148"/>
      <c r="AK545" s="114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42" t="s">
        <v>1797</v>
      </c>
      <c r="D546" s="1242"/>
      <c r="E546" s="1242"/>
      <c r="F546" s="1242"/>
      <c r="G546" s="1242"/>
      <c r="H546" s="1242"/>
      <c r="I546" s="1242"/>
      <c r="J546" s="1242"/>
      <c r="K546" s="1242"/>
      <c r="L546" s="1242"/>
      <c r="M546" s="1242"/>
      <c r="N546" s="1242"/>
      <c r="O546" s="1444"/>
      <c r="P546" s="1239">
        <f>+P545</f>
        <v>24</v>
      </c>
      <c r="Q546" s="1240"/>
      <c r="R546" s="1240"/>
      <c r="S546" s="1240"/>
      <c r="T546" s="1241"/>
      <c r="U546" s="1445">
        <f>+U545</f>
        <v>4.4999999999999998E-2</v>
      </c>
      <c r="V546" s="1446"/>
      <c r="W546" s="1446"/>
      <c r="X546" s="1446"/>
      <c r="Y546" s="1447"/>
      <c r="Z546" s="1137" t="s">
        <v>1679</v>
      </c>
      <c r="AA546" s="1137"/>
      <c r="AB546" s="1137"/>
      <c r="AC546" s="1137"/>
      <c r="AD546" s="1138"/>
      <c r="AE546" s="1147">
        <v>2610000</v>
      </c>
      <c r="AF546" s="1148"/>
      <c r="AG546" s="1148"/>
      <c r="AH546" s="1148"/>
      <c r="AI546" s="1148"/>
      <c r="AJ546" s="1148"/>
      <c r="AK546" s="114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42" t="s">
        <v>1780</v>
      </c>
      <c r="D547" s="1242"/>
      <c r="E547" s="1242"/>
      <c r="F547" s="1242"/>
      <c r="G547" s="1242"/>
      <c r="H547" s="1242"/>
      <c r="I547" s="1242"/>
      <c r="J547" s="1242"/>
      <c r="K547" s="1242"/>
      <c r="L547" s="1242"/>
      <c r="M547" s="1242"/>
      <c r="N547" s="1242"/>
      <c r="O547" s="1444"/>
      <c r="P547" s="1239"/>
      <c r="Q547" s="1240"/>
      <c r="R547" s="1240"/>
      <c r="S547" s="1240"/>
      <c r="T547" s="1241"/>
      <c r="U547" s="1445"/>
      <c r="V547" s="1446"/>
      <c r="W547" s="1446"/>
      <c r="X547" s="1446"/>
      <c r="Y547" s="1447"/>
      <c r="Z547" s="1136" t="s">
        <v>1680</v>
      </c>
      <c r="AA547" s="1137"/>
      <c r="AB547" s="1137"/>
      <c r="AC547" s="1137"/>
      <c r="AD547" s="1138"/>
      <c r="AE547" s="1147">
        <v>2707053.3157496098</v>
      </c>
      <c r="AF547" s="1148"/>
      <c r="AG547" s="1148"/>
      <c r="AH547" s="1148"/>
      <c r="AI547" s="1148"/>
      <c r="AJ547" s="1148"/>
      <c r="AK547" s="114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7" t="s">
        <v>1676</v>
      </c>
      <c r="D548" s="957"/>
      <c r="E548" s="957"/>
      <c r="F548" s="957"/>
      <c r="G548" s="957"/>
      <c r="H548" s="957"/>
      <c r="I548" s="957"/>
      <c r="J548" s="957"/>
      <c r="K548" s="957"/>
      <c r="L548" s="957"/>
      <c r="M548" s="957"/>
      <c r="N548" s="957"/>
      <c r="O548" s="958"/>
      <c r="P548" s="1239">
        <v>660</v>
      </c>
      <c r="Q548" s="1240"/>
      <c r="R548" s="1240"/>
      <c r="S548" s="1240"/>
      <c r="T548" s="1241"/>
      <c r="U548" s="1445">
        <v>0.03</v>
      </c>
      <c r="V548" s="1446"/>
      <c r="W548" s="1446"/>
      <c r="X548" s="1446"/>
      <c r="Y548" s="1447"/>
      <c r="Z548" s="1136" t="s">
        <v>1680</v>
      </c>
      <c r="AA548" s="1137"/>
      <c r="AB548" s="1137"/>
      <c r="AC548" s="1137"/>
      <c r="AD548" s="1138"/>
      <c r="AE548" s="1147">
        <v>9240000</v>
      </c>
      <c r="AF548" s="1148"/>
      <c r="AG548" s="1148"/>
      <c r="AH548" s="1148"/>
      <c r="AI548" s="1148"/>
      <c r="AJ548" s="1148"/>
      <c r="AK548" s="114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7" t="s">
        <v>1677</v>
      </c>
      <c r="D549" s="957"/>
      <c r="E549" s="957"/>
      <c r="F549" s="957"/>
      <c r="G549" s="957"/>
      <c r="H549" s="957"/>
      <c r="I549" s="957"/>
      <c r="J549" s="957"/>
      <c r="K549" s="957"/>
      <c r="L549" s="957"/>
      <c r="M549" s="957"/>
      <c r="N549" s="957"/>
      <c r="O549" s="958"/>
      <c r="P549" s="1239">
        <v>660</v>
      </c>
      <c r="Q549" s="1240"/>
      <c r="R549" s="1240"/>
      <c r="S549" s="1240"/>
      <c r="T549" s="1241"/>
      <c r="U549" s="1445">
        <v>0.03</v>
      </c>
      <c r="V549" s="1446"/>
      <c r="W549" s="1446"/>
      <c r="X549" s="1446"/>
      <c r="Y549" s="1447"/>
      <c r="Z549" s="1136" t="s">
        <v>1680</v>
      </c>
      <c r="AA549" s="1137"/>
      <c r="AB549" s="1137"/>
      <c r="AC549" s="1137"/>
      <c r="AD549" s="1138"/>
      <c r="AE549" s="1147">
        <v>1160000</v>
      </c>
      <c r="AF549" s="1148"/>
      <c r="AG549" s="1148"/>
      <c r="AH549" s="1148"/>
      <c r="AI549" s="1148"/>
      <c r="AJ549" s="1148"/>
      <c r="AK549" s="114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7" t="s">
        <v>1798</v>
      </c>
      <c r="D550" s="957"/>
      <c r="E550" s="957"/>
      <c r="F550" s="957"/>
      <c r="G550" s="957"/>
      <c r="H550" s="957"/>
      <c r="I550" s="957"/>
      <c r="J550" s="957"/>
      <c r="K550" s="957"/>
      <c r="L550" s="957"/>
      <c r="M550" s="957"/>
      <c r="N550" s="957"/>
      <c r="O550" s="958"/>
      <c r="P550" s="1239">
        <v>660</v>
      </c>
      <c r="Q550" s="1240"/>
      <c r="R550" s="1240"/>
      <c r="S550" s="1240"/>
      <c r="T550" s="1241"/>
      <c r="U550" s="1445">
        <v>0.03</v>
      </c>
      <c r="V550" s="1446"/>
      <c r="W550" s="1446"/>
      <c r="X550" s="1446"/>
      <c r="Y550" s="1447"/>
      <c r="Z550" s="1136" t="s">
        <v>1425</v>
      </c>
      <c r="AA550" s="1137"/>
      <c r="AB550" s="1137"/>
      <c r="AC550" s="1137"/>
      <c r="AD550" s="1138"/>
      <c r="AE550" s="1147">
        <v>900000</v>
      </c>
      <c r="AF550" s="1148"/>
      <c r="AG550" s="1148"/>
      <c r="AH550" s="1148"/>
      <c r="AI550" s="1148"/>
      <c r="AJ550" s="1148"/>
      <c r="AK550" s="114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957" t="s">
        <v>1678</v>
      </c>
      <c r="D551" s="957"/>
      <c r="E551" s="957"/>
      <c r="F551" s="957"/>
      <c r="G551" s="957"/>
      <c r="H551" s="957"/>
      <c r="I551" s="957"/>
      <c r="J551" s="957"/>
      <c r="K551" s="957"/>
      <c r="L551" s="957"/>
      <c r="M551" s="957"/>
      <c r="N551" s="957"/>
      <c r="O551" s="958"/>
      <c r="P551" s="1239"/>
      <c r="Q551" s="1240"/>
      <c r="R551" s="1240"/>
      <c r="S551" s="1240"/>
      <c r="T551" s="1241"/>
      <c r="U551" s="1445"/>
      <c r="V551" s="1446"/>
      <c r="W551" s="1446"/>
      <c r="X551" s="1446"/>
      <c r="Y551" s="1447"/>
      <c r="Z551" s="1136" t="s">
        <v>1425</v>
      </c>
      <c r="AA551" s="1137"/>
      <c r="AB551" s="1137"/>
      <c r="AC551" s="1137"/>
      <c r="AD551" s="1138"/>
      <c r="AE551" s="1147">
        <v>325500</v>
      </c>
      <c r="AF551" s="1148"/>
      <c r="AG551" s="1148"/>
      <c r="AH551" s="1148"/>
      <c r="AI551" s="1148"/>
      <c r="AJ551" s="1148"/>
      <c r="AK551" s="114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5"/>
      <c r="D552" s="1105"/>
      <c r="E552" s="1105"/>
      <c r="F552" s="1105"/>
      <c r="G552" s="1105"/>
      <c r="H552" s="1105"/>
      <c r="I552" s="1105"/>
      <c r="J552" s="1105"/>
      <c r="K552" s="1105"/>
      <c r="L552" s="1105"/>
      <c r="M552" s="1105"/>
      <c r="N552" s="1105"/>
      <c r="O552" s="1243"/>
      <c r="P552" s="1239"/>
      <c r="Q552" s="1240"/>
      <c r="R552" s="1240"/>
      <c r="S552" s="1240"/>
      <c r="T552" s="1241"/>
      <c r="U552" s="1445"/>
      <c r="V552" s="1446"/>
      <c r="W552" s="1446"/>
      <c r="X552" s="1446"/>
      <c r="Y552" s="1447"/>
      <c r="Z552" s="1137" t="s">
        <v>1425</v>
      </c>
      <c r="AA552" s="1137"/>
      <c r="AB552" s="1137"/>
      <c r="AC552" s="1137"/>
      <c r="AD552" s="1138"/>
      <c r="AE552" s="1147"/>
      <c r="AF552" s="1148"/>
      <c r="AG552" s="1148"/>
      <c r="AH552" s="1148"/>
      <c r="AI552" s="1148"/>
      <c r="AJ552" s="1148"/>
      <c r="AK552" s="114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43"/>
      <c r="P553" s="1239"/>
      <c r="Q553" s="1240"/>
      <c r="R553" s="1240"/>
      <c r="S553" s="1240"/>
      <c r="T553" s="1241"/>
      <c r="U553" s="1445"/>
      <c r="V553" s="1446"/>
      <c r="W553" s="1446"/>
      <c r="X553" s="1446"/>
      <c r="Y553" s="1447"/>
      <c r="Z553" s="1137" t="s">
        <v>1425</v>
      </c>
      <c r="AA553" s="1137"/>
      <c r="AB553" s="1137"/>
      <c r="AC553" s="1137"/>
      <c r="AD553" s="1138"/>
      <c r="AE553" s="1147"/>
      <c r="AF553" s="1148"/>
      <c r="AG553" s="1148"/>
      <c r="AH553" s="1148"/>
      <c r="AI553" s="1148"/>
      <c r="AJ553" s="1148"/>
      <c r="AK553" s="114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43"/>
      <c r="P554" s="1239"/>
      <c r="Q554" s="1240"/>
      <c r="R554" s="1240"/>
      <c r="S554" s="1240"/>
      <c r="T554" s="1241"/>
      <c r="U554" s="1445"/>
      <c r="V554" s="1446"/>
      <c r="W554" s="1446"/>
      <c r="X554" s="1446"/>
      <c r="Y554" s="1447"/>
      <c r="Z554" s="1137" t="s">
        <v>1425</v>
      </c>
      <c r="AA554" s="1137"/>
      <c r="AB554" s="1137"/>
      <c r="AC554" s="1137"/>
      <c r="AD554" s="1138"/>
      <c r="AE554" s="1147"/>
      <c r="AF554" s="1148"/>
      <c r="AG554" s="1148"/>
      <c r="AH554" s="1148"/>
      <c r="AI554" s="1148"/>
      <c r="AJ554" s="1148"/>
      <c r="AK554" s="114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43"/>
      <c r="P555" s="1239"/>
      <c r="Q555" s="1240"/>
      <c r="R555" s="1240"/>
      <c r="S555" s="1240"/>
      <c r="T555" s="1241"/>
      <c r="U555" s="1445"/>
      <c r="V555" s="1446"/>
      <c r="W555" s="1446"/>
      <c r="X555" s="1446"/>
      <c r="Y555" s="1447"/>
      <c r="Z555" s="1137" t="s">
        <v>1425</v>
      </c>
      <c r="AA555" s="1137"/>
      <c r="AB555" s="1137"/>
      <c r="AC555" s="1137"/>
      <c r="AD555" s="1138"/>
      <c r="AE555" s="1147"/>
      <c r="AF555" s="1148"/>
      <c r="AG555" s="1148"/>
      <c r="AH555" s="1148"/>
      <c r="AI555" s="1148"/>
      <c r="AJ555" s="1148"/>
      <c r="AK555" s="114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43"/>
      <c r="P556" s="1239"/>
      <c r="Q556" s="1240"/>
      <c r="R556" s="1240"/>
      <c r="S556" s="1240"/>
      <c r="T556" s="1241"/>
      <c r="U556" s="1445"/>
      <c r="V556" s="1446"/>
      <c r="W556" s="1446"/>
      <c r="X556" s="1446"/>
      <c r="Y556" s="1447"/>
      <c r="Z556" s="1137" t="s">
        <v>1425</v>
      </c>
      <c r="AA556" s="1137"/>
      <c r="AB556" s="1137"/>
      <c r="AC556" s="1137"/>
      <c r="AD556" s="1138"/>
      <c r="AE556" s="1147"/>
      <c r="AF556" s="1148"/>
      <c r="AG556" s="1148"/>
      <c r="AH556" s="1148"/>
      <c r="AI556" s="1148"/>
      <c r="AJ556" s="1148"/>
      <c r="AK556" s="114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1" t="s">
        <v>134</v>
      </c>
      <c r="C557" s="1182"/>
      <c r="D557" s="1182"/>
      <c r="E557" s="1182"/>
      <c r="F557" s="1182"/>
      <c r="G557" s="1182"/>
      <c r="H557" s="1182"/>
      <c r="I557" s="1182"/>
      <c r="J557" s="1182"/>
      <c r="K557" s="1182"/>
      <c r="L557" s="1182"/>
      <c r="M557" s="1182"/>
      <c r="N557" s="1182"/>
      <c r="O557" s="1182"/>
      <c r="P557" s="1182"/>
      <c r="Q557" s="1182"/>
      <c r="R557" s="1182"/>
      <c r="S557" s="1182"/>
      <c r="T557" s="1182"/>
      <c r="U557" s="1182"/>
      <c r="V557" s="1182"/>
      <c r="W557" s="1182"/>
      <c r="X557" s="1182"/>
      <c r="Y557" s="1182"/>
      <c r="Z557" s="1182"/>
      <c r="AA557" s="1182"/>
      <c r="AB557" s="1182"/>
      <c r="AC557" s="1182"/>
      <c r="AD557" s="1183"/>
      <c r="AE557" s="1227">
        <f>SUM(AE545:AK556)</f>
        <v>41942553.041829616</v>
      </c>
      <c r="AF557" s="1228"/>
      <c r="AG557" s="1228"/>
      <c r="AH557" s="1228"/>
      <c r="AI557" s="1228"/>
      <c r="AJ557" s="1228"/>
      <c r="AK557" s="122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2" t="str">
        <f>C545</f>
        <v>Banner Bank - Tax Exempt</v>
      </c>
      <c r="H559" s="1102"/>
      <c r="I559" s="1102"/>
      <c r="J559" s="1102"/>
      <c r="K559" s="1102"/>
      <c r="L559" s="1102"/>
      <c r="M559" s="1102"/>
      <c r="N559" s="1102"/>
      <c r="O559" s="1102"/>
      <c r="P559" s="1102"/>
      <c r="Q559" s="1102"/>
      <c r="R559" s="1102"/>
      <c r="S559" s="14"/>
      <c r="T559" s="87" t="s">
        <v>120</v>
      </c>
      <c r="U559" s="12" t="s">
        <v>510</v>
      </c>
      <c r="Z559" s="1102" t="str">
        <f>C546</f>
        <v>Banner Bank - Taxable</v>
      </c>
      <c r="AA559" s="1102"/>
      <c r="AB559" s="1102"/>
      <c r="AC559" s="1102"/>
      <c r="AD559" s="1102"/>
      <c r="AE559" s="1102"/>
      <c r="AF559" s="1102"/>
      <c r="AG559" s="1102"/>
      <c r="AH559" s="1102"/>
      <c r="AI559" s="1102"/>
      <c r="AJ559" s="1102"/>
      <c r="AK559" s="1102"/>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1789</v>
      </c>
      <c r="H560" s="1100"/>
      <c r="I560" s="1100"/>
      <c r="J560" s="1100"/>
      <c r="K560" s="1100"/>
      <c r="L560" s="1100"/>
      <c r="M560" s="1100"/>
      <c r="N560" s="1100"/>
      <c r="O560" s="1100"/>
      <c r="P560" s="1100"/>
      <c r="Q560" s="1100"/>
      <c r="R560" s="1100"/>
      <c r="S560" s="14"/>
      <c r="T560" s="35"/>
      <c r="U560" s="12" t="s">
        <v>92</v>
      </c>
      <c r="Z560" s="1100" t="str">
        <f>+G560</f>
        <v>701 B Street, Ste 100</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0" t="s">
        <v>1716</v>
      </c>
      <c r="H561" s="1100"/>
      <c r="I561" s="1100"/>
      <c r="J561" s="1100"/>
      <c r="K561" s="1100"/>
      <c r="L561" s="1100"/>
      <c r="M561" s="1100"/>
      <c r="N561" s="1100"/>
      <c r="O561" s="1100"/>
      <c r="P561" s="1100"/>
      <c r="Q561" s="1100"/>
      <c r="R561" s="1100"/>
      <c r="S561" s="88"/>
      <c r="T561" s="35"/>
      <c r="U561" s="12" t="s">
        <v>631</v>
      </c>
      <c r="Z561" s="1122" t="str">
        <f>+G561</f>
        <v>San Diego, CA 92101</v>
      </c>
      <c r="AA561" s="1122"/>
      <c r="AB561" s="1122"/>
      <c r="AC561" s="1122"/>
      <c r="AD561" s="1122"/>
      <c r="AE561" s="1122"/>
      <c r="AF561" s="1122"/>
      <c r="AG561" s="1122"/>
      <c r="AH561" s="1122"/>
      <c r="AI561" s="1122"/>
      <c r="AJ561" s="1122"/>
      <c r="AK561" s="112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1790</v>
      </c>
      <c r="H562" s="1100"/>
      <c r="I562" s="1100"/>
      <c r="J562" s="1100"/>
      <c r="K562" s="1100"/>
      <c r="L562" s="1100"/>
      <c r="M562" s="1100"/>
      <c r="N562" s="1100"/>
      <c r="O562" s="1100"/>
      <c r="P562" s="1100"/>
      <c r="Q562" s="1100"/>
      <c r="R562" s="1100"/>
      <c r="S562" s="14"/>
      <c r="T562" s="35"/>
      <c r="U562" s="12" t="s">
        <v>19</v>
      </c>
      <c r="Z562" s="1122" t="str">
        <f>+G562</f>
        <v>Waheed Karim</v>
      </c>
      <c r="AA562" s="1122"/>
      <c r="AB562" s="1122"/>
      <c r="AC562" s="1122"/>
      <c r="AD562" s="1122"/>
      <c r="AE562" s="1122"/>
      <c r="AF562" s="1122"/>
      <c r="AG562" s="1122"/>
      <c r="AH562" s="1122"/>
      <c r="AI562" s="1122"/>
      <c r="AJ562" s="1122"/>
      <c r="AK562" s="112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3" t="s">
        <v>1791</v>
      </c>
      <c r="H563" s="1104"/>
      <c r="I563" s="1104"/>
      <c r="J563" s="1104"/>
      <c r="K563" s="1104"/>
      <c r="L563" s="1104"/>
      <c r="O563" s="140" t="s">
        <v>220</v>
      </c>
      <c r="P563" s="1105"/>
      <c r="Q563" s="1105"/>
      <c r="R563" s="1105"/>
      <c r="S563" s="16"/>
      <c r="T563" s="35"/>
      <c r="U563" s="12" t="s">
        <v>338</v>
      </c>
      <c r="Z563" s="1103" t="str">
        <f>+G563</f>
        <v>(619) 518-2610</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1806</v>
      </c>
      <c r="I564" s="1100"/>
      <c r="J564" s="1100"/>
      <c r="K564" s="1100"/>
      <c r="L564" s="1100"/>
      <c r="M564" s="1100"/>
      <c r="N564" s="1100"/>
      <c r="O564" s="1100"/>
      <c r="P564" s="1100"/>
      <c r="Q564" s="1100"/>
      <c r="R564" s="1100"/>
      <c r="S564" s="14"/>
      <c r="T564" s="35"/>
      <c r="U564" s="12" t="s">
        <v>20</v>
      </c>
      <c r="AA564" s="1098" t="s">
        <v>1806</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6" t="s">
        <v>1807</v>
      </c>
      <c r="N565" s="1536"/>
      <c r="O565" s="1536"/>
      <c r="P565" s="1536"/>
      <c r="Q565" s="1536"/>
      <c r="R565" s="1536"/>
      <c r="S565" s="14"/>
      <c r="T565" s="35"/>
      <c r="U565" s="530" t="s">
        <v>1426</v>
      </c>
      <c r="V565" s="743"/>
      <c r="W565" s="743"/>
      <c r="X565" s="743"/>
      <c r="Y565" s="743"/>
      <c r="Z565" s="743"/>
      <c r="AA565" s="14"/>
      <c r="AB565" s="14"/>
      <c r="AC565" s="14"/>
      <c r="AD565" s="14"/>
      <c r="AE565" s="14"/>
      <c r="AF565" s="1536" t="s">
        <v>1808</v>
      </c>
      <c r="AG565" s="1536"/>
      <c r="AH565" s="1536"/>
      <c r="AI565" s="1536"/>
      <c r="AJ565" s="1536"/>
      <c r="AK565" s="153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592</v>
      </c>
      <c r="O566" s="1101"/>
      <c r="T566" s="35"/>
      <c r="U566" s="12" t="s">
        <v>22</v>
      </c>
      <c r="AG566" s="1101" t="s">
        <v>592</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2" t="str">
        <f>C547</f>
        <v>The Richman Group Tax Credit Equity</v>
      </c>
      <c r="H568" s="1102"/>
      <c r="I568" s="1102"/>
      <c r="J568" s="1102"/>
      <c r="K568" s="1102"/>
      <c r="L568" s="1102"/>
      <c r="M568" s="1102"/>
      <c r="N568" s="1102"/>
      <c r="O568" s="1102"/>
      <c r="P568" s="1102"/>
      <c r="Q568" s="1102"/>
      <c r="R568" s="1102"/>
      <c r="T568" s="87" t="s">
        <v>632</v>
      </c>
      <c r="U568" s="12" t="s">
        <v>510</v>
      </c>
      <c r="Z568" s="1102" t="str">
        <f>C548</f>
        <v>City of Coachella</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1783</v>
      </c>
      <c r="H569" s="1100"/>
      <c r="I569" s="1100"/>
      <c r="J569" s="1100"/>
      <c r="K569" s="1100"/>
      <c r="L569" s="1100"/>
      <c r="M569" s="1100"/>
      <c r="N569" s="1100"/>
      <c r="O569" s="1100"/>
      <c r="P569" s="1100"/>
      <c r="Q569" s="1100"/>
      <c r="R569" s="1100"/>
      <c r="T569" s="35"/>
      <c r="U569" s="12" t="s">
        <v>92</v>
      </c>
      <c r="Z569" s="1098" t="s">
        <v>1763</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2" t="s">
        <v>1788</v>
      </c>
      <c r="H570" s="1122"/>
      <c r="I570" s="1122"/>
      <c r="J570" s="1122"/>
      <c r="K570" s="1122"/>
      <c r="L570" s="1122"/>
      <c r="M570" s="1122"/>
      <c r="N570" s="1122"/>
      <c r="O570" s="1122"/>
      <c r="P570" s="1122"/>
      <c r="Q570" s="1122"/>
      <c r="R570" s="1122"/>
      <c r="T570" s="35"/>
      <c r="U570" s="12" t="s">
        <v>631</v>
      </c>
      <c r="Z570" s="1242" t="s">
        <v>1792</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1785</v>
      </c>
      <c r="H571" s="1122"/>
      <c r="I571" s="1122"/>
      <c r="J571" s="1122"/>
      <c r="K571" s="1122"/>
      <c r="L571" s="1122"/>
      <c r="M571" s="1122"/>
      <c r="N571" s="1122"/>
      <c r="O571" s="1122"/>
      <c r="P571" s="1122"/>
      <c r="Q571" s="1122"/>
      <c r="R571" s="1122"/>
      <c r="T571" s="35"/>
      <c r="U571" s="12" t="s">
        <v>19</v>
      </c>
      <c r="Z571" s="1242" t="s">
        <v>1764</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3" t="s">
        <v>1786</v>
      </c>
      <c r="H572" s="1104"/>
      <c r="I572" s="1104"/>
      <c r="J572" s="1104"/>
      <c r="K572" s="1104"/>
      <c r="L572" s="1104"/>
      <c r="O572" s="140" t="s">
        <v>220</v>
      </c>
      <c r="P572" s="1105"/>
      <c r="Q572" s="1105"/>
      <c r="R572" s="1105"/>
      <c r="T572" s="35"/>
      <c r="U572" s="12" t="s">
        <v>338</v>
      </c>
      <c r="Z572" s="1103" t="s">
        <v>1765</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1809</v>
      </c>
      <c r="I573" s="1100"/>
      <c r="J573" s="1100"/>
      <c r="K573" s="1100"/>
      <c r="L573" s="1100"/>
      <c r="M573" s="1100"/>
      <c r="N573" s="1100"/>
      <c r="O573" s="1100"/>
      <c r="P573" s="1100"/>
      <c r="Q573" s="1100"/>
      <c r="R573" s="1100"/>
      <c r="T573" s="35"/>
      <c r="U573" s="12" t="s">
        <v>20</v>
      </c>
      <c r="AA573" s="1100" t="s">
        <v>1815</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592</v>
      </c>
      <c r="O574" s="1101"/>
      <c r="T574" s="35"/>
      <c r="U574" s="12" t="s">
        <v>22</v>
      </c>
      <c r="AG574" s="1101" t="s">
        <v>592</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2" t="str">
        <f>C549</f>
        <v>California Department of Development Services</v>
      </c>
      <c r="H576" s="1102"/>
      <c r="I576" s="1102"/>
      <c r="J576" s="1102"/>
      <c r="K576" s="1102"/>
      <c r="L576" s="1102"/>
      <c r="M576" s="1102"/>
      <c r="N576" s="1102"/>
      <c r="O576" s="1102"/>
      <c r="P576" s="1102"/>
      <c r="Q576" s="1102"/>
      <c r="R576" s="1102"/>
      <c r="T576" s="87" t="s">
        <v>635</v>
      </c>
      <c r="U576" s="12" t="s">
        <v>510</v>
      </c>
      <c r="Z576" s="1102" t="str">
        <f>C550</f>
        <v>HOME Loan - County of Riverside</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tr">
        <f>+G659</f>
        <v>1600 9th Street</v>
      </c>
      <c r="H577" s="1100"/>
      <c r="I577" s="1100"/>
      <c r="J577" s="1100"/>
      <c r="K577" s="1100"/>
      <c r="L577" s="1100"/>
      <c r="M577" s="1100"/>
      <c r="N577" s="1100"/>
      <c r="O577" s="1100"/>
      <c r="P577" s="1100"/>
      <c r="Q577" s="1100"/>
      <c r="R577" s="1100"/>
      <c r="T577" s="35"/>
      <c r="U577" s="12" t="s">
        <v>92</v>
      </c>
      <c r="Z577" s="1100" t="s">
        <v>1769</v>
      </c>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0" t="str">
        <f>+G660</f>
        <v>Sacramento, CA 95814</v>
      </c>
      <c r="H578" s="1100"/>
      <c r="I578" s="1100"/>
      <c r="J578" s="1100"/>
      <c r="K578" s="1100"/>
      <c r="L578" s="1100"/>
      <c r="M578" s="1100"/>
      <c r="N578" s="1100"/>
      <c r="O578" s="1100"/>
      <c r="P578" s="1100"/>
      <c r="Q578" s="1100"/>
      <c r="R578" s="1100"/>
      <c r="T578" s="35"/>
      <c r="U578" s="12" t="s">
        <v>631</v>
      </c>
      <c r="Z578" s="1100" t="s">
        <v>1793</v>
      </c>
      <c r="AA578" s="1100"/>
      <c r="AB578" s="1100"/>
      <c r="AC578" s="1100"/>
      <c r="AD578" s="1100"/>
      <c r="AE578" s="1100"/>
      <c r="AF578" s="1100"/>
      <c r="AG578" s="1100"/>
      <c r="AH578" s="1100"/>
      <c r="AI578" s="1100"/>
      <c r="AJ578" s="1100"/>
      <c r="AK578" s="110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tr">
        <f>+G661</f>
        <v>Nancy Bargmann</v>
      </c>
      <c r="H579" s="1100"/>
      <c r="I579" s="1100"/>
      <c r="J579" s="1100"/>
      <c r="K579" s="1100"/>
      <c r="L579" s="1100"/>
      <c r="M579" s="1100"/>
      <c r="N579" s="1100"/>
      <c r="O579" s="1100"/>
      <c r="P579" s="1100"/>
      <c r="Q579" s="1100"/>
      <c r="R579" s="1100"/>
      <c r="T579" s="35"/>
      <c r="U579" s="12" t="s">
        <v>19</v>
      </c>
      <c r="Z579" s="1100" t="s">
        <v>1770</v>
      </c>
      <c r="AA579" s="1100"/>
      <c r="AB579" s="1100"/>
      <c r="AC579" s="1100"/>
      <c r="AD579" s="1100"/>
      <c r="AE579" s="1100"/>
      <c r="AF579" s="1100"/>
      <c r="AG579" s="1100"/>
      <c r="AH579" s="1100"/>
      <c r="AI579" s="1100"/>
      <c r="AJ579" s="1100"/>
      <c r="AK579" s="110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3" t="str">
        <f>+G662</f>
        <v>(916) 654-1690</v>
      </c>
      <c r="H580" s="1104"/>
      <c r="I580" s="1104"/>
      <c r="J580" s="1104"/>
      <c r="K580" s="1104"/>
      <c r="L580" s="1104"/>
      <c r="O580" s="140" t="s">
        <v>220</v>
      </c>
      <c r="P580" s="1105"/>
      <c r="Q580" s="1105"/>
      <c r="R580" s="1105"/>
      <c r="T580" s="35"/>
      <c r="U580" s="12" t="s">
        <v>338</v>
      </c>
      <c r="Z580" s="1103" t="s">
        <v>1771</v>
      </c>
      <c r="AA580" s="1104"/>
      <c r="AB580" s="1104"/>
      <c r="AC580" s="1104"/>
      <c r="AD580" s="1104"/>
      <c r="AE580" s="1104"/>
      <c r="AH580" s="140" t="s">
        <v>220</v>
      </c>
      <c r="AI580" s="1105"/>
      <c r="AJ580" s="1105"/>
      <c r="AK580" s="1105"/>
    </row>
    <row r="581" spans="1:112" ht="12.75">
      <c r="A581" s="35"/>
      <c r="B581" s="12" t="s">
        <v>20</v>
      </c>
      <c r="H581" s="1100" t="s">
        <v>1815</v>
      </c>
      <c r="I581" s="1100"/>
      <c r="J581" s="1100"/>
      <c r="K581" s="1100"/>
      <c r="L581" s="1100"/>
      <c r="M581" s="1100"/>
      <c r="N581" s="1100"/>
      <c r="O581" s="1100"/>
      <c r="P581" s="1100"/>
      <c r="Q581" s="1100"/>
      <c r="R581" s="1100"/>
      <c r="T581" s="35"/>
      <c r="U581" s="12" t="s">
        <v>20</v>
      </c>
      <c r="AA581" s="1100" t="s">
        <v>1815</v>
      </c>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592</v>
      </c>
      <c r="O582" s="1101"/>
      <c r="T582" s="35"/>
      <c r="U582" s="12" t="s">
        <v>22</v>
      </c>
      <c r="AG582" s="1101" t="s">
        <v>592</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2" t="str">
        <f>C551</f>
        <v>Deferred Costs &amp; Fees</v>
      </c>
      <c r="H584" s="1102"/>
      <c r="I584" s="1102"/>
      <c r="J584" s="1102"/>
      <c r="K584" s="1102"/>
      <c r="L584" s="1102"/>
      <c r="M584" s="1102"/>
      <c r="N584" s="1102"/>
      <c r="O584" s="1102"/>
      <c r="P584" s="1102"/>
      <c r="Q584" s="1102"/>
      <c r="R584" s="1102"/>
      <c r="T584" s="87" t="s">
        <v>502</v>
      </c>
      <c r="U584" s="12" t="s">
        <v>510</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t="s">
        <v>1656</v>
      </c>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t="s">
        <v>1709</v>
      </c>
      <c r="H586" s="1100"/>
      <c r="I586" s="1100"/>
      <c r="J586" s="1100"/>
      <c r="K586" s="1100"/>
      <c r="L586" s="1100"/>
      <c r="M586" s="1100"/>
      <c r="N586" s="1100"/>
      <c r="O586" s="1100"/>
      <c r="P586" s="1100"/>
      <c r="Q586" s="1100"/>
      <c r="R586" s="1100"/>
      <c r="S586" s="12"/>
      <c r="T586" s="35"/>
      <c r="U586" s="12" t="s">
        <v>631</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t="s">
        <v>1805</v>
      </c>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t="s">
        <v>1711</v>
      </c>
      <c r="H588" s="1104"/>
      <c r="I588" s="1104"/>
      <c r="J588" s="1104"/>
      <c r="K588" s="1104"/>
      <c r="L588" s="1104"/>
      <c r="M588" s="12"/>
      <c r="N588" s="12"/>
      <c r="O588" s="140" t="s">
        <v>220</v>
      </c>
      <c r="P588" s="1105"/>
      <c r="Q588" s="1105"/>
      <c r="R588" s="1105"/>
      <c r="S588" s="12"/>
      <c r="T588" s="35"/>
      <c r="U588" s="12" t="s">
        <v>338</v>
      </c>
      <c r="V588" s="12"/>
      <c r="W588" s="12"/>
      <c r="X588" s="12"/>
      <c r="Y588" s="12"/>
      <c r="Z588" s="1104"/>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39"/>
      <c r="AU588" s="1141"/>
      <c r="AV588" s="193" t="s">
        <v>522</v>
      </c>
      <c r="AW588" s="194"/>
      <c r="AX588" s="1139"/>
      <c r="AY588" s="1141"/>
      <c r="AZ588" s="58"/>
      <c r="BA588" s="1235" t="s">
        <v>684</v>
      </c>
      <c r="BB588" s="1236"/>
      <c r="BC588" s="1236"/>
      <c r="BD588" s="1236"/>
      <c r="BE588" s="1237"/>
      <c r="BF588" s="1221" t="s">
        <v>348</v>
      </c>
      <c r="BG588" s="1221"/>
      <c r="BH588" s="1221"/>
      <c r="BI588" s="1221"/>
      <c r="BJ588" s="1221"/>
      <c r="BK588" s="1221" t="s">
        <v>170</v>
      </c>
      <c r="BL588" s="1221"/>
      <c r="BM588" s="1221"/>
      <c r="BN588" s="1221"/>
      <c r="BO588" s="1221"/>
      <c r="BP588" s="1221" t="s">
        <v>171</v>
      </c>
      <c r="BQ588" s="1221"/>
      <c r="BR588" s="1221"/>
      <c r="BS588" s="1221"/>
      <c r="BT588" s="1221"/>
      <c r="BU588" s="1221" t="s">
        <v>507</v>
      </c>
      <c r="BV588" s="1221"/>
      <c r="BW588" s="1221"/>
      <c r="BX588" s="1221"/>
      <c r="BY588" s="1221"/>
      <c r="BZ588" s="1221" t="s">
        <v>33</v>
      </c>
      <c r="CA588" s="1221"/>
      <c r="CB588" s="1221"/>
      <c r="CC588" s="1221"/>
      <c r="CD588" s="1221"/>
      <c r="CE588" s="1221" t="s">
        <v>684</v>
      </c>
      <c r="CF588" s="1221"/>
      <c r="CG588" s="1221"/>
      <c r="CH588" s="1221"/>
      <c r="CI588" s="1221"/>
      <c r="CJ588" s="1221" t="s">
        <v>348</v>
      </c>
      <c r="CK588" s="1221"/>
      <c r="CL588" s="1221"/>
      <c r="CM588" s="1221"/>
      <c r="CN588" s="1221"/>
      <c r="CO588" s="1221" t="s">
        <v>170</v>
      </c>
      <c r="CP588" s="1221"/>
      <c r="CQ588" s="1221"/>
      <c r="CR588" s="1221"/>
      <c r="CS588" s="1221"/>
      <c r="CT588" s="1221" t="s">
        <v>171</v>
      </c>
      <c r="CU588" s="1221"/>
      <c r="CV588" s="1221"/>
      <c r="CW588" s="1221"/>
      <c r="CX588" s="1221"/>
      <c r="CY588" s="1221" t="s">
        <v>507</v>
      </c>
      <c r="CZ588" s="1221"/>
      <c r="DA588" s="1221"/>
      <c r="DB588" s="1221"/>
      <c r="DC588" s="1221"/>
      <c r="DD588" s="1221" t="s">
        <v>33</v>
      </c>
      <c r="DE588" s="1221"/>
      <c r="DF588" s="1221"/>
      <c r="DG588" s="1221"/>
      <c r="DH588" s="1221"/>
    </row>
    <row r="589" spans="1:112" s="7" customFormat="1" ht="12.75">
      <c r="A589" s="35"/>
      <c r="B589" s="12" t="s">
        <v>20</v>
      </c>
      <c r="C589" s="12"/>
      <c r="D589" s="12"/>
      <c r="E589" s="12"/>
      <c r="F589" s="12"/>
      <c r="G589" s="12"/>
      <c r="H589" s="1100" t="s">
        <v>1810</v>
      </c>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348</v>
      </c>
      <c r="AN589" s="58"/>
      <c r="AO589" s="58"/>
      <c r="AP589" s="58"/>
      <c r="AQ589" s="58"/>
      <c r="AR589" s="1534">
        <f t="shared" ref="AR589:AR613" si="0">IF(AND(AD709&lt;=0.5,AD709&gt;=0.36),1,0)</f>
        <v>1</v>
      </c>
      <c r="AS589" s="1535"/>
      <c r="AT589" s="1139">
        <f t="shared" ref="AT589:AT613" si="1">IF(AR589=1,G709,0)</f>
        <v>40</v>
      </c>
      <c r="AU589" s="1141"/>
      <c r="AV589" s="1534">
        <f t="shared" ref="AV589:AV613" si="2">IF(AND(AD709&lt;=0.35,AD709&gt;0),1,0)</f>
        <v>0</v>
      </c>
      <c r="AW589" s="1535"/>
      <c r="AX589" s="1139">
        <f t="shared" ref="AX589:AX613" si="3">IF(AV589=1,G709,0)</f>
        <v>0</v>
      </c>
      <c r="AY589" s="1141"/>
      <c r="AZ589" s="58"/>
      <c r="BA589" s="1139">
        <f t="shared" ref="BA589:BA613" si="4">IF(B709="SRO/Studio",G709,0)</f>
        <v>0</v>
      </c>
      <c r="BB589" s="1140"/>
      <c r="BC589" s="1140"/>
      <c r="BD589" s="1140"/>
      <c r="BE589" s="1141"/>
      <c r="BF589" s="1212">
        <f t="shared" ref="BF589:BF613" si="5">IF(B709="1 Bedroom",G709,0)</f>
        <v>40</v>
      </c>
      <c r="BG589" s="1212"/>
      <c r="BH589" s="1212"/>
      <c r="BI589" s="1212"/>
      <c r="BJ589" s="1212"/>
      <c r="BK589" s="1212">
        <f t="shared" ref="BK589:BK613" si="6">IF(B709="2 Bedrooms",G709,0)</f>
        <v>0</v>
      </c>
      <c r="BL589" s="1212"/>
      <c r="BM589" s="1212"/>
      <c r="BN589" s="1212"/>
      <c r="BO589" s="1212"/>
      <c r="BP589" s="1212">
        <f t="shared" ref="BP589:BP613" si="7">IF(B709="3 Bedrooms",G709,0)</f>
        <v>0</v>
      </c>
      <c r="BQ589" s="1212"/>
      <c r="BR589" s="1212"/>
      <c r="BS589" s="1212"/>
      <c r="BT589" s="1212"/>
      <c r="BU589" s="1212">
        <f t="shared" ref="BU589:BU613" si="8">IF(B709="4 Bedrooms",G709,0)</f>
        <v>0</v>
      </c>
      <c r="BV589" s="1212"/>
      <c r="BW589" s="1212"/>
      <c r="BX589" s="1212"/>
      <c r="BY589" s="1212"/>
      <c r="BZ589" s="1212">
        <f t="shared" ref="BZ589:BZ613" si="9">IF(B709="5 Bedrooms",G709,0)</f>
        <v>0</v>
      </c>
      <c r="CA589" s="1212"/>
      <c r="CB589" s="1212"/>
      <c r="CC589" s="1212"/>
      <c r="CD589" s="1212"/>
      <c r="CE589" s="1226">
        <f t="shared" ref="CE589:CE613" si="10">IF(AND(B709="SRO/Studio",AD709&lt;=0.3),G709,0)</f>
        <v>0</v>
      </c>
      <c r="CF589" s="1226"/>
      <c r="CG589" s="1226"/>
      <c r="CH589" s="1226"/>
      <c r="CI589" s="1226"/>
      <c r="CJ589" s="1226">
        <f t="shared" ref="CJ589:CJ613" si="11">IF(AND(B709="1 Bedroom",AD709&lt;=0.3),G709,0)</f>
        <v>0</v>
      </c>
      <c r="CK589" s="1226"/>
      <c r="CL589" s="1226"/>
      <c r="CM589" s="1226"/>
      <c r="CN589" s="1226"/>
      <c r="CO589" s="1226">
        <f t="shared" ref="CO589:CO613" si="12">IF(AND(B709="2 Bedrooms",AD709&lt;=0.3),G709,0)</f>
        <v>0</v>
      </c>
      <c r="CP589" s="1226"/>
      <c r="CQ589" s="1226"/>
      <c r="CR589" s="1226"/>
      <c r="CS589" s="1226"/>
      <c r="CT589" s="1226">
        <f t="shared" ref="CT589:CT613" si="13">IF(AND(B709="3 Bedrooms",AD709&lt;=0.3),G709,0)</f>
        <v>0</v>
      </c>
      <c r="CU589" s="1226"/>
      <c r="CV589" s="1226"/>
      <c r="CW589" s="1226"/>
      <c r="CX589" s="1226"/>
      <c r="CY589" s="1226">
        <f t="shared" ref="CY589:CY613" si="14">IF(AND(B709="4 Bedrooms",AD709&lt;=0.3),G709,0)</f>
        <v>0</v>
      </c>
      <c r="CZ589" s="1226"/>
      <c r="DA589" s="1226"/>
      <c r="DB589" s="1226"/>
      <c r="DC589" s="1226"/>
      <c r="DD589" s="1226">
        <f t="shared" ref="DD589:DD613" si="15">IF(AND(B709="5 Bedrooms",AD709&lt;=0.3),G709,0)</f>
        <v>0</v>
      </c>
      <c r="DE589" s="1226"/>
      <c r="DF589" s="1226"/>
      <c r="DG589" s="1226"/>
      <c r="DH589" s="1226"/>
    </row>
    <row r="590" spans="1:112" s="7" customFormat="1" ht="12.75">
      <c r="A590" s="35"/>
      <c r="B590" s="12" t="s">
        <v>22</v>
      </c>
      <c r="C590" s="12"/>
      <c r="D590" s="12"/>
      <c r="E590" s="12"/>
      <c r="F590" s="12"/>
      <c r="G590" s="12"/>
      <c r="H590" s="12"/>
      <c r="I590" s="12"/>
      <c r="J590" s="12"/>
      <c r="K590" s="12"/>
      <c r="L590" s="12"/>
      <c r="M590" s="12"/>
      <c r="N590" s="1101" t="s">
        <v>592</v>
      </c>
      <c r="O590" s="1101"/>
      <c r="P590" s="12"/>
      <c r="Q590" s="12"/>
      <c r="R590" s="12"/>
      <c r="S590" s="12"/>
      <c r="T590" s="35"/>
      <c r="U590" s="12" t="s">
        <v>22</v>
      </c>
      <c r="V590" s="12"/>
      <c r="W590" s="12"/>
      <c r="X590" s="12"/>
      <c r="Y590" s="12"/>
      <c r="Z590" s="12"/>
      <c r="AA590" s="12"/>
      <c r="AB590" s="12"/>
      <c r="AC590" s="12"/>
      <c r="AD590" s="12"/>
      <c r="AE590" s="12"/>
      <c r="AF590" s="12"/>
      <c r="AG590" s="1101" t="s">
        <v>723</v>
      </c>
      <c r="AH590" s="1101"/>
      <c r="AI590" s="12"/>
      <c r="AJ590" s="12"/>
      <c r="AK590" s="12"/>
      <c r="AL590" s="12"/>
      <c r="AM590" s="7" t="s">
        <v>170</v>
      </c>
      <c r="AN590" s="58"/>
      <c r="AO590" s="58"/>
      <c r="AP590" s="58"/>
      <c r="AQ590" s="58"/>
      <c r="AR590" s="1534">
        <f t="shared" si="0"/>
        <v>0</v>
      </c>
      <c r="AS590" s="1535"/>
      <c r="AT590" s="1139">
        <f t="shared" si="1"/>
        <v>0</v>
      </c>
      <c r="AU590" s="1141"/>
      <c r="AV590" s="1534">
        <f t="shared" si="2"/>
        <v>1</v>
      </c>
      <c r="AW590" s="1535"/>
      <c r="AX590" s="1139">
        <f t="shared" si="3"/>
        <v>10</v>
      </c>
      <c r="AY590" s="1141"/>
      <c r="AZ590" s="58"/>
      <c r="BA590" s="1139">
        <f t="shared" si="4"/>
        <v>0</v>
      </c>
      <c r="BB590" s="1140"/>
      <c r="BC590" s="1140"/>
      <c r="BD590" s="1140"/>
      <c r="BE590" s="1141"/>
      <c r="BF590" s="1212">
        <f t="shared" si="5"/>
        <v>10</v>
      </c>
      <c r="BG590" s="1212"/>
      <c r="BH590" s="1212"/>
      <c r="BI590" s="1212"/>
      <c r="BJ590" s="1212"/>
      <c r="BK590" s="1212">
        <f t="shared" si="6"/>
        <v>0</v>
      </c>
      <c r="BL590" s="1212"/>
      <c r="BM590" s="1212"/>
      <c r="BN590" s="1212"/>
      <c r="BO590" s="1212"/>
      <c r="BP590" s="1212">
        <f t="shared" si="7"/>
        <v>0</v>
      </c>
      <c r="BQ590" s="1212"/>
      <c r="BR590" s="1212"/>
      <c r="BS590" s="1212"/>
      <c r="BT590" s="1212"/>
      <c r="BU590" s="1212">
        <f t="shared" si="8"/>
        <v>0</v>
      </c>
      <c r="BV590" s="1212"/>
      <c r="BW590" s="1212"/>
      <c r="BX590" s="1212"/>
      <c r="BY590" s="1212"/>
      <c r="BZ590" s="1212">
        <f t="shared" si="9"/>
        <v>0</v>
      </c>
      <c r="CA590" s="1212"/>
      <c r="CB590" s="1212"/>
      <c r="CC590" s="1212"/>
      <c r="CD590" s="1212"/>
      <c r="CE590" s="1226">
        <f t="shared" si="10"/>
        <v>0</v>
      </c>
      <c r="CF590" s="1226"/>
      <c r="CG590" s="1226"/>
      <c r="CH590" s="1226"/>
      <c r="CI590" s="1226"/>
      <c r="CJ590" s="1226">
        <f t="shared" si="11"/>
        <v>10</v>
      </c>
      <c r="CK590" s="1226"/>
      <c r="CL590" s="1226"/>
      <c r="CM590" s="1226"/>
      <c r="CN590" s="1226"/>
      <c r="CO590" s="1226">
        <f t="shared" si="12"/>
        <v>0</v>
      </c>
      <c r="CP590" s="1226"/>
      <c r="CQ590" s="1226"/>
      <c r="CR590" s="1226"/>
      <c r="CS590" s="1226"/>
      <c r="CT590" s="1226">
        <f t="shared" si="13"/>
        <v>0</v>
      </c>
      <c r="CU590" s="1226"/>
      <c r="CV590" s="1226"/>
      <c r="CW590" s="1226"/>
      <c r="CX590" s="1226"/>
      <c r="CY590" s="1226">
        <f t="shared" si="14"/>
        <v>0</v>
      </c>
      <c r="CZ590" s="1226"/>
      <c r="DA590" s="1226"/>
      <c r="DB590" s="1226"/>
      <c r="DC590" s="1226"/>
      <c r="DD590" s="1226">
        <f t="shared" si="15"/>
        <v>0</v>
      </c>
      <c r="DE590" s="1226"/>
      <c r="DF590" s="1226"/>
      <c r="DG590" s="1226"/>
      <c r="DH590" s="1226"/>
    </row>
    <row r="591" spans="1:112" ht="12.75">
      <c r="A591" s="35"/>
      <c r="T591" s="35"/>
      <c r="AM591" s="7" t="s">
        <v>171</v>
      </c>
      <c r="AN591" s="58"/>
      <c r="AO591" s="58"/>
      <c r="AP591" s="58"/>
      <c r="AQ591" s="58"/>
      <c r="AR591" s="1534">
        <f t="shared" si="0"/>
        <v>1</v>
      </c>
      <c r="AS591" s="1535"/>
      <c r="AT591" s="1139">
        <f t="shared" si="1"/>
        <v>21</v>
      </c>
      <c r="AU591" s="1141"/>
      <c r="AV591" s="1534">
        <f t="shared" si="2"/>
        <v>0</v>
      </c>
      <c r="AW591" s="1535"/>
      <c r="AX591" s="1139">
        <f t="shared" si="3"/>
        <v>0</v>
      </c>
      <c r="AY591" s="1141"/>
      <c r="AZ591" s="58"/>
      <c r="BA591" s="1139">
        <f t="shared" si="4"/>
        <v>0</v>
      </c>
      <c r="BB591" s="1140"/>
      <c r="BC591" s="1140"/>
      <c r="BD591" s="1140"/>
      <c r="BE591" s="1141"/>
      <c r="BF591" s="1212">
        <f t="shared" si="5"/>
        <v>0</v>
      </c>
      <c r="BG591" s="1212"/>
      <c r="BH591" s="1212"/>
      <c r="BI591" s="1212"/>
      <c r="BJ591" s="1212"/>
      <c r="BK591" s="1212">
        <f t="shared" si="6"/>
        <v>21</v>
      </c>
      <c r="BL591" s="1212"/>
      <c r="BM591" s="1212"/>
      <c r="BN591" s="1212"/>
      <c r="BO591" s="1212"/>
      <c r="BP591" s="1212">
        <f t="shared" si="7"/>
        <v>0</v>
      </c>
      <c r="BQ591" s="1212"/>
      <c r="BR591" s="1212"/>
      <c r="BS591" s="1212"/>
      <c r="BT591" s="1212"/>
      <c r="BU591" s="1212">
        <f t="shared" si="8"/>
        <v>0</v>
      </c>
      <c r="BV591" s="1212"/>
      <c r="BW591" s="1212"/>
      <c r="BX591" s="1212"/>
      <c r="BY591" s="1212"/>
      <c r="BZ591" s="1212">
        <f t="shared" si="9"/>
        <v>0</v>
      </c>
      <c r="CA591" s="1212"/>
      <c r="CB591" s="1212"/>
      <c r="CC591" s="1212"/>
      <c r="CD591" s="1212"/>
      <c r="CE591" s="1226">
        <f t="shared" si="10"/>
        <v>0</v>
      </c>
      <c r="CF591" s="1226"/>
      <c r="CG591" s="1226"/>
      <c r="CH591" s="1226"/>
      <c r="CI591" s="1226"/>
      <c r="CJ591" s="1226">
        <f t="shared" si="11"/>
        <v>0</v>
      </c>
      <c r="CK591" s="1226"/>
      <c r="CL591" s="1226"/>
      <c r="CM591" s="1226"/>
      <c r="CN591" s="1226"/>
      <c r="CO591" s="1226">
        <f t="shared" si="12"/>
        <v>0</v>
      </c>
      <c r="CP591" s="1226"/>
      <c r="CQ591" s="1226"/>
      <c r="CR591" s="1226"/>
      <c r="CS591" s="1226"/>
      <c r="CT591" s="1226">
        <f t="shared" si="13"/>
        <v>0</v>
      </c>
      <c r="CU591" s="1226"/>
      <c r="CV591" s="1226"/>
      <c r="CW591" s="1226"/>
      <c r="CX591" s="1226"/>
      <c r="CY591" s="1226">
        <f t="shared" si="14"/>
        <v>0</v>
      </c>
      <c r="CZ591" s="1226"/>
      <c r="DA591" s="1226"/>
      <c r="DB591" s="1226"/>
      <c r="DC591" s="1226"/>
      <c r="DD591" s="1226">
        <f t="shared" si="15"/>
        <v>0</v>
      </c>
      <c r="DE591" s="1226"/>
      <c r="DF591" s="1226"/>
      <c r="DG591" s="1226"/>
      <c r="DH591" s="1226"/>
    </row>
    <row r="592" spans="1:112" ht="12.75">
      <c r="A592" s="87" t="s">
        <v>508</v>
      </c>
      <c r="B592" s="12" t="s">
        <v>510</v>
      </c>
      <c r="G592" s="1102">
        <f>C553</f>
        <v>0</v>
      </c>
      <c r="H592" s="1102"/>
      <c r="I592" s="1102"/>
      <c r="J592" s="1102"/>
      <c r="K592" s="1102"/>
      <c r="L592" s="1102"/>
      <c r="M592" s="1102"/>
      <c r="N592" s="1102"/>
      <c r="O592" s="1102"/>
      <c r="P592" s="1102"/>
      <c r="Q592" s="1102"/>
      <c r="R592" s="1102"/>
      <c r="T592" s="87" t="s">
        <v>697</v>
      </c>
      <c r="U592" s="12" t="s">
        <v>510</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34">
        <f t="shared" si="0"/>
        <v>0</v>
      </c>
      <c r="AS592" s="1535"/>
      <c r="AT592" s="1139">
        <f t="shared" si="1"/>
        <v>0</v>
      </c>
      <c r="AU592" s="1141"/>
      <c r="AV592" s="1534">
        <f t="shared" si="2"/>
        <v>1</v>
      </c>
      <c r="AW592" s="1535"/>
      <c r="AX592" s="1139">
        <f t="shared" si="3"/>
        <v>4</v>
      </c>
      <c r="AY592" s="1141"/>
      <c r="AZ592" s="58"/>
      <c r="BA592" s="1139">
        <f t="shared" si="4"/>
        <v>0</v>
      </c>
      <c r="BB592" s="1140"/>
      <c r="BC592" s="1140"/>
      <c r="BD592" s="1140"/>
      <c r="BE592" s="1141"/>
      <c r="BF592" s="1212">
        <f t="shared" si="5"/>
        <v>0</v>
      </c>
      <c r="BG592" s="1212"/>
      <c r="BH592" s="1212"/>
      <c r="BI592" s="1212"/>
      <c r="BJ592" s="1212"/>
      <c r="BK592" s="1212">
        <f t="shared" si="6"/>
        <v>4</v>
      </c>
      <c r="BL592" s="1212"/>
      <c r="BM592" s="1212"/>
      <c r="BN592" s="1212"/>
      <c r="BO592" s="1212"/>
      <c r="BP592" s="1212">
        <f t="shared" si="7"/>
        <v>0</v>
      </c>
      <c r="BQ592" s="1212"/>
      <c r="BR592" s="1212"/>
      <c r="BS592" s="1212"/>
      <c r="BT592" s="1212"/>
      <c r="BU592" s="1212">
        <f t="shared" si="8"/>
        <v>0</v>
      </c>
      <c r="BV592" s="1212"/>
      <c r="BW592" s="1212"/>
      <c r="BX592" s="1212"/>
      <c r="BY592" s="1212"/>
      <c r="BZ592" s="1212">
        <f t="shared" si="9"/>
        <v>0</v>
      </c>
      <c r="CA592" s="1212"/>
      <c r="CB592" s="1212"/>
      <c r="CC592" s="1212"/>
      <c r="CD592" s="1212"/>
      <c r="CE592" s="1226">
        <f t="shared" si="10"/>
        <v>0</v>
      </c>
      <c r="CF592" s="1226"/>
      <c r="CG592" s="1226"/>
      <c r="CH592" s="1226"/>
      <c r="CI592" s="1226"/>
      <c r="CJ592" s="1226">
        <f t="shared" si="11"/>
        <v>0</v>
      </c>
      <c r="CK592" s="1226"/>
      <c r="CL592" s="1226"/>
      <c r="CM592" s="1226"/>
      <c r="CN592" s="1226"/>
      <c r="CO592" s="1226">
        <f t="shared" si="12"/>
        <v>4</v>
      </c>
      <c r="CP592" s="1226"/>
      <c r="CQ592" s="1226"/>
      <c r="CR592" s="1226"/>
      <c r="CS592" s="1226"/>
      <c r="CT592" s="1226">
        <f t="shared" si="13"/>
        <v>0</v>
      </c>
      <c r="CU592" s="1226"/>
      <c r="CV592" s="1226"/>
      <c r="CW592" s="1226"/>
      <c r="CX592" s="1226"/>
      <c r="CY592" s="1226">
        <f t="shared" si="14"/>
        <v>0</v>
      </c>
      <c r="CZ592" s="1226"/>
      <c r="DA592" s="1226"/>
      <c r="DB592" s="1226"/>
      <c r="DC592" s="1226"/>
      <c r="DD592" s="1226">
        <f t="shared" si="15"/>
        <v>0</v>
      </c>
      <c r="DE592" s="1226"/>
      <c r="DF592" s="1226"/>
      <c r="DG592" s="1226"/>
      <c r="DH592" s="1226"/>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34">
        <f t="shared" si="0"/>
        <v>0</v>
      </c>
      <c r="AS593" s="1535"/>
      <c r="AT593" s="1139">
        <f t="shared" si="1"/>
        <v>0</v>
      </c>
      <c r="AU593" s="1141"/>
      <c r="AV593" s="1534">
        <f t="shared" si="2"/>
        <v>1</v>
      </c>
      <c r="AW593" s="1535"/>
      <c r="AX593" s="1139">
        <f t="shared" si="3"/>
        <v>2</v>
      </c>
      <c r="AY593" s="1141"/>
      <c r="AZ593" s="58"/>
      <c r="BA593" s="1139">
        <f t="shared" si="4"/>
        <v>0</v>
      </c>
      <c r="BB593" s="1140"/>
      <c r="BC593" s="1140"/>
      <c r="BD593" s="1140"/>
      <c r="BE593" s="1141"/>
      <c r="BF593" s="1212">
        <f t="shared" si="5"/>
        <v>0</v>
      </c>
      <c r="BG593" s="1212"/>
      <c r="BH593" s="1212"/>
      <c r="BI593" s="1212"/>
      <c r="BJ593" s="1212"/>
      <c r="BK593" s="1212">
        <f t="shared" si="6"/>
        <v>2</v>
      </c>
      <c r="BL593" s="1212"/>
      <c r="BM593" s="1212"/>
      <c r="BN593" s="1212"/>
      <c r="BO593" s="1212"/>
      <c r="BP593" s="1212">
        <f t="shared" si="7"/>
        <v>0</v>
      </c>
      <c r="BQ593" s="1212"/>
      <c r="BR593" s="1212"/>
      <c r="BS593" s="1212"/>
      <c r="BT593" s="1212"/>
      <c r="BU593" s="1212">
        <f t="shared" si="8"/>
        <v>0</v>
      </c>
      <c r="BV593" s="1212"/>
      <c r="BW593" s="1212"/>
      <c r="BX593" s="1212"/>
      <c r="BY593" s="1212"/>
      <c r="BZ593" s="1212">
        <f t="shared" si="9"/>
        <v>0</v>
      </c>
      <c r="CA593" s="1212"/>
      <c r="CB593" s="1212"/>
      <c r="CC593" s="1212"/>
      <c r="CD593" s="1212"/>
      <c r="CE593" s="1226">
        <f t="shared" si="10"/>
        <v>0</v>
      </c>
      <c r="CF593" s="1226"/>
      <c r="CG593" s="1226"/>
      <c r="CH593" s="1226"/>
      <c r="CI593" s="1226"/>
      <c r="CJ593" s="1226">
        <f t="shared" si="11"/>
        <v>0</v>
      </c>
      <c r="CK593" s="1226"/>
      <c r="CL593" s="1226"/>
      <c r="CM593" s="1226"/>
      <c r="CN593" s="1226"/>
      <c r="CO593" s="1226">
        <f t="shared" si="12"/>
        <v>2</v>
      </c>
      <c r="CP593" s="1226"/>
      <c r="CQ593" s="1226"/>
      <c r="CR593" s="1226"/>
      <c r="CS593" s="1226"/>
      <c r="CT593" s="1226">
        <f t="shared" si="13"/>
        <v>0</v>
      </c>
      <c r="CU593" s="1226"/>
      <c r="CV593" s="1226"/>
      <c r="CW593" s="1226"/>
      <c r="CX593" s="1226"/>
      <c r="CY593" s="1226">
        <f t="shared" si="14"/>
        <v>0</v>
      </c>
      <c r="CZ593" s="1226"/>
      <c r="DA593" s="1226"/>
      <c r="DB593" s="1226"/>
      <c r="DC593" s="1226"/>
      <c r="DD593" s="1226">
        <f t="shared" si="15"/>
        <v>0</v>
      </c>
      <c r="DE593" s="1226"/>
      <c r="DF593" s="1226"/>
      <c r="DG593" s="1226"/>
      <c r="DH593" s="1226"/>
    </row>
    <row r="594" spans="1:112" ht="12.75">
      <c r="A594" s="35"/>
      <c r="B594" s="12" t="s">
        <v>631</v>
      </c>
      <c r="G594" s="1100"/>
      <c r="H594" s="1100"/>
      <c r="I594" s="1100"/>
      <c r="J594" s="1100"/>
      <c r="K594" s="1100"/>
      <c r="L594" s="1100"/>
      <c r="M594" s="1100"/>
      <c r="N594" s="1100"/>
      <c r="O594" s="1100"/>
      <c r="P594" s="1100"/>
      <c r="Q594" s="1100"/>
      <c r="R594" s="1100"/>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34">
        <f t="shared" si="0"/>
        <v>1</v>
      </c>
      <c r="AS594" s="1535"/>
      <c r="AT594" s="1139">
        <f t="shared" si="1"/>
        <v>21</v>
      </c>
      <c r="AU594" s="1141"/>
      <c r="AV594" s="1534">
        <f t="shared" si="2"/>
        <v>0</v>
      </c>
      <c r="AW594" s="1535"/>
      <c r="AX594" s="1139">
        <f t="shared" si="3"/>
        <v>0</v>
      </c>
      <c r="AY594" s="1141"/>
      <c r="AZ594" s="58"/>
      <c r="BA594" s="1139">
        <f t="shared" si="4"/>
        <v>0</v>
      </c>
      <c r="BB594" s="1140"/>
      <c r="BC594" s="1140"/>
      <c r="BD594" s="1140"/>
      <c r="BE594" s="1141"/>
      <c r="BF594" s="1212">
        <f t="shared" si="5"/>
        <v>0</v>
      </c>
      <c r="BG594" s="1212"/>
      <c r="BH594" s="1212"/>
      <c r="BI594" s="1212"/>
      <c r="BJ594" s="1212"/>
      <c r="BK594" s="1212">
        <f t="shared" si="6"/>
        <v>0</v>
      </c>
      <c r="BL594" s="1212"/>
      <c r="BM594" s="1212"/>
      <c r="BN594" s="1212"/>
      <c r="BO594" s="1212"/>
      <c r="BP594" s="1212">
        <f t="shared" si="7"/>
        <v>21</v>
      </c>
      <c r="BQ594" s="1212"/>
      <c r="BR594" s="1212"/>
      <c r="BS594" s="1212"/>
      <c r="BT594" s="1212"/>
      <c r="BU594" s="1212">
        <f t="shared" si="8"/>
        <v>0</v>
      </c>
      <c r="BV594" s="1212"/>
      <c r="BW594" s="1212"/>
      <c r="BX594" s="1212"/>
      <c r="BY594" s="1212"/>
      <c r="BZ594" s="1212">
        <f t="shared" si="9"/>
        <v>0</v>
      </c>
      <c r="CA594" s="1212"/>
      <c r="CB594" s="1212"/>
      <c r="CC594" s="1212"/>
      <c r="CD594" s="1212"/>
      <c r="CE594" s="1226">
        <f t="shared" si="10"/>
        <v>0</v>
      </c>
      <c r="CF594" s="1226"/>
      <c r="CG594" s="1226"/>
      <c r="CH594" s="1226"/>
      <c r="CI594" s="1226"/>
      <c r="CJ594" s="1226">
        <f t="shared" si="11"/>
        <v>0</v>
      </c>
      <c r="CK594" s="1226"/>
      <c r="CL594" s="1226"/>
      <c r="CM594" s="1226"/>
      <c r="CN594" s="1226"/>
      <c r="CO594" s="1226">
        <f t="shared" si="12"/>
        <v>0</v>
      </c>
      <c r="CP594" s="1226"/>
      <c r="CQ594" s="1226"/>
      <c r="CR594" s="1226"/>
      <c r="CS594" s="1226"/>
      <c r="CT594" s="1226">
        <f t="shared" si="13"/>
        <v>0</v>
      </c>
      <c r="CU594" s="1226"/>
      <c r="CV594" s="1226"/>
      <c r="CW594" s="1226"/>
      <c r="CX594" s="1226"/>
      <c r="CY594" s="1226">
        <f t="shared" si="14"/>
        <v>0</v>
      </c>
      <c r="CZ594" s="1226"/>
      <c r="DA594" s="1226"/>
      <c r="DB594" s="1226"/>
      <c r="DC594" s="1226"/>
      <c r="DD594" s="1226">
        <f t="shared" si="15"/>
        <v>0</v>
      </c>
      <c r="DE594" s="1226"/>
      <c r="DF594" s="1226"/>
      <c r="DG594" s="1226"/>
      <c r="DH594" s="1226"/>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34">
        <f t="shared" si="0"/>
        <v>0</v>
      </c>
      <c r="AS595" s="1535"/>
      <c r="AT595" s="1139">
        <f t="shared" si="1"/>
        <v>0</v>
      </c>
      <c r="AU595" s="1141"/>
      <c r="AV595" s="1534">
        <f t="shared" si="2"/>
        <v>1</v>
      </c>
      <c r="AW595" s="1535"/>
      <c r="AX595" s="1139">
        <f t="shared" si="3"/>
        <v>6</v>
      </c>
      <c r="AY595" s="1141"/>
      <c r="AZ595" s="58"/>
      <c r="BA595" s="1139">
        <f t="shared" si="4"/>
        <v>0</v>
      </c>
      <c r="BB595" s="1140"/>
      <c r="BC595" s="1140"/>
      <c r="BD595" s="1140"/>
      <c r="BE595" s="1141"/>
      <c r="BF595" s="1212">
        <f t="shared" si="5"/>
        <v>0</v>
      </c>
      <c r="BG595" s="1212"/>
      <c r="BH595" s="1212"/>
      <c r="BI595" s="1212"/>
      <c r="BJ595" s="1212"/>
      <c r="BK595" s="1212">
        <f t="shared" si="6"/>
        <v>0</v>
      </c>
      <c r="BL595" s="1212"/>
      <c r="BM595" s="1212"/>
      <c r="BN595" s="1212"/>
      <c r="BO595" s="1212"/>
      <c r="BP595" s="1212">
        <f t="shared" si="7"/>
        <v>6</v>
      </c>
      <c r="BQ595" s="1212"/>
      <c r="BR595" s="1212"/>
      <c r="BS595" s="1212"/>
      <c r="BT595" s="1212"/>
      <c r="BU595" s="1212">
        <f t="shared" si="8"/>
        <v>0</v>
      </c>
      <c r="BV595" s="1212"/>
      <c r="BW595" s="1212"/>
      <c r="BX595" s="1212"/>
      <c r="BY595" s="1212"/>
      <c r="BZ595" s="1212">
        <f t="shared" si="9"/>
        <v>0</v>
      </c>
      <c r="CA595" s="1212"/>
      <c r="CB595" s="1212"/>
      <c r="CC595" s="1212"/>
      <c r="CD595" s="1212"/>
      <c r="CE595" s="1226">
        <f t="shared" si="10"/>
        <v>0</v>
      </c>
      <c r="CF595" s="1226"/>
      <c r="CG595" s="1226"/>
      <c r="CH595" s="1226"/>
      <c r="CI595" s="1226"/>
      <c r="CJ595" s="1226">
        <f t="shared" si="11"/>
        <v>0</v>
      </c>
      <c r="CK595" s="1226"/>
      <c r="CL595" s="1226"/>
      <c r="CM595" s="1226"/>
      <c r="CN595" s="1226"/>
      <c r="CO595" s="1226">
        <f t="shared" si="12"/>
        <v>0</v>
      </c>
      <c r="CP595" s="1226"/>
      <c r="CQ595" s="1226"/>
      <c r="CR595" s="1226"/>
      <c r="CS595" s="1226"/>
      <c r="CT595" s="1226">
        <f t="shared" si="13"/>
        <v>6</v>
      </c>
      <c r="CU595" s="1226"/>
      <c r="CV595" s="1226"/>
      <c r="CW595" s="1226"/>
      <c r="CX595" s="1226"/>
      <c r="CY595" s="1226">
        <f t="shared" si="14"/>
        <v>0</v>
      </c>
      <c r="CZ595" s="1226"/>
      <c r="DA595" s="1226"/>
      <c r="DB595" s="1226"/>
      <c r="DC595" s="1226"/>
      <c r="DD595" s="1226">
        <f t="shared" si="15"/>
        <v>0</v>
      </c>
      <c r="DE595" s="1226"/>
      <c r="DF595" s="1226"/>
      <c r="DG595" s="1226"/>
      <c r="DH595" s="1226"/>
    </row>
    <row r="596" spans="1:112" ht="12.75">
      <c r="A596" s="35"/>
      <c r="B596" s="12" t="s">
        <v>338</v>
      </c>
      <c r="G596" s="1104"/>
      <c r="H596" s="1104"/>
      <c r="I596" s="1104"/>
      <c r="J596" s="1104"/>
      <c r="K596" s="1104"/>
      <c r="L596" s="1104"/>
      <c r="O596" s="140" t="s">
        <v>220</v>
      </c>
      <c r="P596" s="1105"/>
      <c r="Q596" s="1105"/>
      <c r="R596" s="1105"/>
      <c r="T596" s="35"/>
      <c r="U596" s="12" t="s">
        <v>338</v>
      </c>
      <c r="Z596" s="1104"/>
      <c r="AA596" s="1104"/>
      <c r="AB596" s="1104"/>
      <c r="AC596" s="1104"/>
      <c r="AD596" s="1104"/>
      <c r="AE596" s="1104"/>
      <c r="AH596" s="140" t="s">
        <v>220</v>
      </c>
      <c r="AI596" s="1105"/>
      <c r="AJ596" s="1105"/>
      <c r="AK596" s="1105"/>
      <c r="AM596" s="58"/>
      <c r="AN596" s="58"/>
      <c r="AO596" s="58"/>
      <c r="AP596" s="58"/>
      <c r="AQ596" s="58"/>
      <c r="AR596" s="1534">
        <f t="shared" si="0"/>
        <v>0</v>
      </c>
      <c r="AS596" s="1535"/>
      <c r="AT596" s="1139">
        <f t="shared" si="1"/>
        <v>0</v>
      </c>
      <c r="AU596" s="1141"/>
      <c r="AV596" s="1534">
        <f t="shared" si="2"/>
        <v>0</v>
      </c>
      <c r="AW596" s="1535"/>
      <c r="AX596" s="1139">
        <f t="shared" si="3"/>
        <v>0</v>
      </c>
      <c r="AY596" s="1141"/>
      <c r="AZ596" s="58"/>
      <c r="BA596" s="1139">
        <f t="shared" si="4"/>
        <v>0</v>
      </c>
      <c r="BB596" s="1140"/>
      <c r="BC596" s="1140"/>
      <c r="BD596" s="1140"/>
      <c r="BE596" s="1141"/>
      <c r="BF596" s="1212">
        <f t="shared" si="5"/>
        <v>0</v>
      </c>
      <c r="BG596" s="1212"/>
      <c r="BH596" s="1212"/>
      <c r="BI596" s="1212"/>
      <c r="BJ596" s="1212"/>
      <c r="BK596" s="1212">
        <f t="shared" si="6"/>
        <v>0</v>
      </c>
      <c r="BL596" s="1212"/>
      <c r="BM596" s="1212"/>
      <c r="BN596" s="1212"/>
      <c r="BO596" s="1212"/>
      <c r="BP596" s="1212">
        <f t="shared" si="7"/>
        <v>0</v>
      </c>
      <c r="BQ596" s="1212"/>
      <c r="BR596" s="1212"/>
      <c r="BS596" s="1212"/>
      <c r="BT596" s="1212"/>
      <c r="BU596" s="1212">
        <f t="shared" si="8"/>
        <v>0</v>
      </c>
      <c r="BV596" s="1212"/>
      <c r="BW596" s="1212"/>
      <c r="BX596" s="1212"/>
      <c r="BY596" s="1212"/>
      <c r="BZ596" s="1212">
        <f t="shared" si="9"/>
        <v>0</v>
      </c>
      <c r="CA596" s="1212"/>
      <c r="CB596" s="1212"/>
      <c r="CC596" s="1212"/>
      <c r="CD596" s="1212"/>
      <c r="CE596" s="1226">
        <f t="shared" si="10"/>
        <v>0</v>
      </c>
      <c r="CF596" s="1226"/>
      <c r="CG596" s="1226"/>
      <c r="CH596" s="1226"/>
      <c r="CI596" s="1226"/>
      <c r="CJ596" s="1226">
        <f t="shared" si="11"/>
        <v>0</v>
      </c>
      <c r="CK596" s="1226"/>
      <c r="CL596" s="1226"/>
      <c r="CM596" s="1226"/>
      <c r="CN596" s="1226"/>
      <c r="CO596" s="1226">
        <f t="shared" si="12"/>
        <v>0</v>
      </c>
      <c r="CP596" s="1226"/>
      <c r="CQ596" s="1226"/>
      <c r="CR596" s="1226"/>
      <c r="CS596" s="1226"/>
      <c r="CT596" s="1226">
        <f t="shared" si="13"/>
        <v>0</v>
      </c>
      <c r="CU596" s="1226"/>
      <c r="CV596" s="1226"/>
      <c r="CW596" s="1226"/>
      <c r="CX596" s="1226"/>
      <c r="CY596" s="1226">
        <f t="shared" si="14"/>
        <v>0</v>
      </c>
      <c r="CZ596" s="1226"/>
      <c r="DA596" s="1226"/>
      <c r="DB596" s="1226"/>
      <c r="DC596" s="1226"/>
      <c r="DD596" s="1226">
        <f t="shared" si="15"/>
        <v>0</v>
      </c>
      <c r="DE596" s="1226"/>
      <c r="DF596" s="1226"/>
      <c r="DG596" s="1226"/>
      <c r="DH596" s="1226"/>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34">
        <f t="shared" si="0"/>
        <v>0</v>
      </c>
      <c r="AS597" s="1535"/>
      <c r="AT597" s="1139">
        <f t="shared" si="1"/>
        <v>0</v>
      </c>
      <c r="AU597" s="1141"/>
      <c r="AV597" s="1534">
        <f t="shared" si="2"/>
        <v>0</v>
      </c>
      <c r="AW597" s="1535"/>
      <c r="AX597" s="1139">
        <f t="shared" si="3"/>
        <v>0</v>
      </c>
      <c r="AY597" s="1141"/>
      <c r="AZ597" s="58"/>
      <c r="BA597" s="1139">
        <f t="shared" si="4"/>
        <v>0</v>
      </c>
      <c r="BB597" s="1140"/>
      <c r="BC597" s="1140"/>
      <c r="BD597" s="1140"/>
      <c r="BE597" s="1141"/>
      <c r="BF597" s="1212">
        <f t="shared" si="5"/>
        <v>0</v>
      </c>
      <c r="BG597" s="1212"/>
      <c r="BH597" s="1212"/>
      <c r="BI597" s="1212"/>
      <c r="BJ597" s="1212"/>
      <c r="BK597" s="1212">
        <f t="shared" si="6"/>
        <v>0</v>
      </c>
      <c r="BL597" s="1212"/>
      <c r="BM597" s="1212"/>
      <c r="BN597" s="1212"/>
      <c r="BO597" s="1212"/>
      <c r="BP597" s="1212">
        <f t="shared" si="7"/>
        <v>0</v>
      </c>
      <c r="BQ597" s="1212"/>
      <c r="BR597" s="1212"/>
      <c r="BS597" s="1212"/>
      <c r="BT597" s="1212"/>
      <c r="BU597" s="1212">
        <f t="shared" si="8"/>
        <v>0</v>
      </c>
      <c r="BV597" s="1212"/>
      <c r="BW597" s="1212"/>
      <c r="BX597" s="1212"/>
      <c r="BY597" s="1212"/>
      <c r="BZ597" s="1212">
        <f t="shared" si="9"/>
        <v>0</v>
      </c>
      <c r="CA597" s="1212"/>
      <c r="CB597" s="1212"/>
      <c r="CC597" s="1212"/>
      <c r="CD597" s="1212"/>
      <c r="CE597" s="1226">
        <f t="shared" si="10"/>
        <v>0</v>
      </c>
      <c r="CF597" s="1226"/>
      <c r="CG597" s="1226"/>
      <c r="CH597" s="1226"/>
      <c r="CI597" s="1226"/>
      <c r="CJ597" s="1226">
        <f t="shared" si="11"/>
        <v>0</v>
      </c>
      <c r="CK597" s="1226"/>
      <c r="CL597" s="1226"/>
      <c r="CM597" s="1226"/>
      <c r="CN597" s="1226"/>
      <c r="CO597" s="1226">
        <f t="shared" si="12"/>
        <v>0</v>
      </c>
      <c r="CP597" s="1226"/>
      <c r="CQ597" s="1226"/>
      <c r="CR597" s="1226"/>
      <c r="CS597" s="1226"/>
      <c r="CT597" s="1226">
        <f t="shared" si="13"/>
        <v>0</v>
      </c>
      <c r="CU597" s="1226"/>
      <c r="CV597" s="1226"/>
      <c r="CW597" s="1226"/>
      <c r="CX597" s="1226"/>
      <c r="CY597" s="1226">
        <f t="shared" si="14"/>
        <v>0</v>
      </c>
      <c r="CZ597" s="1226"/>
      <c r="DA597" s="1226"/>
      <c r="DB597" s="1226"/>
      <c r="DC597" s="1226"/>
      <c r="DD597" s="1226">
        <f t="shared" si="15"/>
        <v>0</v>
      </c>
      <c r="DE597" s="1226"/>
      <c r="DF597" s="1226"/>
      <c r="DG597" s="1226"/>
      <c r="DH597" s="1226"/>
    </row>
    <row r="598" spans="1:112" s="7" customFormat="1" ht="12.75">
      <c r="A598" s="35"/>
      <c r="B598" s="12" t="s">
        <v>22</v>
      </c>
      <c r="C598" s="12"/>
      <c r="D598" s="12"/>
      <c r="E598" s="12"/>
      <c r="F598" s="12"/>
      <c r="G598" s="12"/>
      <c r="H598" s="12"/>
      <c r="I598" s="12"/>
      <c r="J598" s="12"/>
      <c r="K598" s="12"/>
      <c r="L598" s="12"/>
      <c r="M598" s="12"/>
      <c r="N598" s="1101" t="s">
        <v>723</v>
      </c>
      <c r="O598" s="1101"/>
      <c r="P598" s="12"/>
      <c r="Q598" s="12"/>
      <c r="R598" s="12"/>
      <c r="S598" s="12"/>
      <c r="T598" s="35"/>
      <c r="U598" s="12" t="s">
        <v>22</v>
      </c>
      <c r="V598" s="12"/>
      <c r="W598" s="12"/>
      <c r="X598" s="12"/>
      <c r="Y598" s="12"/>
      <c r="Z598" s="12"/>
      <c r="AA598" s="12"/>
      <c r="AB598" s="12"/>
      <c r="AC598" s="12"/>
      <c r="AD598" s="12"/>
      <c r="AE598" s="12"/>
      <c r="AF598" s="12"/>
      <c r="AG598" s="1101" t="s">
        <v>723</v>
      </c>
      <c r="AH598" s="1101"/>
      <c r="AI598" s="12"/>
      <c r="AJ598" s="12"/>
      <c r="AK598" s="12"/>
      <c r="AL598" s="12"/>
      <c r="AM598" s="58"/>
      <c r="AN598" s="58"/>
      <c r="AO598" s="58"/>
      <c r="AP598" s="58"/>
      <c r="AQ598" s="58"/>
      <c r="AR598" s="1534">
        <f t="shared" si="0"/>
        <v>0</v>
      </c>
      <c r="AS598" s="1535"/>
      <c r="AT598" s="1139">
        <f t="shared" si="1"/>
        <v>0</v>
      </c>
      <c r="AU598" s="1141"/>
      <c r="AV598" s="1534">
        <f t="shared" si="2"/>
        <v>0</v>
      </c>
      <c r="AW598" s="1535"/>
      <c r="AX598" s="1139">
        <f t="shared" si="3"/>
        <v>0</v>
      </c>
      <c r="AY598" s="1141"/>
      <c r="AZ598" s="58"/>
      <c r="BA598" s="1139">
        <f t="shared" si="4"/>
        <v>0</v>
      </c>
      <c r="BB598" s="1140"/>
      <c r="BC598" s="1140"/>
      <c r="BD598" s="1140"/>
      <c r="BE598" s="1141"/>
      <c r="BF598" s="1212">
        <f t="shared" si="5"/>
        <v>0</v>
      </c>
      <c r="BG598" s="1212"/>
      <c r="BH598" s="1212"/>
      <c r="BI598" s="1212"/>
      <c r="BJ598" s="1212"/>
      <c r="BK598" s="1212">
        <f t="shared" si="6"/>
        <v>0</v>
      </c>
      <c r="BL598" s="1212"/>
      <c r="BM598" s="1212"/>
      <c r="BN598" s="1212"/>
      <c r="BO598" s="1212"/>
      <c r="BP598" s="1212">
        <f t="shared" si="7"/>
        <v>0</v>
      </c>
      <c r="BQ598" s="1212"/>
      <c r="BR598" s="1212"/>
      <c r="BS598" s="1212"/>
      <c r="BT598" s="1212"/>
      <c r="BU598" s="1212">
        <f t="shared" si="8"/>
        <v>0</v>
      </c>
      <c r="BV598" s="1212"/>
      <c r="BW598" s="1212"/>
      <c r="BX598" s="1212"/>
      <c r="BY598" s="1212"/>
      <c r="BZ598" s="1212">
        <f t="shared" si="9"/>
        <v>0</v>
      </c>
      <c r="CA598" s="1212"/>
      <c r="CB598" s="1212"/>
      <c r="CC598" s="1212"/>
      <c r="CD598" s="1212"/>
      <c r="CE598" s="1226">
        <f t="shared" si="10"/>
        <v>0</v>
      </c>
      <c r="CF598" s="1226"/>
      <c r="CG598" s="1226"/>
      <c r="CH598" s="1226"/>
      <c r="CI598" s="1226"/>
      <c r="CJ598" s="1226">
        <f t="shared" si="11"/>
        <v>0</v>
      </c>
      <c r="CK598" s="1226"/>
      <c r="CL598" s="1226"/>
      <c r="CM598" s="1226"/>
      <c r="CN598" s="1226"/>
      <c r="CO598" s="1226">
        <f t="shared" si="12"/>
        <v>0</v>
      </c>
      <c r="CP598" s="1226"/>
      <c r="CQ598" s="1226"/>
      <c r="CR598" s="1226"/>
      <c r="CS598" s="1226"/>
      <c r="CT598" s="1226">
        <f t="shared" si="13"/>
        <v>0</v>
      </c>
      <c r="CU598" s="1226"/>
      <c r="CV598" s="1226"/>
      <c r="CW598" s="1226"/>
      <c r="CX598" s="1226"/>
      <c r="CY598" s="1226">
        <f t="shared" si="14"/>
        <v>0</v>
      </c>
      <c r="CZ598" s="1226"/>
      <c r="DA598" s="1226"/>
      <c r="DB598" s="1226"/>
      <c r="DC598" s="1226"/>
      <c r="DD598" s="1226">
        <f t="shared" si="15"/>
        <v>0</v>
      </c>
      <c r="DE598" s="1226"/>
      <c r="DF598" s="1226"/>
      <c r="DG598" s="1226"/>
      <c r="DH598" s="122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4">
        <f t="shared" si="0"/>
        <v>0</v>
      </c>
      <c r="AS599" s="1535"/>
      <c r="AT599" s="1139">
        <f t="shared" si="1"/>
        <v>0</v>
      </c>
      <c r="AU599" s="1141"/>
      <c r="AV599" s="1534">
        <f t="shared" si="2"/>
        <v>0</v>
      </c>
      <c r="AW599" s="1535"/>
      <c r="AX599" s="1139">
        <f t="shared" si="3"/>
        <v>0</v>
      </c>
      <c r="AY599" s="1141"/>
      <c r="AZ599" s="58"/>
      <c r="BA599" s="1139">
        <f t="shared" si="4"/>
        <v>0</v>
      </c>
      <c r="BB599" s="1140"/>
      <c r="BC599" s="1140"/>
      <c r="BD599" s="1140"/>
      <c r="BE599" s="1141"/>
      <c r="BF599" s="1212">
        <f t="shared" si="5"/>
        <v>0</v>
      </c>
      <c r="BG599" s="1212"/>
      <c r="BH599" s="1212"/>
      <c r="BI599" s="1212"/>
      <c r="BJ599" s="1212"/>
      <c r="BK599" s="1212">
        <f t="shared" si="6"/>
        <v>0</v>
      </c>
      <c r="BL599" s="1212"/>
      <c r="BM599" s="1212"/>
      <c r="BN599" s="1212"/>
      <c r="BO599" s="1212"/>
      <c r="BP599" s="1212">
        <f t="shared" si="7"/>
        <v>0</v>
      </c>
      <c r="BQ599" s="1212"/>
      <c r="BR599" s="1212"/>
      <c r="BS599" s="1212"/>
      <c r="BT599" s="1212"/>
      <c r="BU599" s="1212">
        <f t="shared" si="8"/>
        <v>0</v>
      </c>
      <c r="BV599" s="1212"/>
      <c r="BW599" s="1212"/>
      <c r="BX599" s="1212"/>
      <c r="BY599" s="1212"/>
      <c r="BZ599" s="1212">
        <f t="shared" si="9"/>
        <v>0</v>
      </c>
      <c r="CA599" s="1212"/>
      <c r="CB599" s="1212"/>
      <c r="CC599" s="1212"/>
      <c r="CD599" s="1212"/>
      <c r="CE599" s="1226">
        <f t="shared" si="10"/>
        <v>0</v>
      </c>
      <c r="CF599" s="1226"/>
      <c r="CG599" s="1226"/>
      <c r="CH599" s="1226"/>
      <c r="CI599" s="1226"/>
      <c r="CJ599" s="1226">
        <f t="shared" si="11"/>
        <v>0</v>
      </c>
      <c r="CK599" s="1226"/>
      <c r="CL599" s="1226"/>
      <c r="CM599" s="1226"/>
      <c r="CN599" s="1226"/>
      <c r="CO599" s="1226">
        <f t="shared" si="12"/>
        <v>0</v>
      </c>
      <c r="CP599" s="1226"/>
      <c r="CQ599" s="1226"/>
      <c r="CR599" s="1226"/>
      <c r="CS599" s="1226"/>
      <c r="CT599" s="1226">
        <f t="shared" si="13"/>
        <v>0</v>
      </c>
      <c r="CU599" s="1226"/>
      <c r="CV599" s="1226"/>
      <c r="CW599" s="1226"/>
      <c r="CX599" s="1226"/>
      <c r="CY599" s="1226">
        <f t="shared" si="14"/>
        <v>0</v>
      </c>
      <c r="CZ599" s="1226"/>
      <c r="DA599" s="1226"/>
      <c r="DB599" s="1226"/>
      <c r="DC599" s="1226"/>
      <c r="DD599" s="1226">
        <f t="shared" si="15"/>
        <v>0</v>
      </c>
      <c r="DE599" s="1226"/>
      <c r="DF599" s="1226"/>
      <c r="DG599" s="1226"/>
      <c r="DH599" s="1226"/>
    </row>
    <row r="600" spans="1:112" ht="12.75">
      <c r="A600" s="87" t="s">
        <v>386</v>
      </c>
      <c r="B600" s="12" t="s">
        <v>510</v>
      </c>
      <c r="G600" s="1102">
        <f>C555</f>
        <v>0</v>
      </c>
      <c r="H600" s="1102"/>
      <c r="I600" s="1102"/>
      <c r="J600" s="1102"/>
      <c r="K600" s="1102"/>
      <c r="L600" s="1102"/>
      <c r="M600" s="1102"/>
      <c r="N600" s="1102"/>
      <c r="O600" s="1102"/>
      <c r="P600" s="1102"/>
      <c r="Q600" s="1102"/>
      <c r="R600" s="1102"/>
      <c r="T600" s="87" t="s">
        <v>387</v>
      </c>
      <c r="U600" s="12" t="s">
        <v>510</v>
      </c>
      <c r="Z600" s="1102">
        <f>C556</f>
        <v>0</v>
      </c>
      <c r="AA600" s="1102"/>
      <c r="AB600" s="1102"/>
      <c r="AC600" s="1102"/>
      <c r="AD600" s="1102"/>
      <c r="AE600" s="1102"/>
      <c r="AF600" s="1102"/>
      <c r="AG600" s="1102"/>
      <c r="AH600" s="1102"/>
      <c r="AI600" s="1102"/>
      <c r="AJ600" s="1102"/>
      <c r="AK600" s="1102"/>
      <c r="AM600" s="58"/>
      <c r="AN600" s="58"/>
      <c r="AO600" s="58"/>
      <c r="AP600" s="58"/>
      <c r="AQ600" s="58"/>
      <c r="AR600" s="1534">
        <f t="shared" si="0"/>
        <v>0</v>
      </c>
      <c r="AS600" s="1535"/>
      <c r="AT600" s="1139">
        <f t="shared" si="1"/>
        <v>0</v>
      </c>
      <c r="AU600" s="1141"/>
      <c r="AV600" s="1534">
        <f t="shared" si="2"/>
        <v>0</v>
      </c>
      <c r="AW600" s="1535"/>
      <c r="AX600" s="1139">
        <f t="shared" si="3"/>
        <v>0</v>
      </c>
      <c r="AY600" s="1141"/>
      <c r="AZ600" s="58"/>
      <c r="BA600" s="1139">
        <f t="shared" si="4"/>
        <v>0</v>
      </c>
      <c r="BB600" s="1140"/>
      <c r="BC600" s="1140"/>
      <c r="BD600" s="1140"/>
      <c r="BE600" s="1141"/>
      <c r="BF600" s="1212">
        <f t="shared" si="5"/>
        <v>0</v>
      </c>
      <c r="BG600" s="1212"/>
      <c r="BH600" s="1212"/>
      <c r="BI600" s="1212"/>
      <c r="BJ600" s="1212"/>
      <c r="BK600" s="1212">
        <f t="shared" si="6"/>
        <v>0</v>
      </c>
      <c r="BL600" s="1212"/>
      <c r="BM600" s="1212"/>
      <c r="BN600" s="1212"/>
      <c r="BO600" s="1212"/>
      <c r="BP600" s="1212">
        <f t="shared" si="7"/>
        <v>0</v>
      </c>
      <c r="BQ600" s="1212"/>
      <c r="BR600" s="1212"/>
      <c r="BS600" s="1212"/>
      <c r="BT600" s="1212"/>
      <c r="BU600" s="1212">
        <f t="shared" si="8"/>
        <v>0</v>
      </c>
      <c r="BV600" s="1212"/>
      <c r="BW600" s="1212"/>
      <c r="BX600" s="1212"/>
      <c r="BY600" s="1212"/>
      <c r="BZ600" s="1212">
        <f t="shared" si="9"/>
        <v>0</v>
      </c>
      <c r="CA600" s="1212"/>
      <c r="CB600" s="1212"/>
      <c r="CC600" s="1212"/>
      <c r="CD600" s="1212"/>
      <c r="CE600" s="1226">
        <f t="shared" si="10"/>
        <v>0</v>
      </c>
      <c r="CF600" s="1226"/>
      <c r="CG600" s="1226"/>
      <c r="CH600" s="1226"/>
      <c r="CI600" s="1226"/>
      <c r="CJ600" s="1226">
        <f t="shared" si="11"/>
        <v>0</v>
      </c>
      <c r="CK600" s="1226"/>
      <c r="CL600" s="1226"/>
      <c r="CM600" s="1226"/>
      <c r="CN600" s="1226"/>
      <c r="CO600" s="1226">
        <f t="shared" si="12"/>
        <v>0</v>
      </c>
      <c r="CP600" s="1226"/>
      <c r="CQ600" s="1226"/>
      <c r="CR600" s="1226"/>
      <c r="CS600" s="1226"/>
      <c r="CT600" s="1226">
        <f t="shared" si="13"/>
        <v>0</v>
      </c>
      <c r="CU600" s="1226"/>
      <c r="CV600" s="1226"/>
      <c r="CW600" s="1226"/>
      <c r="CX600" s="1226"/>
      <c r="CY600" s="1226">
        <f t="shared" si="14"/>
        <v>0</v>
      </c>
      <c r="CZ600" s="1226"/>
      <c r="DA600" s="1226"/>
      <c r="DB600" s="1226"/>
      <c r="DC600" s="1226"/>
      <c r="DD600" s="1226">
        <f t="shared" si="15"/>
        <v>0</v>
      </c>
      <c r="DE600" s="1226"/>
      <c r="DF600" s="1226"/>
      <c r="DG600" s="1226"/>
      <c r="DH600" s="1226"/>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34">
        <f t="shared" si="0"/>
        <v>0</v>
      </c>
      <c r="AS601" s="1535"/>
      <c r="AT601" s="1139">
        <f t="shared" si="1"/>
        <v>0</v>
      </c>
      <c r="AU601" s="1141"/>
      <c r="AV601" s="1534">
        <f t="shared" si="2"/>
        <v>0</v>
      </c>
      <c r="AW601" s="1535"/>
      <c r="AX601" s="1139">
        <f t="shared" si="3"/>
        <v>0</v>
      </c>
      <c r="AY601" s="1141"/>
      <c r="AZ601" s="58"/>
      <c r="BA601" s="1139">
        <f t="shared" si="4"/>
        <v>0</v>
      </c>
      <c r="BB601" s="1140"/>
      <c r="BC601" s="1140"/>
      <c r="BD601" s="1140"/>
      <c r="BE601" s="1141"/>
      <c r="BF601" s="1212">
        <f t="shared" si="5"/>
        <v>0</v>
      </c>
      <c r="BG601" s="1212"/>
      <c r="BH601" s="1212"/>
      <c r="BI601" s="1212"/>
      <c r="BJ601" s="1212"/>
      <c r="BK601" s="1212">
        <f t="shared" si="6"/>
        <v>0</v>
      </c>
      <c r="BL601" s="1212"/>
      <c r="BM601" s="1212"/>
      <c r="BN601" s="1212"/>
      <c r="BO601" s="1212"/>
      <c r="BP601" s="1212">
        <f t="shared" si="7"/>
        <v>0</v>
      </c>
      <c r="BQ601" s="1212"/>
      <c r="BR601" s="1212"/>
      <c r="BS601" s="1212"/>
      <c r="BT601" s="1212"/>
      <c r="BU601" s="1212">
        <f t="shared" si="8"/>
        <v>0</v>
      </c>
      <c r="BV601" s="1212"/>
      <c r="BW601" s="1212"/>
      <c r="BX601" s="1212"/>
      <c r="BY601" s="1212"/>
      <c r="BZ601" s="1212">
        <f t="shared" si="9"/>
        <v>0</v>
      </c>
      <c r="CA601" s="1212"/>
      <c r="CB601" s="1212"/>
      <c r="CC601" s="1212"/>
      <c r="CD601" s="1212"/>
      <c r="CE601" s="1226">
        <f t="shared" si="10"/>
        <v>0</v>
      </c>
      <c r="CF601" s="1226"/>
      <c r="CG601" s="1226"/>
      <c r="CH601" s="1226"/>
      <c r="CI601" s="1226"/>
      <c r="CJ601" s="1226">
        <f t="shared" si="11"/>
        <v>0</v>
      </c>
      <c r="CK601" s="1226"/>
      <c r="CL601" s="1226"/>
      <c r="CM601" s="1226"/>
      <c r="CN601" s="1226"/>
      <c r="CO601" s="1226">
        <f t="shared" si="12"/>
        <v>0</v>
      </c>
      <c r="CP601" s="1226"/>
      <c r="CQ601" s="1226"/>
      <c r="CR601" s="1226"/>
      <c r="CS601" s="1226"/>
      <c r="CT601" s="1226">
        <f t="shared" si="13"/>
        <v>0</v>
      </c>
      <c r="CU601" s="1226"/>
      <c r="CV601" s="1226"/>
      <c r="CW601" s="1226"/>
      <c r="CX601" s="1226"/>
      <c r="CY601" s="1226">
        <f t="shared" si="14"/>
        <v>0</v>
      </c>
      <c r="CZ601" s="1226"/>
      <c r="DA601" s="1226"/>
      <c r="DB601" s="1226"/>
      <c r="DC601" s="1226"/>
      <c r="DD601" s="1226">
        <f t="shared" si="15"/>
        <v>0</v>
      </c>
      <c r="DE601" s="1226"/>
      <c r="DF601" s="1226"/>
      <c r="DG601" s="1226"/>
      <c r="DH601" s="1226"/>
    </row>
    <row r="602" spans="1:112" ht="12.75">
      <c r="B602" s="12" t="s">
        <v>631</v>
      </c>
      <c r="G602" s="1100"/>
      <c r="H602" s="1100"/>
      <c r="I602" s="1100"/>
      <c r="J602" s="1100"/>
      <c r="K602" s="1100"/>
      <c r="L602" s="1100"/>
      <c r="M602" s="1100"/>
      <c r="N602" s="1100"/>
      <c r="O602" s="1100"/>
      <c r="P602" s="1100"/>
      <c r="Q602" s="1100"/>
      <c r="R602" s="1100"/>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34">
        <f t="shared" si="0"/>
        <v>0</v>
      </c>
      <c r="AS602" s="1535"/>
      <c r="AT602" s="1139">
        <f t="shared" si="1"/>
        <v>0</v>
      </c>
      <c r="AU602" s="1141"/>
      <c r="AV602" s="1534">
        <f t="shared" si="2"/>
        <v>0</v>
      </c>
      <c r="AW602" s="1535"/>
      <c r="AX602" s="1139">
        <f t="shared" si="3"/>
        <v>0</v>
      </c>
      <c r="AY602" s="1141"/>
      <c r="AZ602" s="58"/>
      <c r="BA602" s="1139">
        <f t="shared" si="4"/>
        <v>0</v>
      </c>
      <c r="BB602" s="1140"/>
      <c r="BC602" s="1140"/>
      <c r="BD602" s="1140"/>
      <c r="BE602" s="1141"/>
      <c r="BF602" s="1212">
        <f t="shared" si="5"/>
        <v>0</v>
      </c>
      <c r="BG602" s="1212"/>
      <c r="BH602" s="1212"/>
      <c r="BI602" s="1212"/>
      <c r="BJ602" s="1212"/>
      <c r="BK602" s="1212">
        <f t="shared" si="6"/>
        <v>0</v>
      </c>
      <c r="BL602" s="1212"/>
      <c r="BM602" s="1212"/>
      <c r="BN602" s="1212"/>
      <c r="BO602" s="1212"/>
      <c r="BP602" s="1212">
        <f t="shared" si="7"/>
        <v>0</v>
      </c>
      <c r="BQ602" s="1212"/>
      <c r="BR602" s="1212"/>
      <c r="BS602" s="1212"/>
      <c r="BT602" s="1212"/>
      <c r="BU602" s="1212">
        <f t="shared" si="8"/>
        <v>0</v>
      </c>
      <c r="BV602" s="1212"/>
      <c r="BW602" s="1212"/>
      <c r="BX602" s="1212"/>
      <c r="BY602" s="1212"/>
      <c r="BZ602" s="1212">
        <f t="shared" si="9"/>
        <v>0</v>
      </c>
      <c r="CA602" s="1212"/>
      <c r="CB602" s="1212"/>
      <c r="CC602" s="1212"/>
      <c r="CD602" s="1212"/>
      <c r="CE602" s="1226">
        <f t="shared" si="10"/>
        <v>0</v>
      </c>
      <c r="CF602" s="1226"/>
      <c r="CG602" s="1226"/>
      <c r="CH602" s="1226"/>
      <c r="CI602" s="1226"/>
      <c r="CJ602" s="1226">
        <f t="shared" si="11"/>
        <v>0</v>
      </c>
      <c r="CK602" s="1226"/>
      <c r="CL602" s="1226"/>
      <c r="CM602" s="1226"/>
      <c r="CN602" s="1226"/>
      <c r="CO602" s="1226">
        <f t="shared" si="12"/>
        <v>0</v>
      </c>
      <c r="CP602" s="1226"/>
      <c r="CQ602" s="1226"/>
      <c r="CR602" s="1226"/>
      <c r="CS602" s="1226"/>
      <c r="CT602" s="1226">
        <f t="shared" si="13"/>
        <v>0</v>
      </c>
      <c r="CU602" s="1226"/>
      <c r="CV602" s="1226"/>
      <c r="CW602" s="1226"/>
      <c r="CX602" s="1226"/>
      <c r="CY602" s="1226">
        <f t="shared" si="14"/>
        <v>0</v>
      </c>
      <c r="CZ602" s="1226"/>
      <c r="DA602" s="1226"/>
      <c r="DB602" s="1226"/>
      <c r="DC602" s="1226"/>
      <c r="DD602" s="1226">
        <f t="shared" si="15"/>
        <v>0</v>
      </c>
      <c r="DE602" s="1226"/>
      <c r="DF602" s="1226"/>
      <c r="DG602" s="1226"/>
      <c r="DH602" s="1226"/>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34">
        <f t="shared" si="0"/>
        <v>0</v>
      </c>
      <c r="AS603" s="1535"/>
      <c r="AT603" s="1139">
        <f t="shared" si="1"/>
        <v>0</v>
      </c>
      <c r="AU603" s="1141"/>
      <c r="AV603" s="1534">
        <f t="shared" si="2"/>
        <v>0</v>
      </c>
      <c r="AW603" s="1535"/>
      <c r="AX603" s="1139">
        <f t="shared" si="3"/>
        <v>0</v>
      </c>
      <c r="AY603" s="1141"/>
      <c r="AZ603" s="58"/>
      <c r="BA603" s="1139">
        <f t="shared" si="4"/>
        <v>0</v>
      </c>
      <c r="BB603" s="1140"/>
      <c r="BC603" s="1140"/>
      <c r="BD603" s="1140"/>
      <c r="BE603" s="1141"/>
      <c r="BF603" s="1212">
        <f t="shared" si="5"/>
        <v>0</v>
      </c>
      <c r="BG603" s="1212"/>
      <c r="BH603" s="1212"/>
      <c r="BI603" s="1212"/>
      <c r="BJ603" s="1212"/>
      <c r="BK603" s="1212">
        <f t="shared" si="6"/>
        <v>0</v>
      </c>
      <c r="BL603" s="1212"/>
      <c r="BM603" s="1212"/>
      <c r="BN603" s="1212"/>
      <c r="BO603" s="1212"/>
      <c r="BP603" s="1212">
        <f t="shared" si="7"/>
        <v>0</v>
      </c>
      <c r="BQ603" s="1212"/>
      <c r="BR603" s="1212"/>
      <c r="BS603" s="1212"/>
      <c r="BT603" s="1212"/>
      <c r="BU603" s="1212">
        <f t="shared" si="8"/>
        <v>0</v>
      </c>
      <c r="BV603" s="1212"/>
      <c r="BW603" s="1212"/>
      <c r="BX603" s="1212"/>
      <c r="BY603" s="1212"/>
      <c r="BZ603" s="1212">
        <f t="shared" si="9"/>
        <v>0</v>
      </c>
      <c r="CA603" s="1212"/>
      <c r="CB603" s="1212"/>
      <c r="CC603" s="1212"/>
      <c r="CD603" s="1212"/>
      <c r="CE603" s="1226">
        <f t="shared" si="10"/>
        <v>0</v>
      </c>
      <c r="CF603" s="1226"/>
      <c r="CG603" s="1226"/>
      <c r="CH603" s="1226"/>
      <c r="CI603" s="1226"/>
      <c r="CJ603" s="1226">
        <f t="shared" si="11"/>
        <v>0</v>
      </c>
      <c r="CK603" s="1226"/>
      <c r="CL603" s="1226"/>
      <c r="CM603" s="1226"/>
      <c r="CN603" s="1226"/>
      <c r="CO603" s="1226">
        <f t="shared" si="12"/>
        <v>0</v>
      </c>
      <c r="CP603" s="1226"/>
      <c r="CQ603" s="1226"/>
      <c r="CR603" s="1226"/>
      <c r="CS603" s="1226"/>
      <c r="CT603" s="1226">
        <f t="shared" si="13"/>
        <v>0</v>
      </c>
      <c r="CU603" s="1226"/>
      <c r="CV603" s="1226"/>
      <c r="CW603" s="1226"/>
      <c r="CX603" s="1226"/>
      <c r="CY603" s="1226">
        <f t="shared" si="14"/>
        <v>0</v>
      </c>
      <c r="CZ603" s="1226"/>
      <c r="DA603" s="1226"/>
      <c r="DB603" s="1226"/>
      <c r="DC603" s="1226"/>
      <c r="DD603" s="1226">
        <f t="shared" si="15"/>
        <v>0</v>
      </c>
      <c r="DE603" s="1226"/>
      <c r="DF603" s="1226"/>
      <c r="DG603" s="1226"/>
      <c r="DH603" s="1226"/>
    </row>
    <row r="604" spans="1:112" ht="12.75">
      <c r="B604" s="12" t="s">
        <v>338</v>
      </c>
      <c r="G604" s="1104"/>
      <c r="H604" s="1104"/>
      <c r="I604" s="1104"/>
      <c r="J604" s="1104"/>
      <c r="K604" s="1104"/>
      <c r="L604" s="1104"/>
      <c r="O604" s="140" t="s">
        <v>220</v>
      </c>
      <c r="P604" s="1105"/>
      <c r="Q604" s="1105"/>
      <c r="R604" s="1105"/>
      <c r="U604" s="12" t="s">
        <v>338</v>
      </c>
      <c r="Z604" s="1104"/>
      <c r="AA604" s="1104"/>
      <c r="AB604" s="1104"/>
      <c r="AC604" s="1104"/>
      <c r="AD604" s="1104"/>
      <c r="AE604" s="1104"/>
      <c r="AH604" s="140" t="s">
        <v>220</v>
      </c>
      <c r="AI604" s="1105"/>
      <c r="AJ604" s="1105"/>
      <c r="AK604" s="1105"/>
      <c r="AM604" s="58"/>
      <c r="AN604" s="58"/>
      <c r="AO604" s="58"/>
      <c r="AP604" s="58"/>
      <c r="AQ604" s="58"/>
      <c r="AR604" s="1534">
        <f t="shared" si="0"/>
        <v>0</v>
      </c>
      <c r="AS604" s="1535"/>
      <c r="AT604" s="1139">
        <f t="shared" si="1"/>
        <v>0</v>
      </c>
      <c r="AU604" s="1141"/>
      <c r="AV604" s="1534">
        <f t="shared" si="2"/>
        <v>0</v>
      </c>
      <c r="AW604" s="1535"/>
      <c r="AX604" s="1139">
        <f t="shared" si="3"/>
        <v>0</v>
      </c>
      <c r="AY604" s="1141"/>
      <c r="AZ604" s="58"/>
      <c r="BA604" s="1139">
        <f t="shared" si="4"/>
        <v>0</v>
      </c>
      <c r="BB604" s="1140"/>
      <c r="BC604" s="1140"/>
      <c r="BD604" s="1140"/>
      <c r="BE604" s="1141"/>
      <c r="BF604" s="1212">
        <f t="shared" si="5"/>
        <v>0</v>
      </c>
      <c r="BG604" s="1212"/>
      <c r="BH604" s="1212"/>
      <c r="BI604" s="1212"/>
      <c r="BJ604" s="1212"/>
      <c r="BK604" s="1212">
        <f t="shared" si="6"/>
        <v>0</v>
      </c>
      <c r="BL604" s="1212"/>
      <c r="BM604" s="1212"/>
      <c r="BN604" s="1212"/>
      <c r="BO604" s="1212"/>
      <c r="BP604" s="1212">
        <f t="shared" si="7"/>
        <v>0</v>
      </c>
      <c r="BQ604" s="1212"/>
      <c r="BR604" s="1212"/>
      <c r="BS604" s="1212"/>
      <c r="BT604" s="1212"/>
      <c r="BU604" s="1212">
        <f t="shared" si="8"/>
        <v>0</v>
      </c>
      <c r="BV604" s="1212"/>
      <c r="BW604" s="1212"/>
      <c r="BX604" s="1212"/>
      <c r="BY604" s="1212"/>
      <c r="BZ604" s="1212">
        <f t="shared" si="9"/>
        <v>0</v>
      </c>
      <c r="CA604" s="1212"/>
      <c r="CB604" s="1212"/>
      <c r="CC604" s="1212"/>
      <c r="CD604" s="1212"/>
      <c r="CE604" s="1226">
        <f t="shared" si="10"/>
        <v>0</v>
      </c>
      <c r="CF604" s="1226"/>
      <c r="CG604" s="1226"/>
      <c r="CH604" s="1226"/>
      <c r="CI604" s="1226"/>
      <c r="CJ604" s="1226">
        <f t="shared" si="11"/>
        <v>0</v>
      </c>
      <c r="CK604" s="1226"/>
      <c r="CL604" s="1226"/>
      <c r="CM604" s="1226"/>
      <c r="CN604" s="1226"/>
      <c r="CO604" s="1226">
        <f t="shared" si="12"/>
        <v>0</v>
      </c>
      <c r="CP604" s="1226"/>
      <c r="CQ604" s="1226"/>
      <c r="CR604" s="1226"/>
      <c r="CS604" s="1226"/>
      <c r="CT604" s="1226">
        <f t="shared" si="13"/>
        <v>0</v>
      </c>
      <c r="CU604" s="1226"/>
      <c r="CV604" s="1226"/>
      <c r="CW604" s="1226"/>
      <c r="CX604" s="1226"/>
      <c r="CY604" s="1226">
        <f t="shared" si="14"/>
        <v>0</v>
      </c>
      <c r="CZ604" s="1226"/>
      <c r="DA604" s="1226"/>
      <c r="DB604" s="1226"/>
      <c r="DC604" s="1226"/>
      <c r="DD604" s="1226">
        <f t="shared" si="15"/>
        <v>0</v>
      </c>
      <c r="DE604" s="1226"/>
      <c r="DF604" s="1226"/>
      <c r="DG604" s="1226"/>
      <c r="DH604" s="1226"/>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34">
        <f t="shared" si="0"/>
        <v>0</v>
      </c>
      <c r="AS605" s="1535"/>
      <c r="AT605" s="1139">
        <f t="shared" si="1"/>
        <v>0</v>
      </c>
      <c r="AU605" s="1141"/>
      <c r="AV605" s="1534">
        <f t="shared" si="2"/>
        <v>0</v>
      </c>
      <c r="AW605" s="1535"/>
      <c r="AX605" s="1139">
        <f t="shared" si="3"/>
        <v>0</v>
      </c>
      <c r="AY605" s="1141"/>
      <c r="AZ605" s="58"/>
      <c r="BA605" s="1139">
        <f t="shared" si="4"/>
        <v>0</v>
      </c>
      <c r="BB605" s="1140"/>
      <c r="BC605" s="1140"/>
      <c r="BD605" s="1140"/>
      <c r="BE605" s="1141"/>
      <c r="BF605" s="1212">
        <f t="shared" si="5"/>
        <v>0</v>
      </c>
      <c r="BG605" s="1212"/>
      <c r="BH605" s="1212"/>
      <c r="BI605" s="1212"/>
      <c r="BJ605" s="1212"/>
      <c r="BK605" s="1212">
        <f t="shared" si="6"/>
        <v>0</v>
      </c>
      <c r="BL605" s="1212"/>
      <c r="BM605" s="1212"/>
      <c r="BN605" s="1212"/>
      <c r="BO605" s="1212"/>
      <c r="BP605" s="1212">
        <f t="shared" si="7"/>
        <v>0</v>
      </c>
      <c r="BQ605" s="1212"/>
      <c r="BR605" s="1212"/>
      <c r="BS605" s="1212"/>
      <c r="BT605" s="1212"/>
      <c r="BU605" s="1212">
        <f t="shared" si="8"/>
        <v>0</v>
      </c>
      <c r="BV605" s="1212"/>
      <c r="BW605" s="1212"/>
      <c r="BX605" s="1212"/>
      <c r="BY605" s="1212"/>
      <c r="BZ605" s="1212">
        <f t="shared" si="9"/>
        <v>0</v>
      </c>
      <c r="CA605" s="1212"/>
      <c r="CB605" s="1212"/>
      <c r="CC605" s="1212"/>
      <c r="CD605" s="1212"/>
      <c r="CE605" s="1226">
        <f t="shared" si="10"/>
        <v>0</v>
      </c>
      <c r="CF605" s="1226"/>
      <c r="CG605" s="1226"/>
      <c r="CH605" s="1226"/>
      <c r="CI605" s="1226"/>
      <c r="CJ605" s="1226">
        <f t="shared" si="11"/>
        <v>0</v>
      </c>
      <c r="CK605" s="1226"/>
      <c r="CL605" s="1226"/>
      <c r="CM605" s="1226"/>
      <c r="CN605" s="1226"/>
      <c r="CO605" s="1226">
        <f t="shared" si="12"/>
        <v>0</v>
      </c>
      <c r="CP605" s="1226"/>
      <c r="CQ605" s="1226"/>
      <c r="CR605" s="1226"/>
      <c r="CS605" s="1226"/>
      <c r="CT605" s="1226">
        <f t="shared" si="13"/>
        <v>0</v>
      </c>
      <c r="CU605" s="1226"/>
      <c r="CV605" s="1226"/>
      <c r="CW605" s="1226"/>
      <c r="CX605" s="1226"/>
      <c r="CY605" s="1226">
        <f t="shared" si="14"/>
        <v>0</v>
      </c>
      <c r="CZ605" s="1226"/>
      <c r="DA605" s="1226"/>
      <c r="DB605" s="1226"/>
      <c r="DC605" s="1226"/>
      <c r="DD605" s="1226">
        <f t="shared" si="15"/>
        <v>0</v>
      </c>
      <c r="DE605" s="1226"/>
      <c r="DF605" s="1226"/>
      <c r="DG605" s="1226"/>
      <c r="DH605" s="1226"/>
    </row>
    <row r="606" spans="1:112" ht="12.75">
      <c r="B606" s="12" t="s">
        <v>22</v>
      </c>
      <c r="N606" s="1101" t="s">
        <v>723</v>
      </c>
      <c r="O606" s="1101"/>
      <c r="U606" s="12" t="s">
        <v>22</v>
      </c>
      <c r="AG606" s="1101" t="s">
        <v>723</v>
      </c>
      <c r="AH606" s="1101"/>
      <c r="AM606" s="58"/>
      <c r="AN606" s="58"/>
      <c r="AO606" s="58"/>
      <c r="AP606" s="58"/>
      <c r="AQ606" s="58"/>
      <c r="AR606" s="1534">
        <f t="shared" si="0"/>
        <v>0</v>
      </c>
      <c r="AS606" s="1535"/>
      <c r="AT606" s="1139">
        <f t="shared" si="1"/>
        <v>0</v>
      </c>
      <c r="AU606" s="1141"/>
      <c r="AV606" s="1534">
        <f t="shared" si="2"/>
        <v>0</v>
      </c>
      <c r="AW606" s="1535"/>
      <c r="AX606" s="1139">
        <f t="shared" si="3"/>
        <v>0</v>
      </c>
      <c r="AY606" s="1141"/>
      <c r="AZ606" s="58"/>
      <c r="BA606" s="1139">
        <f t="shared" si="4"/>
        <v>0</v>
      </c>
      <c r="BB606" s="1140"/>
      <c r="BC606" s="1140"/>
      <c r="BD606" s="1140"/>
      <c r="BE606" s="1141"/>
      <c r="BF606" s="1212">
        <f t="shared" si="5"/>
        <v>0</v>
      </c>
      <c r="BG606" s="1212"/>
      <c r="BH606" s="1212"/>
      <c r="BI606" s="1212"/>
      <c r="BJ606" s="1212"/>
      <c r="BK606" s="1212">
        <f t="shared" si="6"/>
        <v>0</v>
      </c>
      <c r="BL606" s="1212"/>
      <c r="BM606" s="1212"/>
      <c r="BN606" s="1212"/>
      <c r="BO606" s="1212"/>
      <c r="BP606" s="1212">
        <f t="shared" si="7"/>
        <v>0</v>
      </c>
      <c r="BQ606" s="1212"/>
      <c r="BR606" s="1212"/>
      <c r="BS606" s="1212"/>
      <c r="BT606" s="1212"/>
      <c r="BU606" s="1212">
        <f t="shared" si="8"/>
        <v>0</v>
      </c>
      <c r="BV606" s="1212"/>
      <c r="BW606" s="1212"/>
      <c r="BX606" s="1212"/>
      <c r="BY606" s="1212"/>
      <c r="BZ606" s="1212">
        <f t="shared" si="9"/>
        <v>0</v>
      </c>
      <c r="CA606" s="1212"/>
      <c r="CB606" s="1212"/>
      <c r="CC606" s="1212"/>
      <c r="CD606" s="1212"/>
      <c r="CE606" s="1226">
        <f t="shared" si="10"/>
        <v>0</v>
      </c>
      <c r="CF606" s="1226"/>
      <c r="CG606" s="1226"/>
      <c r="CH606" s="1226"/>
      <c r="CI606" s="1226"/>
      <c r="CJ606" s="1226">
        <f t="shared" si="11"/>
        <v>0</v>
      </c>
      <c r="CK606" s="1226"/>
      <c r="CL606" s="1226"/>
      <c r="CM606" s="1226"/>
      <c r="CN606" s="1226"/>
      <c r="CO606" s="1226">
        <f t="shared" si="12"/>
        <v>0</v>
      </c>
      <c r="CP606" s="1226"/>
      <c r="CQ606" s="1226"/>
      <c r="CR606" s="1226"/>
      <c r="CS606" s="1226"/>
      <c r="CT606" s="1226">
        <f t="shared" si="13"/>
        <v>0</v>
      </c>
      <c r="CU606" s="1226"/>
      <c r="CV606" s="1226"/>
      <c r="CW606" s="1226"/>
      <c r="CX606" s="1226"/>
      <c r="CY606" s="1226">
        <f t="shared" si="14"/>
        <v>0</v>
      </c>
      <c r="CZ606" s="1226"/>
      <c r="DA606" s="1226"/>
      <c r="DB606" s="1226"/>
      <c r="DC606" s="1226"/>
      <c r="DD606" s="1226">
        <f t="shared" si="15"/>
        <v>0</v>
      </c>
      <c r="DE606" s="1226"/>
      <c r="DF606" s="1226"/>
      <c r="DG606" s="1226"/>
      <c r="DH606" s="1226"/>
    </row>
    <row r="607" spans="1:112" ht="12.75">
      <c r="AM607" s="58"/>
      <c r="AN607" s="58"/>
      <c r="AO607" s="58"/>
      <c r="AP607" s="58"/>
      <c r="AQ607" s="58"/>
      <c r="AR607" s="1534">
        <f t="shared" si="0"/>
        <v>0</v>
      </c>
      <c r="AS607" s="1535"/>
      <c r="AT607" s="1139">
        <f t="shared" si="1"/>
        <v>0</v>
      </c>
      <c r="AU607" s="1141"/>
      <c r="AV607" s="1534">
        <f t="shared" si="2"/>
        <v>0</v>
      </c>
      <c r="AW607" s="1535"/>
      <c r="AX607" s="1139">
        <f t="shared" si="3"/>
        <v>0</v>
      </c>
      <c r="AY607" s="1141"/>
      <c r="AZ607" s="58"/>
      <c r="BA607" s="1139">
        <f t="shared" si="4"/>
        <v>0</v>
      </c>
      <c r="BB607" s="1140"/>
      <c r="BC607" s="1140"/>
      <c r="BD607" s="1140"/>
      <c r="BE607" s="1141"/>
      <c r="BF607" s="1212">
        <f t="shared" si="5"/>
        <v>0</v>
      </c>
      <c r="BG607" s="1212"/>
      <c r="BH607" s="1212"/>
      <c r="BI607" s="1212"/>
      <c r="BJ607" s="1212"/>
      <c r="BK607" s="1212">
        <f t="shared" si="6"/>
        <v>0</v>
      </c>
      <c r="BL607" s="1212"/>
      <c r="BM607" s="1212"/>
      <c r="BN607" s="1212"/>
      <c r="BO607" s="1212"/>
      <c r="BP607" s="1212">
        <f t="shared" si="7"/>
        <v>0</v>
      </c>
      <c r="BQ607" s="1212"/>
      <c r="BR607" s="1212"/>
      <c r="BS607" s="1212"/>
      <c r="BT607" s="1212"/>
      <c r="BU607" s="1212">
        <f t="shared" si="8"/>
        <v>0</v>
      </c>
      <c r="BV607" s="1212"/>
      <c r="BW607" s="1212"/>
      <c r="BX607" s="1212"/>
      <c r="BY607" s="1212"/>
      <c r="BZ607" s="1212">
        <f t="shared" si="9"/>
        <v>0</v>
      </c>
      <c r="CA607" s="1212"/>
      <c r="CB607" s="1212"/>
      <c r="CC607" s="1212"/>
      <c r="CD607" s="1212"/>
      <c r="CE607" s="1226">
        <f t="shared" si="10"/>
        <v>0</v>
      </c>
      <c r="CF607" s="1226"/>
      <c r="CG607" s="1226"/>
      <c r="CH607" s="1226"/>
      <c r="CI607" s="1226"/>
      <c r="CJ607" s="1226">
        <f t="shared" si="11"/>
        <v>0</v>
      </c>
      <c r="CK607" s="1226"/>
      <c r="CL607" s="1226"/>
      <c r="CM607" s="1226"/>
      <c r="CN607" s="1226"/>
      <c r="CO607" s="1226">
        <f t="shared" si="12"/>
        <v>0</v>
      </c>
      <c r="CP607" s="1226"/>
      <c r="CQ607" s="1226"/>
      <c r="CR607" s="1226"/>
      <c r="CS607" s="1226"/>
      <c r="CT607" s="1226">
        <f t="shared" si="13"/>
        <v>0</v>
      </c>
      <c r="CU607" s="1226"/>
      <c r="CV607" s="1226"/>
      <c r="CW607" s="1226"/>
      <c r="CX607" s="1226"/>
      <c r="CY607" s="1226">
        <f t="shared" si="14"/>
        <v>0</v>
      </c>
      <c r="CZ607" s="1226"/>
      <c r="DA607" s="1226"/>
      <c r="DB607" s="1226"/>
      <c r="DC607" s="1226"/>
      <c r="DD607" s="1226">
        <f t="shared" si="15"/>
        <v>0</v>
      </c>
      <c r="DE607" s="1226"/>
      <c r="DF607" s="1226"/>
      <c r="DG607" s="1226"/>
      <c r="DH607" s="1226"/>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34">
        <f t="shared" si="0"/>
        <v>0</v>
      </c>
      <c r="AS608" s="1535"/>
      <c r="AT608" s="1139">
        <f t="shared" si="1"/>
        <v>0</v>
      </c>
      <c r="AU608" s="1141"/>
      <c r="AV608" s="1534">
        <f t="shared" si="2"/>
        <v>0</v>
      </c>
      <c r="AW608" s="1535"/>
      <c r="AX608" s="1139">
        <f t="shared" si="3"/>
        <v>0</v>
      </c>
      <c r="AY608" s="1141"/>
      <c r="AZ608" s="58"/>
      <c r="BA608" s="1139">
        <f t="shared" si="4"/>
        <v>0</v>
      </c>
      <c r="BB608" s="1140"/>
      <c r="BC608" s="1140"/>
      <c r="BD608" s="1140"/>
      <c r="BE608" s="1141"/>
      <c r="BF608" s="1212">
        <f t="shared" si="5"/>
        <v>0</v>
      </c>
      <c r="BG608" s="1212"/>
      <c r="BH608" s="1212"/>
      <c r="BI608" s="1212"/>
      <c r="BJ608" s="1212"/>
      <c r="BK608" s="1212">
        <f t="shared" si="6"/>
        <v>0</v>
      </c>
      <c r="BL608" s="1212"/>
      <c r="BM608" s="1212"/>
      <c r="BN608" s="1212"/>
      <c r="BO608" s="1212"/>
      <c r="BP608" s="1212">
        <f t="shared" si="7"/>
        <v>0</v>
      </c>
      <c r="BQ608" s="1212"/>
      <c r="BR608" s="1212"/>
      <c r="BS608" s="1212"/>
      <c r="BT608" s="1212"/>
      <c r="BU608" s="1212">
        <f t="shared" si="8"/>
        <v>0</v>
      </c>
      <c r="BV608" s="1212"/>
      <c r="BW608" s="1212"/>
      <c r="BX608" s="1212"/>
      <c r="BY608" s="1212"/>
      <c r="BZ608" s="1212">
        <f t="shared" si="9"/>
        <v>0</v>
      </c>
      <c r="CA608" s="1212"/>
      <c r="CB608" s="1212"/>
      <c r="CC608" s="1212"/>
      <c r="CD608" s="1212"/>
      <c r="CE608" s="1226">
        <f t="shared" si="10"/>
        <v>0</v>
      </c>
      <c r="CF608" s="1226"/>
      <c r="CG608" s="1226"/>
      <c r="CH608" s="1226"/>
      <c r="CI608" s="1226"/>
      <c r="CJ608" s="1226">
        <f t="shared" si="11"/>
        <v>0</v>
      </c>
      <c r="CK608" s="1226"/>
      <c r="CL608" s="1226"/>
      <c r="CM608" s="1226"/>
      <c r="CN608" s="1226"/>
      <c r="CO608" s="1226">
        <f t="shared" si="12"/>
        <v>0</v>
      </c>
      <c r="CP608" s="1226"/>
      <c r="CQ608" s="1226"/>
      <c r="CR608" s="1226"/>
      <c r="CS608" s="1226"/>
      <c r="CT608" s="1226">
        <f t="shared" si="13"/>
        <v>0</v>
      </c>
      <c r="CU608" s="1226"/>
      <c r="CV608" s="1226"/>
      <c r="CW608" s="1226"/>
      <c r="CX608" s="1226"/>
      <c r="CY608" s="1226">
        <f t="shared" si="14"/>
        <v>0</v>
      </c>
      <c r="CZ608" s="1226"/>
      <c r="DA608" s="1226"/>
      <c r="DB608" s="1226"/>
      <c r="DC608" s="1226"/>
      <c r="DD608" s="1226">
        <f t="shared" si="15"/>
        <v>0</v>
      </c>
      <c r="DE608" s="1226"/>
      <c r="DF608" s="1226"/>
      <c r="DG608" s="1226"/>
      <c r="DH608" s="1226"/>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34">
        <f t="shared" si="0"/>
        <v>0</v>
      </c>
      <c r="AS609" s="1535"/>
      <c r="AT609" s="1139">
        <f t="shared" si="1"/>
        <v>0</v>
      </c>
      <c r="AU609" s="1141"/>
      <c r="AV609" s="1534">
        <f t="shared" si="2"/>
        <v>0</v>
      </c>
      <c r="AW609" s="1535"/>
      <c r="AX609" s="1139">
        <f t="shared" si="3"/>
        <v>0</v>
      </c>
      <c r="AY609" s="1141"/>
      <c r="AZ609" s="58"/>
      <c r="BA609" s="1139">
        <f t="shared" si="4"/>
        <v>0</v>
      </c>
      <c r="BB609" s="1140"/>
      <c r="BC609" s="1140"/>
      <c r="BD609" s="1140"/>
      <c r="BE609" s="1141"/>
      <c r="BF609" s="1212">
        <f t="shared" si="5"/>
        <v>0</v>
      </c>
      <c r="BG609" s="1212"/>
      <c r="BH609" s="1212"/>
      <c r="BI609" s="1212"/>
      <c r="BJ609" s="1212"/>
      <c r="BK609" s="1212">
        <f t="shared" si="6"/>
        <v>0</v>
      </c>
      <c r="BL609" s="1212"/>
      <c r="BM609" s="1212"/>
      <c r="BN609" s="1212"/>
      <c r="BO609" s="1212"/>
      <c r="BP609" s="1212">
        <f t="shared" si="7"/>
        <v>0</v>
      </c>
      <c r="BQ609" s="1212"/>
      <c r="BR609" s="1212"/>
      <c r="BS609" s="1212"/>
      <c r="BT609" s="1212"/>
      <c r="BU609" s="1212">
        <f t="shared" si="8"/>
        <v>0</v>
      </c>
      <c r="BV609" s="1212"/>
      <c r="BW609" s="1212"/>
      <c r="BX609" s="1212"/>
      <c r="BY609" s="1212"/>
      <c r="BZ609" s="1212">
        <f t="shared" si="9"/>
        <v>0</v>
      </c>
      <c r="CA609" s="1212"/>
      <c r="CB609" s="1212"/>
      <c r="CC609" s="1212"/>
      <c r="CD609" s="1212"/>
      <c r="CE609" s="1226">
        <f t="shared" si="10"/>
        <v>0</v>
      </c>
      <c r="CF609" s="1226"/>
      <c r="CG609" s="1226"/>
      <c r="CH609" s="1226"/>
      <c r="CI609" s="1226"/>
      <c r="CJ609" s="1226">
        <f t="shared" si="11"/>
        <v>0</v>
      </c>
      <c r="CK609" s="1226"/>
      <c r="CL609" s="1226"/>
      <c r="CM609" s="1226"/>
      <c r="CN609" s="1226"/>
      <c r="CO609" s="1226">
        <f t="shared" si="12"/>
        <v>0</v>
      </c>
      <c r="CP609" s="1226"/>
      <c r="CQ609" s="1226"/>
      <c r="CR609" s="1226"/>
      <c r="CS609" s="1226"/>
      <c r="CT609" s="1226">
        <f t="shared" si="13"/>
        <v>0</v>
      </c>
      <c r="CU609" s="1226"/>
      <c r="CV609" s="1226"/>
      <c r="CW609" s="1226"/>
      <c r="CX609" s="1226"/>
      <c r="CY609" s="1226">
        <f t="shared" si="14"/>
        <v>0</v>
      </c>
      <c r="CZ609" s="1226"/>
      <c r="DA609" s="1226"/>
      <c r="DB609" s="1226"/>
      <c r="DC609" s="1226"/>
      <c r="DD609" s="1226">
        <f t="shared" si="15"/>
        <v>0</v>
      </c>
      <c r="DE609" s="1226"/>
      <c r="DF609" s="1226"/>
      <c r="DG609" s="1226"/>
      <c r="DH609" s="1226"/>
    </row>
    <row r="610" spans="1:112" ht="13.5" thickTop="1">
      <c r="A610" s="25"/>
      <c r="B610" s="25"/>
      <c r="C610" s="25"/>
      <c r="D610" s="25"/>
      <c r="E610" s="25"/>
      <c r="F610" s="25"/>
      <c r="G610" s="3"/>
      <c r="H610" s="25"/>
      <c r="AM610" s="58"/>
      <c r="AN610" s="58"/>
      <c r="AO610" s="58"/>
      <c r="AP610" s="58"/>
      <c r="AQ610" s="58"/>
      <c r="AR610" s="1534">
        <f t="shared" si="0"/>
        <v>0</v>
      </c>
      <c r="AS610" s="1535"/>
      <c r="AT610" s="1139">
        <f t="shared" si="1"/>
        <v>0</v>
      </c>
      <c r="AU610" s="1141"/>
      <c r="AV610" s="1534">
        <f t="shared" si="2"/>
        <v>0</v>
      </c>
      <c r="AW610" s="1535"/>
      <c r="AX610" s="1139">
        <f t="shared" si="3"/>
        <v>0</v>
      </c>
      <c r="AY610" s="1141"/>
      <c r="AZ610" s="58"/>
      <c r="BA610" s="1139">
        <f t="shared" si="4"/>
        <v>0</v>
      </c>
      <c r="BB610" s="1140"/>
      <c r="BC610" s="1140"/>
      <c r="BD610" s="1140"/>
      <c r="BE610" s="1141"/>
      <c r="BF610" s="1212">
        <f t="shared" si="5"/>
        <v>0</v>
      </c>
      <c r="BG610" s="1212"/>
      <c r="BH610" s="1212"/>
      <c r="BI610" s="1212"/>
      <c r="BJ610" s="1212"/>
      <c r="BK610" s="1212">
        <f t="shared" si="6"/>
        <v>0</v>
      </c>
      <c r="BL610" s="1212"/>
      <c r="BM610" s="1212"/>
      <c r="BN610" s="1212"/>
      <c r="BO610" s="1212"/>
      <c r="BP610" s="1212">
        <f t="shared" si="7"/>
        <v>0</v>
      </c>
      <c r="BQ610" s="1212"/>
      <c r="BR610" s="1212"/>
      <c r="BS610" s="1212"/>
      <c r="BT610" s="1212"/>
      <c r="BU610" s="1212">
        <f t="shared" si="8"/>
        <v>0</v>
      </c>
      <c r="BV610" s="1212"/>
      <c r="BW610" s="1212"/>
      <c r="BX610" s="1212"/>
      <c r="BY610" s="1212"/>
      <c r="BZ610" s="1212">
        <f t="shared" si="9"/>
        <v>0</v>
      </c>
      <c r="CA610" s="1212"/>
      <c r="CB610" s="1212"/>
      <c r="CC610" s="1212"/>
      <c r="CD610" s="1212"/>
      <c r="CE610" s="1226">
        <f t="shared" si="10"/>
        <v>0</v>
      </c>
      <c r="CF610" s="1226"/>
      <c r="CG610" s="1226"/>
      <c r="CH610" s="1226"/>
      <c r="CI610" s="1226"/>
      <c r="CJ610" s="1226">
        <f t="shared" si="11"/>
        <v>0</v>
      </c>
      <c r="CK610" s="1226"/>
      <c r="CL610" s="1226"/>
      <c r="CM610" s="1226"/>
      <c r="CN610" s="1226"/>
      <c r="CO610" s="1226">
        <f t="shared" si="12"/>
        <v>0</v>
      </c>
      <c r="CP610" s="1226"/>
      <c r="CQ610" s="1226"/>
      <c r="CR610" s="1226"/>
      <c r="CS610" s="1226"/>
      <c r="CT610" s="1226">
        <f t="shared" si="13"/>
        <v>0</v>
      </c>
      <c r="CU610" s="1226"/>
      <c r="CV610" s="1226"/>
      <c r="CW610" s="1226"/>
      <c r="CX610" s="1226"/>
      <c r="CY610" s="1226">
        <f t="shared" si="14"/>
        <v>0</v>
      </c>
      <c r="CZ610" s="1226"/>
      <c r="DA610" s="1226"/>
      <c r="DB610" s="1226"/>
      <c r="DC610" s="1226"/>
      <c r="DD610" s="1226">
        <f t="shared" si="15"/>
        <v>0</v>
      </c>
      <c r="DE610" s="1226"/>
      <c r="DF610" s="1226"/>
      <c r="DG610" s="1226"/>
      <c r="DH610" s="1226"/>
    </row>
    <row r="611" spans="1:112" ht="12.75">
      <c r="A611" s="50" t="s">
        <v>341</v>
      </c>
      <c r="B611" s="50"/>
      <c r="C611" s="50" t="s">
        <v>23</v>
      </c>
      <c r="AM611" s="58"/>
      <c r="AN611" s="58"/>
      <c r="AO611" s="58"/>
      <c r="AP611" s="58"/>
      <c r="AQ611" s="58"/>
      <c r="AR611" s="1534">
        <f t="shared" si="0"/>
        <v>0</v>
      </c>
      <c r="AS611" s="1535"/>
      <c r="AT611" s="1139">
        <f t="shared" si="1"/>
        <v>0</v>
      </c>
      <c r="AU611" s="1141"/>
      <c r="AV611" s="1534">
        <f t="shared" si="2"/>
        <v>0</v>
      </c>
      <c r="AW611" s="1535"/>
      <c r="AX611" s="1139">
        <f t="shared" si="3"/>
        <v>0</v>
      </c>
      <c r="AY611" s="1141"/>
      <c r="AZ611" s="58"/>
      <c r="BA611" s="1139">
        <f t="shared" si="4"/>
        <v>0</v>
      </c>
      <c r="BB611" s="1140"/>
      <c r="BC611" s="1140"/>
      <c r="BD611" s="1140"/>
      <c r="BE611" s="1141"/>
      <c r="BF611" s="1212">
        <f t="shared" si="5"/>
        <v>0</v>
      </c>
      <c r="BG611" s="1212"/>
      <c r="BH611" s="1212"/>
      <c r="BI611" s="1212"/>
      <c r="BJ611" s="1212"/>
      <c r="BK611" s="1212">
        <f t="shared" si="6"/>
        <v>0</v>
      </c>
      <c r="BL611" s="1212"/>
      <c r="BM611" s="1212"/>
      <c r="BN611" s="1212"/>
      <c r="BO611" s="1212"/>
      <c r="BP611" s="1212">
        <f t="shared" si="7"/>
        <v>0</v>
      </c>
      <c r="BQ611" s="1212"/>
      <c r="BR611" s="1212"/>
      <c r="BS611" s="1212"/>
      <c r="BT611" s="1212"/>
      <c r="BU611" s="1212">
        <f t="shared" si="8"/>
        <v>0</v>
      </c>
      <c r="BV611" s="1212"/>
      <c r="BW611" s="1212"/>
      <c r="BX611" s="1212"/>
      <c r="BY611" s="1212"/>
      <c r="BZ611" s="1212">
        <f t="shared" si="9"/>
        <v>0</v>
      </c>
      <c r="CA611" s="1212"/>
      <c r="CB611" s="1212"/>
      <c r="CC611" s="1212"/>
      <c r="CD611" s="1212"/>
      <c r="CE611" s="1226">
        <f t="shared" si="10"/>
        <v>0</v>
      </c>
      <c r="CF611" s="1226"/>
      <c r="CG611" s="1226"/>
      <c r="CH611" s="1226"/>
      <c r="CI611" s="1226"/>
      <c r="CJ611" s="1226">
        <f t="shared" si="11"/>
        <v>0</v>
      </c>
      <c r="CK611" s="1226"/>
      <c r="CL611" s="1226"/>
      <c r="CM611" s="1226"/>
      <c r="CN611" s="1226"/>
      <c r="CO611" s="1226">
        <f t="shared" si="12"/>
        <v>0</v>
      </c>
      <c r="CP611" s="1226"/>
      <c r="CQ611" s="1226"/>
      <c r="CR611" s="1226"/>
      <c r="CS611" s="1226"/>
      <c r="CT611" s="1226">
        <f t="shared" si="13"/>
        <v>0</v>
      </c>
      <c r="CU611" s="1226"/>
      <c r="CV611" s="1226"/>
      <c r="CW611" s="1226"/>
      <c r="CX611" s="1226"/>
      <c r="CY611" s="1226">
        <f t="shared" si="14"/>
        <v>0</v>
      </c>
      <c r="CZ611" s="1226"/>
      <c r="DA611" s="1226"/>
      <c r="DB611" s="1226"/>
      <c r="DC611" s="1226"/>
      <c r="DD611" s="1226">
        <f t="shared" si="15"/>
        <v>0</v>
      </c>
      <c r="DE611" s="1226"/>
      <c r="DF611" s="1226"/>
      <c r="DG611" s="1226"/>
      <c r="DH611" s="1226"/>
    </row>
    <row r="612" spans="1:112" ht="12.75">
      <c r="A612" s="50"/>
      <c r="B612" s="50"/>
      <c r="C612" s="50"/>
      <c r="AM612" s="58"/>
      <c r="AN612" s="58"/>
      <c r="AO612" s="58"/>
      <c r="AP612" s="58"/>
      <c r="AQ612" s="58"/>
      <c r="AR612" s="1534">
        <f t="shared" si="0"/>
        <v>0</v>
      </c>
      <c r="AS612" s="1535"/>
      <c r="AT612" s="1139">
        <f t="shared" si="1"/>
        <v>0</v>
      </c>
      <c r="AU612" s="1141"/>
      <c r="AV612" s="1534">
        <f t="shared" si="2"/>
        <v>0</v>
      </c>
      <c r="AW612" s="1535"/>
      <c r="AX612" s="1139">
        <f t="shared" si="3"/>
        <v>0</v>
      </c>
      <c r="AY612" s="1141"/>
      <c r="AZ612" s="58"/>
      <c r="BA612" s="1139">
        <f t="shared" si="4"/>
        <v>0</v>
      </c>
      <c r="BB612" s="1140"/>
      <c r="BC612" s="1140"/>
      <c r="BD612" s="1140"/>
      <c r="BE612" s="1141"/>
      <c r="BF612" s="1212">
        <f t="shared" si="5"/>
        <v>0</v>
      </c>
      <c r="BG612" s="1212"/>
      <c r="BH612" s="1212"/>
      <c r="BI612" s="1212"/>
      <c r="BJ612" s="1212"/>
      <c r="BK612" s="1212">
        <f t="shared" si="6"/>
        <v>0</v>
      </c>
      <c r="BL612" s="1212"/>
      <c r="BM612" s="1212"/>
      <c r="BN612" s="1212"/>
      <c r="BO612" s="1212"/>
      <c r="BP612" s="1212">
        <f t="shared" si="7"/>
        <v>0</v>
      </c>
      <c r="BQ612" s="1212"/>
      <c r="BR612" s="1212"/>
      <c r="BS612" s="1212"/>
      <c r="BT612" s="1212"/>
      <c r="BU612" s="1212">
        <f t="shared" si="8"/>
        <v>0</v>
      </c>
      <c r="BV612" s="1212"/>
      <c r="BW612" s="1212"/>
      <c r="BX612" s="1212"/>
      <c r="BY612" s="1212"/>
      <c r="BZ612" s="1212">
        <f t="shared" si="9"/>
        <v>0</v>
      </c>
      <c r="CA612" s="1212"/>
      <c r="CB612" s="1212"/>
      <c r="CC612" s="1212"/>
      <c r="CD612" s="1212"/>
      <c r="CE612" s="1226">
        <f t="shared" si="10"/>
        <v>0</v>
      </c>
      <c r="CF612" s="1226"/>
      <c r="CG612" s="1226"/>
      <c r="CH612" s="1226"/>
      <c r="CI612" s="1226"/>
      <c r="CJ612" s="1226">
        <f t="shared" si="11"/>
        <v>0</v>
      </c>
      <c r="CK612" s="1226"/>
      <c r="CL612" s="1226"/>
      <c r="CM612" s="1226"/>
      <c r="CN612" s="1226"/>
      <c r="CO612" s="1226">
        <f t="shared" si="12"/>
        <v>0</v>
      </c>
      <c r="CP612" s="1226"/>
      <c r="CQ612" s="1226"/>
      <c r="CR612" s="1226"/>
      <c r="CS612" s="1226"/>
      <c r="CT612" s="1226">
        <f t="shared" si="13"/>
        <v>0</v>
      </c>
      <c r="CU612" s="1226"/>
      <c r="CV612" s="1226"/>
      <c r="CW612" s="1226"/>
      <c r="CX612" s="1226"/>
      <c r="CY612" s="1226">
        <f t="shared" si="14"/>
        <v>0</v>
      </c>
      <c r="CZ612" s="1226"/>
      <c r="DA612" s="1226"/>
      <c r="DB612" s="1226"/>
      <c r="DC612" s="1226"/>
      <c r="DD612" s="1226">
        <f t="shared" si="15"/>
        <v>0</v>
      </c>
      <c r="DE612" s="1226"/>
      <c r="DF612" s="1226"/>
      <c r="DG612" s="1226"/>
      <c r="DH612" s="122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4">
        <f t="shared" si="0"/>
        <v>0</v>
      </c>
      <c r="AS613" s="1535"/>
      <c r="AT613" s="1139">
        <f t="shared" si="1"/>
        <v>0</v>
      </c>
      <c r="AU613" s="1141"/>
      <c r="AV613" s="1534">
        <f t="shared" si="2"/>
        <v>0</v>
      </c>
      <c r="AW613" s="1535"/>
      <c r="AX613" s="1139">
        <f t="shared" si="3"/>
        <v>0</v>
      </c>
      <c r="AY613" s="1141"/>
      <c r="AZ613" s="58"/>
      <c r="BA613" s="1139">
        <f t="shared" si="4"/>
        <v>0</v>
      </c>
      <c r="BB613" s="1140"/>
      <c r="BC613" s="1140"/>
      <c r="BD613" s="1140"/>
      <c r="BE613" s="1141"/>
      <c r="BF613" s="1212">
        <f t="shared" si="5"/>
        <v>0</v>
      </c>
      <c r="BG613" s="1212"/>
      <c r="BH613" s="1212"/>
      <c r="BI613" s="1212"/>
      <c r="BJ613" s="1212"/>
      <c r="BK613" s="1212">
        <f t="shared" si="6"/>
        <v>0</v>
      </c>
      <c r="BL613" s="1212"/>
      <c r="BM613" s="1212"/>
      <c r="BN613" s="1212"/>
      <c r="BO613" s="1212"/>
      <c r="BP613" s="1212">
        <f t="shared" si="7"/>
        <v>0</v>
      </c>
      <c r="BQ613" s="1212"/>
      <c r="BR613" s="1212"/>
      <c r="BS613" s="1212"/>
      <c r="BT613" s="1212"/>
      <c r="BU613" s="1212">
        <f t="shared" si="8"/>
        <v>0</v>
      </c>
      <c r="BV613" s="1212"/>
      <c r="BW613" s="1212"/>
      <c r="BX613" s="1212"/>
      <c r="BY613" s="1212"/>
      <c r="BZ613" s="1212">
        <f t="shared" si="9"/>
        <v>0</v>
      </c>
      <c r="CA613" s="1212"/>
      <c r="CB613" s="1212"/>
      <c r="CC613" s="1212"/>
      <c r="CD613" s="1212"/>
      <c r="CE613" s="1226">
        <f t="shared" si="10"/>
        <v>0</v>
      </c>
      <c r="CF613" s="1226"/>
      <c r="CG613" s="1226"/>
      <c r="CH613" s="1226"/>
      <c r="CI613" s="1226"/>
      <c r="CJ613" s="1226">
        <f t="shared" si="11"/>
        <v>0</v>
      </c>
      <c r="CK613" s="1226"/>
      <c r="CL613" s="1226"/>
      <c r="CM613" s="1226"/>
      <c r="CN613" s="1226"/>
      <c r="CO613" s="1226">
        <f t="shared" si="12"/>
        <v>0</v>
      </c>
      <c r="CP613" s="1226"/>
      <c r="CQ613" s="1226"/>
      <c r="CR613" s="1226"/>
      <c r="CS613" s="1226"/>
      <c r="CT613" s="1226">
        <f t="shared" si="13"/>
        <v>0</v>
      </c>
      <c r="CU613" s="1226"/>
      <c r="CV613" s="1226"/>
      <c r="CW613" s="1226"/>
      <c r="CX613" s="1226"/>
      <c r="CY613" s="1226">
        <f t="shared" si="14"/>
        <v>0</v>
      </c>
      <c r="CZ613" s="1226"/>
      <c r="DA613" s="1226"/>
      <c r="DB613" s="1226"/>
      <c r="DC613" s="1226"/>
      <c r="DD613" s="1226">
        <f t="shared" si="15"/>
        <v>0</v>
      </c>
      <c r="DE613" s="1226"/>
      <c r="DF613" s="1226"/>
      <c r="DG613" s="1226"/>
      <c r="DH613" s="122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4">
        <f>SUM(AT589:AU613)</f>
        <v>82</v>
      </c>
      <c r="AU614" s="1535"/>
      <c r="AV614" s="58"/>
      <c r="AW614" s="58"/>
      <c r="AX614" s="1534">
        <f>SUM(AX589:AY613)</f>
        <v>22</v>
      </c>
      <c r="AY614" s="1535"/>
      <c r="AZ614" s="58"/>
      <c r="BA614" s="1534">
        <f>SUM(BA589:BE613)</f>
        <v>0</v>
      </c>
      <c r="BB614" s="1542"/>
      <c r="BC614" s="1542"/>
      <c r="BD614" s="1542"/>
      <c r="BE614" s="1535"/>
      <c r="BF614" s="1231">
        <f>SUM(BF589:BJ613)</f>
        <v>50</v>
      </c>
      <c r="BG614" s="1231"/>
      <c r="BH614" s="1231"/>
      <c r="BI614" s="1231"/>
      <c r="BJ614" s="1231"/>
      <c r="BK614" s="1231">
        <f>SUM(BK589:BO613)</f>
        <v>27</v>
      </c>
      <c r="BL614" s="1231"/>
      <c r="BM614" s="1231"/>
      <c r="BN614" s="1231"/>
      <c r="BO614" s="1231"/>
      <c r="BP614" s="1231">
        <f>SUM(BP589:BT613)</f>
        <v>27</v>
      </c>
      <c r="BQ614" s="1231"/>
      <c r="BR614" s="1231"/>
      <c r="BS614" s="1231"/>
      <c r="BT614" s="1231"/>
      <c r="BU614" s="1231">
        <f>SUM(BU589:BY613)</f>
        <v>0</v>
      </c>
      <c r="BV614" s="1231"/>
      <c r="BW614" s="1231"/>
      <c r="BX614" s="1231"/>
      <c r="BY614" s="1231"/>
      <c r="BZ614" s="1231">
        <f>SUM(BZ589:CD613)</f>
        <v>0</v>
      </c>
      <c r="CA614" s="1231"/>
      <c r="CB614" s="1231"/>
      <c r="CC614" s="1231"/>
      <c r="CD614" s="1231"/>
      <c r="CE614" s="1231">
        <f>SUM(CE589:CI613)</f>
        <v>0</v>
      </c>
      <c r="CF614" s="1231"/>
      <c r="CG614" s="1231"/>
      <c r="CH614" s="1231"/>
      <c r="CI614" s="1231"/>
      <c r="CJ614" s="1231">
        <f>SUM(CJ589:CN613)</f>
        <v>10</v>
      </c>
      <c r="CK614" s="1231"/>
      <c r="CL614" s="1231"/>
      <c r="CM614" s="1231"/>
      <c r="CN614" s="1231"/>
      <c r="CO614" s="1231">
        <f>SUM(CO589:CS613)</f>
        <v>6</v>
      </c>
      <c r="CP614" s="1231"/>
      <c r="CQ614" s="1231"/>
      <c r="CR614" s="1231"/>
      <c r="CS614" s="1231"/>
      <c r="CT614" s="1231">
        <f>SUM(CT589:CX613)</f>
        <v>6</v>
      </c>
      <c r="CU614" s="1231"/>
      <c r="CV614" s="1231"/>
      <c r="CW614" s="1231"/>
      <c r="CX614" s="1231"/>
      <c r="CY614" s="1231">
        <f>SUM(CY589:DC613)</f>
        <v>0</v>
      </c>
      <c r="CZ614" s="1231"/>
      <c r="DA614" s="1231"/>
      <c r="DB614" s="1231"/>
      <c r="DC614" s="1231"/>
      <c r="DD614" s="1231">
        <f>SUM(DD589:DH613)</f>
        <v>0</v>
      </c>
      <c r="DE614" s="1231"/>
      <c r="DF614" s="1231"/>
      <c r="DG614" s="1231"/>
      <c r="DH614" s="1231"/>
    </row>
    <row r="615" spans="1:112" ht="12.75">
      <c r="B615" s="1449" t="s">
        <v>498</v>
      </c>
      <c r="C615" s="1450"/>
      <c r="D615" s="1450"/>
      <c r="E615" s="1450"/>
      <c r="F615" s="1450"/>
      <c r="G615" s="1450"/>
      <c r="H615" s="1450"/>
      <c r="I615" s="1450"/>
      <c r="J615" s="1450"/>
      <c r="K615" s="1450"/>
      <c r="L615" s="1450"/>
      <c r="M615" s="1450"/>
      <c r="N615" s="1450"/>
      <c r="O615" s="1451"/>
      <c r="P615" s="1458" t="s">
        <v>346</v>
      </c>
      <c r="Q615" s="1459"/>
      <c r="R615" s="1460"/>
      <c r="S615" s="1548" t="s">
        <v>499</v>
      </c>
      <c r="T615" s="1549"/>
      <c r="U615" s="1550"/>
      <c r="V615" s="1448" t="s">
        <v>18</v>
      </c>
      <c r="W615" s="1448"/>
      <c r="X615" s="1448"/>
      <c r="Y615" s="1448"/>
      <c r="Z615" s="1448"/>
      <c r="AA615" s="1448"/>
      <c r="AB615" s="1448" t="s">
        <v>17</v>
      </c>
      <c r="AC615" s="1448"/>
      <c r="AD615" s="1448"/>
      <c r="AE615" s="1448"/>
      <c r="AF615" s="1448"/>
      <c r="AG615" s="1448" t="s">
        <v>500</v>
      </c>
      <c r="AH615" s="1448"/>
      <c r="AI615" s="1448"/>
      <c r="AJ615" s="1448"/>
      <c r="AK615" s="14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2"/>
      <c r="C616" s="1453"/>
      <c r="D616" s="1453"/>
      <c r="E616" s="1453"/>
      <c r="F616" s="1453"/>
      <c r="G616" s="1453"/>
      <c r="H616" s="1453"/>
      <c r="I616" s="1453"/>
      <c r="J616" s="1453"/>
      <c r="K616" s="1453"/>
      <c r="L616" s="1453"/>
      <c r="M616" s="1453"/>
      <c r="N616" s="1453"/>
      <c r="O616" s="1454"/>
      <c r="P616" s="1461"/>
      <c r="Q616" s="1462"/>
      <c r="R616" s="1463"/>
      <c r="S616" s="1551"/>
      <c r="T616" s="1552"/>
      <c r="U616" s="1553"/>
      <c r="V616" s="1448"/>
      <c r="W616" s="1448"/>
      <c r="X616" s="1448"/>
      <c r="Y616" s="1448"/>
      <c r="Z616" s="1448"/>
      <c r="AA616" s="1448"/>
      <c r="AB616" s="1448"/>
      <c r="AC616" s="1448"/>
      <c r="AD616" s="1448"/>
      <c r="AE616" s="1448"/>
      <c r="AF616" s="1448"/>
      <c r="AG616" s="1448"/>
      <c r="AH616" s="1448"/>
      <c r="AI616" s="1448"/>
      <c r="AJ616" s="1448"/>
      <c r="AK616" s="14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5"/>
      <c r="C617" s="1456"/>
      <c r="D617" s="1456"/>
      <c r="E617" s="1456"/>
      <c r="F617" s="1456"/>
      <c r="G617" s="1456"/>
      <c r="H617" s="1456"/>
      <c r="I617" s="1456"/>
      <c r="J617" s="1456"/>
      <c r="K617" s="1456"/>
      <c r="L617" s="1456"/>
      <c r="M617" s="1456"/>
      <c r="N617" s="1456"/>
      <c r="O617" s="1457"/>
      <c r="P617" s="1464"/>
      <c r="Q617" s="1465"/>
      <c r="R617" s="1466"/>
      <c r="S617" s="1554"/>
      <c r="T617" s="1555"/>
      <c r="U617" s="1556"/>
      <c r="V617" s="1448"/>
      <c r="W617" s="1448"/>
      <c r="X617" s="1448"/>
      <c r="Y617" s="1448"/>
      <c r="Z617" s="1448"/>
      <c r="AA617" s="1448"/>
      <c r="AB617" s="1448"/>
      <c r="AC617" s="1448"/>
      <c r="AD617" s="1448"/>
      <c r="AE617" s="1448"/>
      <c r="AF617" s="1448"/>
      <c r="AG617" s="1448"/>
      <c r="AH617" s="1448"/>
      <c r="AI617" s="1448"/>
      <c r="AJ617" s="1448"/>
      <c r="AK617" s="1448"/>
      <c r="AL617" s="58"/>
      <c r="AM617" s="61"/>
      <c r="AN617" s="61"/>
      <c r="AO617" s="61"/>
      <c r="AP617" s="61"/>
      <c r="AQ617" s="61"/>
      <c r="AR617" s="61"/>
      <c r="AS617" s="61"/>
      <c r="AT617" s="61"/>
      <c r="AU617" s="61"/>
      <c r="AV617" s="61"/>
      <c r="AW617" s="61"/>
      <c r="AX617" s="61"/>
      <c r="AY617" s="61"/>
      <c r="AZ617" s="61"/>
      <c r="BA617" s="1139">
        <f>IF(J754="SRO/Studio",O754,0)</f>
        <v>0</v>
      </c>
      <c r="BB617" s="1140"/>
      <c r="BC617" s="1140"/>
      <c r="BD617" s="1140"/>
      <c r="BE617" s="1141"/>
      <c r="BF617" s="1212">
        <f>IF(J754="1 Bedroom",O754,0)</f>
        <v>0</v>
      </c>
      <c r="BG617" s="1212"/>
      <c r="BH617" s="1212"/>
      <c r="BI617" s="1212"/>
      <c r="BJ617" s="1212"/>
      <c r="BK617" s="1212">
        <f>IF(J754="2 Bedrooms",O754,0)</f>
        <v>1</v>
      </c>
      <c r="BL617" s="1212"/>
      <c r="BM617" s="1212"/>
      <c r="BN617" s="1212"/>
      <c r="BO617" s="1212"/>
      <c r="BP617" s="1212">
        <f>IF(J754="3 Bedrooms",O754,0)</f>
        <v>0</v>
      </c>
      <c r="BQ617" s="1212"/>
      <c r="BR617" s="1212"/>
      <c r="BS617" s="1212"/>
      <c r="BT617" s="1212"/>
      <c r="BU617" s="1212">
        <f>IF(J754="4 Bedrooms",O754,0)</f>
        <v>0</v>
      </c>
      <c r="BV617" s="1212"/>
      <c r="BW617" s="1212"/>
      <c r="BX617" s="1212"/>
      <c r="BY617" s="1212"/>
      <c r="BZ617" s="1212">
        <f>IF(J754="5 Bedrooms",O754,0)</f>
        <v>0</v>
      </c>
      <c r="CA617" s="1212"/>
      <c r="CB617" s="1212"/>
      <c r="CC617" s="1212"/>
      <c r="CD617" s="1212"/>
      <c r="CE617" s="58"/>
      <c r="CF617" s="58"/>
      <c r="CG617" s="58"/>
      <c r="CH617" s="58"/>
      <c r="CI617" s="58"/>
      <c r="CJ617" s="58"/>
      <c r="CK617" s="58"/>
      <c r="CL617" s="58"/>
      <c r="CM617" s="58"/>
      <c r="CN617" s="58"/>
      <c r="CO617" s="58"/>
      <c r="CP617" s="58"/>
      <c r="CQ617" s="58"/>
      <c r="CR617" s="58"/>
    </row>
    <row r="618" spans="1:112" ht="12.75" customHeight="1">
      <c r="B618" s="83" t="s">
        <v>119</v>
      </c>
      <c r="C618" s="1242" t="s">
        <v>1781</v>
      </c>
      <c r="D618" s="1242"/>
      <c r="E618" s="1242"/>
      <c r="F618" s="1242"/>
      <c r="G618" s="1242"/>
      <c r="H618" s="1242"/>
      <c r="I618" s="1242"/>
      <c r="J618" s="1242"/>
      <c r="K618" s="1242"/>
      <c r="L618" s="1242"/>
      <c r="M618" s="1242"/>
      <c r="N618" s="1242"/>
      <c r="O618" s="1444"/>
      <c r="P618" s="1239">
        <v>420</v>
      </c>
      <c r="Q618" s="1240"/>
      <c r="R618" s="1241"/>
      <c r="S618" s="1136">
        <v>4.4999999999999998E-2</v>
      </c>
      <c r="T618" s="1137"/>
      <c r="U618" s="1138"/>
      <c r="V618" s="1239"/>
      <c r="W618" s="1240"/>
      <c r="X618" s="1240"/>
      <c r="Y618" s="1240"/>
      <c r="Z618" s="1240"/>
      <c r="AA618" s="1241"/>
      <c r="AB618" s="1244">
        <v>313485.26013362425</v>
      </c>
      <c r="AC618" s="1244"/>
      <c r="AD618" s="1244"/>
      <c r="AE618" s="1244"/>
      <c r="AF618" s="1244"/>
      <c r="AG618" s="1244">
        <v>5520000</v>
      </c>
      <c r="AH618" s="1244"/>
      <c r="AI618" s="1244"/>
      <c r="AJ618" s="1244"/>
      <c r="AK618" s="1244"/>
      <c r="AL618" s="58"/>
      <c r="AM618" s="61"/>
      <c r="AN618" s="61"/>
      <c r="AO618" s="61"/>
      <c r="AP618" s="61"/>
      <c r="AQ618" s="61"/>
      <c r="AR618" s="61"/>
      <c r="AS618" s="61"/>
      <c r="AT618" s="61"/>
      <c r="AU618" s="61"/>
      <c r="AV618" s="61"/>
      <c r="AW618" s="61"/>
      <c r="AX618" s="61"/>
      <c r="AY618" s="61"/>
      <c r="AZ618" s="61"/>
      <c r="BA618" s="1139">
        <f>IF(J755="SRO/Studio",O755,0)</f>
        <v>0</v>
      </c>
      <c r="BB618" s="1140"/>
      <c r="BC618" s="1140"/>
      <c r="BD618" s="1140"/>
      <c r="BE618" s="1141"/>
      <c r="BF618" s="1212">
        <f>IF(J755="1 Bedroom",O755,0)</f>
        <v>0</v>
      </c>
      <c r="BG618" s="1212"/>
      <c r="BH618" s="1212"/>
      <c r="BI618" s="1212"/>
      <c r="BJ618" s="1212"/>
      <c r="BK618" s="1212">
        <f>IF(J755="2 Bedrooms",O755,0)</f>
        <v>0</v>
      </c>
      <c r="BL618" s="1212"/>
      <c r="BM618" s="1212"/>
      <c r="BN618" s="1212"/>
      <c r="BO618" s="1212"/>
      <c r="BP618" s="1212">
        <f>IF(J755="3 Bedrooms",O755,0)</f>
        <v>0</v>
      </c>
      <c r="BQ618" s="1212"/>
      <c r="BR618" s="1212"/>
      <c r="BS618" s="1212"/>
      <c r="BT618" s="1212"/>
      <c r="BU618" s="1212">
        <f>IF(J755="4 Bedrooms",O755,0)</f>
        <v>0</v>
      </c>
      <c r="BV618" s="1212"/>
      <c r="BW618" s="1212"/>
      <c r="BX618" s="1212"/>
      <c r="BY618" s="1212"/>
      <c r="BZ618" s="1212">
        <f>IF(J755="5 Bedrooms",O755,0)</f>
        <v>0</v>
      </c>
      <c r="CA618" s="1212"/>
      <c r="CB618" s="1212"/>
      <c r="CC618" s="1212"/>
      <c r="CD618" s="1212"/>
      <c r="CE618" s="58"/>
      <c r="CF618" s="58"/>
      <c r="CG618" s="58"/>
      <c r="CH618" s="58"/>
      <c r="CI618" s="58"/>
      <c r="CJ618" s="58"/>
      <c r="CK618" s="58"/>
      <c r="CL618" s="58"/>
      <c r="CM618" s="58"/>
      <c r="CN618" s="58"/>
      <c r="CO618" s="58"/>
      <c r="CP618" s="58"/>
      <c r="CQ618" s="58"/>
      <c r="CR618" s="58"/>
    </row>
    <row r="619" spans="1:112" ht="12.75">
      <c r="B619" s="84" t="s">
        <v>120</v>
      </c>
      <c r="C619" s="1242" t="s">
        <v>1681</v>
      </c>
      <c r="D619" s="1242"/>
      <c r="E619" s="1242"/>
      <c r="F619" s="1242"/>
      <c r="G619" s="1242"/>
      <c r="H619" s="1242"/>
      <c r="I619" s="1242"/>
      <c r="J619" s="1242"/>
      <c r="K619" s="1242"/>
      <c r="L619" s="1242"/>
      <c r="M619" s="1242"/>
      <c r="N619" s="1242"/>
      <c r="O619" s="1444"/>
      <c r="P619" s="1239">
        <v>660</v>
      </c>
      <c r="Q619" s="1240"/>
      <c r="R619" s="1241"/>
      <c r="S619" s="1136">
        <v>0.03</v>
      </c>
      <c r="T619" s="1137"/>
      <c r="U619" s="1138"/>
      <c r="V619" s="1239" t="s">
        <v>504</v>
      </c>
      <c r="W619" s="1240"/>
      <c r="X619" s="1240"/>
      <c r="Y619" s="1240"/>
      <c r="Z619" s="1240"/>
      <c r="AA619" s="1241"/>
      <c r="AB619" s="1244">
        <v>35260.7094</v>
      </c>
      <c r="AC619" s="1244"/>
      <c r="AD619" s="1244"/>
      <c r="AE619" s="1244"/>
      <c r="AF619" s="1244"/>
      <c r="AG619" s="1244">
        <v>8395407</v>
      </c>
      <c r="AH619" s="1244"/>
      <c r="AI619" s="1244"/>
      <c r="AJ619" s="1244"/>
      <c r="AK619" s="1244"/>
      <c r="AL619" s="58"/>
      <c r="AM619" s="61"/>
      <c r="AN619" s="61"/>
      <c r="AO619" s="61"/>
      <c r="AP619" s="61"/>
      <c r="AQ619" s="61"/>
      <c r="AR619" s="61"/>
      <c r="AS619" s="61"/>
      <c r="AT619" s="61"/>
      <c r="AU619" s="61"/>
      <c r="AV619" s="61"/>
      <c r="AW619" s="61"/>
      <c r="AX619" s="61"/>
      <c r="AY619" s="61"/>
      <c r="AZ619" s="61"/>
      <c r="BA619" s="1139">
        <f>IF(J756="SRO/Studio",O756,0)</f>
        <v>0</v>
      </c>
      <c r="BB619" s="1140"/>
      <c r="BC619" s="1140"/>
      <c r="BD619" s="1140"/>
      <c r="BE619" s="1141"/>
      <c r="BF619" s="1212">
        <f>IF(J756="1 Bedroom",O756,0)</f>
        <v>0</v>
      </c>
      <c r="BG619" s="1212"/>
      <c r="BH619" s="1212"/>
      <c r="BI619" s="1212"/>
      <c r="BJ619" s="1212"/>
      <c r="BK619" s="1212">
        <f>IF(J756="2 Bedrooms",O756,0)</f>
        <v>0</v>
      </c>
      <c r="BL619" s="1212"/>
      <c r="BM619" s="1212"/>
      <c r="BN619" s="1212"/>
      <c r="BO619" s="1212"/>
      <c r="BP619" s="1212">
        <f>IF(J756="3 Bedrooms",O756,0)</f>
        <v>0</v>
      </c>
      <c r="BQ619" s="1212"/>
      <c r="BR619" s="1212"/>
      <c r="BS619" s="1212"/>
      <c r="BT619" s="1212"/>
      <c r="BU619" s="1212">
        <f>IF(J756="4 Bedrooms",O756,0)</f>
        <v>0</v>
      </c>
      <c r="BV619" s="1212"/>
      <c r="BW619" s="1212"/>
      <c r="BX619" s="1212"/>
      <c r="BY619" s="1212"/>
      <c r="BZ619" s="1212">
        <f>IF(J756="5 Bedrooms",O756,0)</f>
        <v>0</v>
      </c>
      <c r="CA619" s="1212"/>
      <c r="CB619" s="1212"/>
      <c r="CC619" s="1212"/>
      <c r="CD619" s="1212"/>
      <c r="CE619" s="58"/>
      <c r="CF619" s="58"/>
      <c r="CG619" s="58"/>
      <c r="CH619" s="58"/>
      <c r="CI619" s="58"/>
      <c r="CJ619" s="58"/>
      <c r="CK619" s="58"/>
      <c r="CL619" s="58"/>
      <c r="CM619" s="58"/>
      <c r="CN619" s="58"/>
      <c r="CO619" s="58"/>
      <c r="CP619" s="58"/>
      <c r="CQ619" s="58"/>
      <c r="CR619" s="58"/>
    </row>
    <row r="620" spans="1:112" ht="12.75">
      <c r="B620" s="84" t="s">
        <v>126</v>
      </c>
      <c r="C620" s="1242" t="s">
        <v>1682</v>
      </c>
      <c r="D620" s="1242"/>
      <c r="E620" s="1242"/>
      <c r="F620" s="1242"/>
      <c r="G620" s="1242"/>
      <c r="H620" s="1242"/>
      <c r="I620" s="1242"/>
      <c r="J620" s="1242"/>
      <c r="K620" s="1242"/>
      <c r="L620" s="1242"/>
      <c r="M620" s="1242"/>
      <c r="N620" s="1242"/>
      <c r="O620" s="1444"/>
      <c r="P620" s="1239">
        <v>180</v>
      </c>
      <c r="Q620" s="1240"/>
      <c r="R620" s="1241"/>
      <c r="S620" s="1136">
        <v>1.4999999999999999E-2</v>
      </c>
      <c r="T620" s="1137"/>
      <c r="U620" s="1138"/>
      <c r="V620" s="1239" t="s">
        <v>504</v>
      </c>
      <c r="W620" s="1240"/>
      <c r="X620" s="1240"/>
      <c r="Y620" s="1240"/>
      <c r="Z620" s="1240"/>
      <c r="AA620" s="1241"/>
      <c r="AB620" s="1244"/>
      <c r="AC620" s="1244"/>
      <c r="AD620" s="1244"/>
      <c r="AE620" s="1244"/>
      <c r="AF620" s="1244"/>
      <c r="AG620" s="1244">
        <v>1318068.6915196255</v>
      </c>
      <c r="AH620" s="1244"/>
      <c r="AI620" s="1244"/>
      <c r="AJ620" s="1244"/>
      <c r="AK620" s="1244"/>
      <c r="AL620" s="58"/>
      <c r="AM620" s="61"/>
      <c r="AN620" s="61"/>
      <c r="AO620" s="61"/>
      <c r="AP620" s="61"/>
      <c r="AQ620" s="61"/>
      <c r="AR620" s="61"/>
      <c r="AS620" s="61"/>
      <c r="AT620" s="61"/>
      <c r="AU620" s="61"/>
      <c r="AV620" s="61"/>
      <c r="AW620" s="61"/>
      <c r="AX620" s="61"/>
      <c r="AY620" s="61"/>
      <c r="AZ620" s="61"/>
      <c r="BA620" s="1139">
        <f>IF(J757="SRO/Studio",O757,0)</f>
        <v>0</v>
      </c>
      <c r="BB620" s="1140"/>
      <c r="BC620" s="1140"/>
      <c r="BD620" s="1140"/>
      <c r="BE620" s="1141"/>
      <c r="BF620" s="1212">
        <f>IF(J757="1 Bedroom",O757,0)</f>
        <v>0</v>
      </c>
      <c r="BG620" s="1212"/>
      <c r="BH620" s="1212"/>
      <c r="BI620" s="1212"/>
      <c r="BJ620" s="1212"/>
      <c r="BK620" s="1212">
        <f>IF(J757="2 Bedrooms",O757,0)</f>
        <v>0</v>
      </c>
      <c r="BL620" s="1212"/>
      <c r="BM620" s="1212"/>
      <c r="BN620" s="1212"/>
      <c r="BO620" s="1212"/>
      <c r="BP620" s="1212">
        <f>IF(J757="3 Bedrooms",O757,0)</f>
        <v>0</v>
      </c>
      <c r="BQ620" s="1212"/>
      <c r="BR620" s="1212"/>
      <c r="BS620" s="1212"/>
      <c r="BT620" s="1212"/>
      <c r="BU620" s="1212">
        <f>IF(J757="4 Bedrooms",O757,0)</f>
        <v>0</v>
      </c>
      <c r="BV620" s="1212"/>
      <c r="BW620" s="1212"/>
      <c r="BX620" s="1212"/>
      <c r="BY620" s="1212"/>
      <c r="BZ620" s="1212">
        <f>IF(J757="5 Bedrooms",O757,0)</f>
        <v>0</v>
      </c>
      <c r="CA620" s="1212"/>
      <c r="CB620" s="1212"/>
      <c r="CC620" s="1212"/>
      <c r="CD620" s="1212"/>
      <c r="CE620" s="58"/>
      <c r="CF620" s="58"/>
      <c r="CG620" s="58"/>
      <c r="CH620" s="58"/>
      <c r="CI620" s="58"/>
      <c r="CJ620" s="58"/>
      <c r="CK620" s="58"/>
      <c r="CL620" s="58"/>
      <c r="CM620" s="58"/>
      <c r="CN620" s="58"/>
      <c r="CO620" s="58"/>
      <c r="CP620" s="58"/>
      <c r="CQ620" s="58"/>
      <c r="CR620" s="58"/>
    </row>
    <row r="621" spans="1:112" ht="12.75">
      <c r="B621" s="84" t="s">
        <v>632</v>
      </c>
      <c r="C621" s="1242" t="s">
        <v>1683</v>
      </c>
      <c r="D621" s="1242"/>
      <c r="E621" s="1242"/>
      <c r="F621" s="1242"/>
      <c r="G621" s="1242"/>
      <c r="H621" s="1242"/>
      <c r="I621" s="1242"/>
      <c r="J621" s="1242"/>
      <c r="K621" s="1242"/>
      <c r="L621" s="1242"/>
      <c r="M621" s="1242"/>
      <c r="N621" s="1242"/>
      <c r="O621" s="1444"/>
      <c r="P621" s="1239" t="s">
        <v>642</v>
      </c>
      <c r="Q621" s="1240"/>
      <c r="R621" s="1241"/>
      <c r="S621" s="1136" t="s">
        <v>642</v>
      </c>
      <c r="T621" s="1137"/>
      <c r="U621" s="1138"/>
      <c r="V621" s="1239"/>
      <c r="W621" s="1240"/>
      <c r="X621" s="1240"/>
      <c r="Y621" s="1240"/>
      <c r="Z621" s="1240"/>
      <c r="AA621" s="1241"/>
      <c r="AB621" s="1244"/>
      <c r="AC621" s="1244"/>
      <c r="AD621" s="1244"/>
      <c r="AE621" s="1244"/>
      <c r="AF621" s="1244"/>
      <c r="AG621" s="1244">
        <v>1696481.9401280601</v>
      </c>
      <c r="AH621" s="1244"/>
      <c r="AI621" s="1244"/>
      <c r="AJ621" s="1244"/>
      <c r="AK621" s="1244"/>
      <c r="AL621" s="58"/>
      <c r="AM621" s="61"/>
      <c r="AN621" s="61"/>
      <c r="AO621" s="61"/>
      <c r="AP621" s="61"/>
      <c r="AQ621" s="61"/>
      <c r="AR621" s="61"/>
      <c r="AS621" s="61"/>
      <c r="AT621" s="61"/>
      <c r="AU621" s="61"/>
      <c r="AV621" s="61"/>
      <c r="AW621" s="61"/>
      <c r="AX621" s="61"/>
      <c r="AY621" s="61"/>
      <c r="AZ621" s="61"/>
      <c r="BA621" s="1142">
        <f>SUM(BA617:BE620)</f>
        <v>0</v>
      </c>
      <c r="BB621" s="1143"/>
      <c r="BC621" s="1143"/>
      <c r="BD621" s="1143"/>
      <c r="BE621" s="1144"/>
      <c r="BF621" s="1142">
        <f>SUM(BF617:BJ620)</f>
        <v>0</v>
      </c>
      <c r="BG621" s="1143"/>
      <c r="BH621" s="1143"/>
      <c r="BI621" s="1143"/>
      <c r="BJ621" s="1144"/>
      <c r="BK621" s="1142">
        <f>SUM(BK617:BO620)</f>
        <v>1</v>
      </c>
      <c r="BL621" s="1143"/>
      <c r="BM621" s="1143"/>
      <c r="BN621" s="1143"/>
      <c r="BO621" s="1144"/>
      <c r="BP621" s="1142">
        <f>SUM(BP617:BT620)</f>
        <v>0</v>
      </c>
      <c r="BQ621" s="1143"/>
      <c r="BR621" s="1143"/>
      <c r="BS621" s="1143"/>
      <c r="BT621" s="1144"/>
      <c r="BU621" s="1142">
        <f>SUM(BU617:BY620)</f>
        <v>0</v>
      </c>
      <c r="BV621" s="1143"/>
      <c r="BW621" s="1143"/>
      <c r="BX621" s="1143"/>
      <c r="BY621" s="1144"/>
      <c r="BZ621" s="1142">
        <f>SUM(BZ617:CD620)</f>
        <v>0</v>
      </c>
      <c r="CA621" s="1143"/>
      <c r="CB621" s="1143"/>
      <c r="CC621" s="1143"/>
      <c r="CD621" s="1144"/>
      <c r="CE621" s="58"/>
      <c r="CF621" s="58"/>
      <c r="CG621" s="58"/>
      <c r="CH621" s="58"/>
      <c r="CI621" s="58"/>
      <c r="CJ621" s="58"/>
      <c r="CK621" s="58"/>
      <c r="CL621" s="58"/>
      <c r="CM621" s="58"/>
      <c r="CN621" s="58"/>
      <c r="CO621" s="58"/>
      <c r="CP621" s="58"/>
      <c r="CQ621" s="58"/>
      <c r="CR621" s="58"/>
    </row>
    <row r="622" spans="1:112" ht="12.75">
      <c r="B622" s="84" t="s">
        <v>842</v>
      </c>
      <c r="C622" s="1242" t="str">
        <f>+C550</f>
        <v>HOME Loan - County of Riverside</v>
      </c>
      <c r="D622" s="1242"/>
      <c r="E622" s="1242"/>
      <c r="F622" s="1242"/>
      <c r="G622" s="1242"/>
      <c r="H622" s="1242"/>
      <c r="I622" s="1242"/>
      <c r="J622" s="1242"/>
      <c r="K622" s="1242"/>
      <c r="L622" s="1242"/>
      <c r="M622" s="1242"/>
      <c r="N622" s="1242"/>
      <c r="O622" s="1444"/>
      <c r="P622" s="1239">
        <v>660</v>
      </c>
      <c r="Q622" s="1240"/>
      <c r="R622" s="1241"/>
      <c r="S622" s="1136">
        <v>0.03</v>
      </c>
      <c r="T622" s="1137"/>
      <c r="U622" s="1138"/>
      <c r="V622" s="1239" t="s">
        <v>504</v>
      </c>
      <c r="W622" s="1240"/>
      <c r="X622" s="1240"/>
      <c r="Y622" s="1240"/>
      <c r="Z622" s="1240"/>
      <c r="AA622" s="1241"/>
      <c r="AB622" s="1244"/>
      <c r="AC622" s="1244"/>
      <c r="AD622" s="1244"/>
      <c r="AE622" s="1244"/>
      <c r="AF622" s="1244"/>
      <c r="AG622" s="1244">
        <v>1000000</v>
      </c>
      <c r="AH622" s="1244"/>
      <c r="AI622" s="1244"/>
      <c r="AJ622" s="1244"/>
      <c r="AK622" s="12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42" t="s">
        <v>1676</v>
      </c>
      <c r="D623" s="1242"/>
      <c r="E623" s="1242"/>
      <c r="F623" s="1242"/>
      <c r="G623" s="1242"/>
      <c r="H623" s="1242"/>
      <c r="I623" s="1242"/>
      <c r="J623" s="1242"/>
      <c r="K623" s="1242"/>
      <c r="L623" s="1242"/>
      <c r="M623" s="1242"/>
      <c r="N623" s="1242"/>
      <c r="O623" s="1444"/>
      <c r="P623" s="1239">
        <f>55*12</f>
        <v>660</v>
      </c>
      <c r="Q623" s="1240"/>
      <c r="R623" s="1241"/>
      <c r="S623" s="1136">
        <v>0.03</v>
      </c>
      <c r="T623" s="1137"/>
      <c r="U623" s="1138"/>
      <c r="V623" s="1239" t="s">
        <v>504</v>
      </c>
      <c r="W623" s="1240"/>
      <c r="X623" s="1240"/>
      <c r="Y623" s="1240"/>
      <c r="Z623" s="1240"/>
      <c r="AA623" s="1241"/>
      <c r="AB623" s="1244"/>
      <c r="AC623" s="1244"/>
      <c r="AD623" s="1244"/>
      <c r="AE623" s="1244"/>
      <c r="AF623" s="1244"/>
      <c r="AG623" s="1244">
        <v>9240000</v>
      </c>
      <c r="AH623" s="1244"/>
      <c r="AI623" s="1244"/>
      <c r="AJ623" s="1244"/>
      <c r="AK623" s="1244"/>
      <c r="AL623" s="58"/>
      <c r="AM623" s="61"/>
      <c r="AN623" s="61"/>
      <c r="AO623" s="61"/>
      <c r="AP623" s="61"/>
      <c r="AQ623" s="61"/>
      <c r="AR623" s="61"/>
      <c r="AS623" s="61"/>
      <c r="AT623" s="61"/>
      <c r="AU623" s="61"/>
      <c r="AV623" s="61"/>
      <c r="AW623" s="61"/>
      <c r="AX623" s="61"/>
      <c r="AY623" s="61"/>
      <c r="AZ623" s="61"/>
      <c r="BA623" s="1139">
        <f t="shared" ref="BA623:BA632" si="16">IF(J768="SRO/Studio",O768,0)</f>
        <v>0</v>
      </c>
      <c r="BB623" s="1140"/>
      <c r="BC623" s="1140"/>
      <c r="BD623" s="1140"/>
      <c r="BE623" s="1141"/>
      <c r="BF623" s="1212">
        <f t="shared" ref="BF623:BF632" si="17">IF(J768="1 Bedroom",O768,0)</f>
        <v>0</v>
      </c>
      <c r="BG623" s="1212"/>
      <c r="BH623" s="1212"/>
      <c r="BI623" s="1212"/>
      <c r="BJ623" s="1212"/>
      <c r="BK623" s="1212">
        <f t="shared" ref="BK623:BK632" si="18">IF(J768="2 Bedrooms",O768,0)</f>
        <v>0</v>
      </c>
      <c r="BL623" s="1212"/>
      <c r="BM623" s="1212"/>
      <c r="BN623" s="1212"/>
      <c r="BO623" s="1212"/>
      <c r="BP623" s="1212">
        <f t="shared" ref="BP623:BP632" si="19">IF(J768="3 Bedrooms",O768,0)</f>
        <v>0</v>
      </c>
      <c r="BQ623" s="1212"/>
      <c r="BR623" s="1212"/>
      <c r="BS623" s="1212"/>
      <c r="BT623" s="1212"/>
      <c r="BU623" s="1212">
        <f t="shared" ref="BU623:BU632" si="20">IF(J768="4 Bedrooms",O768,0)</f>
        <v>0</v>
      </c>
      <c r="BV623" s="1212"/>
      <c r="BW623" s="1212"/>
      <c r="BX623" s="1212"/>
      <c r="BY623" s="1212"/>
      <c r="BZ623" s="1212">
        <f t="shared" ref="BZ623:BZ632" si="21">IF(J768="5 Bedrooms",O768,0)</f>
        <v>0</v>
      </c>
      <c r="CA623" s="1212"/>
      <c r="CB623" s="1212"/>
      <c r="CC623" s="1212"/>
      <c r="CD623" s="1212"/>
      <c r="CE623" s="58"/>
      <c r="CF623" s="58"/>
      <c r="CG623" s="58"/>
      <c r="CH623" s="58"/>
      <c r="CI623" s="58"/>
      <c r="CJ623" s="58"/>
      <c r="CK623" s="58"/>
      <c r="CL623" s="58"/>
      <c r="CM623" s="58"/>
      <c r="CN623" s="58"/>
      <c r="CO623" s="58"/>
      <c r="CP623" s="58"/>
      <c r="CQ623" s="58"/>
      <c r="CR623" s="58"/>
    </row>
    <row r="624" spans="1:112" ht="12.75">
      <c r="B624" s="84" t="s">
        <v>501</v>
      </c>
      <c r="C624" s="1242" t="s">
        <v>1677</v>
      </c>
      <c r="D624" s="1242"/>
      <c r="E624" s="1242"/>
      <c r="F624" s="1242"/>
      <c r="G624" s="1242"/>
      <c r="H624" s="1242"/>
      <c r="I624" s="1242"/>
      <c r="J624" s="1242"/>
      <c r="K624" s="1242"/>
      <c r="L624" s="1242"/>
      <c r="M624" s="1242"/>
      <c r="N624" s="1242"/>
      <c r="O624" s="1444"/>
      <c r="P624" s="1239">
        <v>660</v>
      </c>
      <c r="Q624" s="1240"/>
      <c r="R624" s="1241"/>
      <c r="S624" s="1136">
        <v>0.03</v>
      </c>
      <c r="T624" s="1137"/>
      <c r="U624" s="1138"/>
      <c r="V624" s="1239" t="s">
        <v>504</v>
      </c>
      <c r="W624" s="1240"/>
      <c r="X624" s="1240"/>
      <c r="Y624" s="1240"/>
      <c r="Z624" s="1240"/>
      <c r="AA624" s="1241"/>
      <c r="AB624" s="1244"/>
      <c r="AC624" s="1244"/>
      <c r="AD624" s="1244"/>
      <c r="AE624" s="1244"/>
      <c r="AF624" s="1244"/>
      <c r="AG624" s="1244">
        <v>1160000</v>
      </c>
      <c r="AH624" s="1244"/>
      <c r="AI624" s="1244"/>
      <c r="AJ624" s="1244"/>
      <c r="AK624" s="1244"/>
      <c r="AL624" s="58"/>
      <c r="AM624" s="61"/>
      <c r="AN624" s="61"/>
      <c r="AO624" s="61"/>
      <c r="AP624" s="61"/>
      <c r="AQ624" s="61"/>
      <c r="AR624" s="61"/>
      <c r="AS624" s="61"/>
      <c r="AT624" s="61"/>
      <c r="AU624" s="61"/>
      <c r="AV624" s="61"/>
      <c r="AW624" s="61"/>
      <c r="AX624" s="61"/>
      <c r="AY624" s="61"/>
      <c r="AZ624" s="61"/>
      <c r="BA624" s="1139">
        <f t="shared" si="16"/>
        <v>0</v>
      </c>
      <c r="BB624" s="1140"/>
      <c r="BC624" s="1140"/>
      <c r="BD624" s="1140"/>
      <c r="BE624" s="1141"/>
      <c r="BF624" s="1212">
        <f t="shared" si="17"/>
        <v>0</v>
      </c>
      <c r="BG624" s="1212"/>
      <c r="BH624" s="1212"/>
      <c r="BI624" s="1212"/>
      <c r="BJ624" s="1212"/>
      <c r="BK624" s="1212">
        <f t="shared" si="18"/>
        <v>0</v>
      </c>
      <c r="BL624" s="1212"/>
      <c r="BM624" s="1212"/>
      <c r="BN624" s="1212"/>
      <c r="BO624" s="1212"/>
      <c r="BP624" s="1212">
        <f t="shared" si="19"/>
        <v>0</v>
      </c>
      <c r="BQ624" s="1212"/>
      <c r="BR624" s="1212"/>
      <c r="BS624" s="1212"/>
      <c r="BT624" s="1212"/>
      <c r="BU624" s="1212">
        <f t="shared" si="20"/>
        <v>0</v>
      </c>
      <c r="BV624" s="1212"/>
      <c r="BW624" s="1212"/>
      <c r="BX624" s="1212"/>
      <c r="BY624" s="1212"/>
      <c r="BZ624" s="1212">
        <f t="shared" si="21"/>
        <v>0</v>
      </c>
      <c r="CA624" s="1212"/>
      <c r="CB624" s="1212"/>
      <c r="CC624" s="1212"/>
      <c r="CD624" s="1212"/>
      <c r="CE624" s="58"/>
      <c r="CF624" s="58"/>
      <c r="CG624" s="58"/>
      <c r="CH624" s="58"/>
      <c r="CI624" s="58"/>
      <c r="CJ624" s="58"/>
      <c r="CK624" s="58"/>
      <c r="CL624" s="58"/>
      <c r="CM624" s="58"/>
      <c r="CN624" s="58"/>
      <c r="CO624" s="58"/>
      <c r="CP624" s="58"/>
      <c r="CQ624" s="58"/>
      <c r="CR624" s="58"/>
    </row>
    <row r="625" spans="1:96" ht="12.75">
      <c r="B625" s="84" t="s">
        <v>502</v>
      </c>
      <c r="C625" s="1242" t="s">
        <v>1684</v>
      </c>
      <c r="D625" s="1242"/>
      <c r="E625" s="1242"/>
      <c r="F625" s="1242"/>
      <c r="G625" s="1242"/>
      <c r="H625" s="1242"/>
      <c r="I625" s="1242"/>
      <c r="J625" s="1242"/>
      <c r="K625" s="1242"/>
      <c r="L625" s="1242"/>
      <c r="M625" s="1242"/>
      <c r="N625" s="1242"/>
      <c r="O625" s="1444"/>
      <c r="P625" s="1239" t="s">
        <v>642</v>
      </c>
      <c r="Q625" s="1240"/>
      <c r="R625" s="1241"/>
      <c r="S625" s="1136" t="s">
        <v>642</v>
      </c>
      <c r="T625" s="1137"/>
      <c r="U625" s="1138"/>
      <c r="V625" s="1239" t="s">
        <v>504</v>
      </c>
      <c r="W625" s="1240"/>
      <c r="X625" s="1240"/>
      <c r="Y625" s="1240"/>
      <c r="Z625" s="1240"/>
      <c r="AA625" s="1241"/>
      <c r="AB625" s="1244"/>
      <c r="AC625" s="1244"/>
      <c r="AD625" s="1244"/>
      <c r="AE625" s="1244"/>
      <c r="AF625" s="1244"/>
      <c r="AG625" s="1244">
        <v>325500</v>
      </c>
      <c r="AH625" s="1244"/>
      <c r="AI625" s="1244"/>
      <c r="AJ625" s="1244"/>
      <c r="AK625" s="1244"/>
      <c r="AL625" s="58"/>
      <c r="AM625" s="61"/>
      <c r="AN625" s="61"/>
      <c r="AO625" s="61"/>
      <c r="AP625" s="61"/>
      <c r="AQ625" s="61"/>
      <c r="AR625" s="61"/>
      <c r="AS625" s="61"/>
      <c r="AT625" s="61"/>
      <c r="AU625" s="61"/>
      <c r="AV625" s="61"/>
      <c r="AW625" s="61"/>
      <c r="AX625" s="61"/>
      <c r="AY625" s="61"/>
      <c r="AZ625" s="61"/>
      <c r="BA625" s="1139">
        <f t="shared" si="16"/>
        <v>0</v>
      </c>
      <c r="BB625" s="1140"/>
      <c r="BC625" s="1140"/>
      <c r="BD625" s="1140"/>
      <c r="BE625" s="1141"/>
      <c r="BF625" s="1212">
        <f t="shared" si="17"/>
        <v>0</v>
      </c>
      <c r="BG625" s="1212"/>
      <c r="BH625" s="1212"/>
      <c r="BI625" s="1212"/>
      <c r="BJ625" s="1212"/>
      <c r="BK625" s="1212">
        <f t="shared" si="18"/>
        <v>0</v>
      </c>
      <c r="BL625" s="1212"/>
      <c r="BM625" s="1212"/>
      <c r="BN625" s="1212"/>
      <c r="BO625" s="1212"/>
      <c r="BP625" s="1212">
        <f t="shared" si="19"/>
        <v>0</v>
      </c>
      <c r="BQ625" s="1212"/>
      <c r="BR625" s="1212"/>
      <c r="BS625" s="1212"/>
      <c r="BT625" s="1212"/>
      <c r="BU625" s="1212">
        <f t="shared" si="20"/>
        <v>0</v>
      </c>
      <c r="BV625" s="1212"/>
      <c r="BW625" s="1212"/>
      <c r="BX625" s="1212"/>
      <c r="BY625" s="1212"/>
      <c r="BZ625" s="1212">
        <f t="shared" si="21"/>
        <v>0</v>
      </c>
      <c r="CA625" s="1212"/>
      <c r="CB625" s="1212"/>
      <c r="CC625" s="1212"/>
      <c r="CD625" s="1212"/>
      <c r="CE625" s="58"/>
      <c r="CF625" s="58"/>
      <c r="CG625" s="58"/>
      <c r="CH625" s="58"/>
      <c r="CI625" s="58"/>
      <c r="CJ625" s="58"/>
      <c r="CK625" s="58"/>
      <c r="CL625" s="58"/>
      <c r="CM625" s="58"/>
      <c r="CN625" s="58"/>
      <c r="CO625" s="58"/>
      <c r="CP625" s="58"/>
      <c r="CQ625" s="58"/>
      <c r="CR625" s="58"/>
    </row>
    <row r="626" spans="1:96" ht="12.75">
      <c r="B626" s="84" t="s">
        <v>508</v>
      </c>
      <c r="C626" s="1242" t="s">
        <v>1799</v>
      </c>
      <c r="D626" s="1105"/>
      <c r="E626" s="1105"/>
      <c r="F626" s="1105"/>
      <c r="G626" s="1105"/>
      <c r="H626" s="1105"/>
      <c r="I626" s="1105"/>
      <c r="J626" s="1105"/>
      <c r="K626" s="1105"/>
      <c r="L626" s="1105"/>
      <c r="M626" s="1105"/>
      <c r="N626" s="1105"/>
      <c r="O626" s="1243"/>
      <c r="P626" s="1239" t="s">
        <v>642</v>
      </c>
      <c r="Q626" s="1240"/>
      <c r="R626" s="1241"/>
      <c r="S626" s="1136" t="s">
        <v>642</v>
      </c>
      <c r="T626" s="1137"/>
      <c r="U626" s="1138"/>
      <c r="V626" s="1239"/>
      <c r="W626" s="1240"/>
      <c r="X626" s="1240"/>
      <c r="Y626" s="1240"/>
      <c r="Z626" s="1240"/>
      <c r="AA626" s="1241"/>
      <c r="AB626" s="1244"/>
      <c r="AC626" s="1244"/>
      <c r="AD626" s="1244"/>
      <c r="AE626" s="1244"/>
      <c r="AF626" s="1244"/>
      <c r="AG626" s="1244">
        <v>273672.23769600003</v>
      </c>
      <c r="AH626" s="1244"/>
      <c r="AI626" s="1244"/>
      <c r="AJ626" s="1244"/>
      <c r="AK626" s="1244"/>
      <c r="AL626" s="58"/>
      <c r="AM626" s="58"/>
      <c r="AN626" s="58"/>
      <c r="AO626" s="58"/>
      <c r="AP626" s="58"/>
      <c r="AQ626" s="58"/>
      <c r="AR626" s="58"/>
      <c r="AS626" s="58"/>
      <c r="AT626" s="58"/>
      <c r="AU626" s="58"/>
      <c r="AV626" s="58"/>
      <c r="AW626" s="58"/>
      <c r="AX626" s="58"/>
      <c r="AY626" s="58"/>
      <c r="AZ626" s="58"/>
      <c r="BA626" s="1139">
        <f t="shared" si="16"/>
        <v>0</v>
      </c>
      <c r="BB626" s="1140"/>
      <c r="BC626" s="1140"/>
      <c r="BD626" s="1140"/>
      <c r="BE626" s="1141"/>
      <c r="BF626" s="1212">
        <f t="shared" si="17"/>
        <v>0</v>
      </c>
      <c r="BG626" s="1212"/>
      <c r="BH626" s="1212"/>
      <c r="BI626" s="1212"/>
      <c r="BJ626" s="1212"/>
      <c r="BK626" s="1212">
        <f t="shared" si="18"/>
        <v>0</v>
      </c>
      <c r="BL626" s="1212"/>
      <c r="BM626" s="1212"/>
      <c r="BN626" s="1212"/>
      <c r="BO626" s="1212"/>
      <c r="BP626" s="1212">
        <f t="shared" si="19"/>
        <v>0</v>
      </c>
      <c r="BQ626" s="1212"/>
      <c r="BR626" s="1212"/>
      <c r="BS626" s="1212"/>
      <c r="BT626" s="1212"/>
      <c r="BU626" s="1212">
        <f t="shared" si="20"/>
        <v>0</v>
      </c>
      <c r="BV626" s="1212"/>
      <c r="BW626" s="1212"/>
      <c r="BX626" s="1212"/>
      <c r="BY626" s="1212"/>
      <c r="BZ626" s="1212">
        <f t="shared" si="21"/>
        <v>0</v>
      </c>
      <c r="CA626" s="1212"/>
      <c r="CB626" s="1212"/>
      <c r="CC626" s="1212"/>
      <c r="CD626" s="1212"/>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43"/>
      <c r="P627" s="1239"/>
      <c r="Q627" s="1240"/>
      <c r="R627" s="1241"/>
      <c r="S627" s="1136"/>
      <c r="T627" s="1137"/>
      <c r="U627" s="1138"/>
      <c r="V627" s="1239"/>
      <c r="W627" s="1240"/>
      <c r="X627" s="1240"/>
      <c r="Y627" s="1240"/>
      <c r="Z627" s="1240"/>
      <c r="AA627" s="1241"/>
      <c r="AB627" s="1244"/>
      <c r="AC627" s="1244"/>
      <c r="AD627" s="1244"/>
      <c r="AE627" s="1244"/>
      <c r="AF627" s="1244"/>
      <c r="AG627" s="1244"/>
      <c r="AH627" s="1244"/>
      <c r="AI627" s="1244"/>
      <c r="AJ627" s="1244"/>
      <c r="AK627" s="1244"/>
      <c r="AL627" s="58"/>
      <c r="AM627" s="58"/>
      <c r="AN627" s="58"/>
      <c r="AO627" s="58"/>
      <c r="AP627" s="58"/>
      <c r="AQ627" s="58"/>
      <c r="AR627" s="58"/>
      <c r="AS627" s="58"/>
      <c r="AT627" s="58"/>
      <c r="AU627" s="58"/>
      <c r="AV627" s="58"/>
      <c r="AW627" s="58"/>
      <c r="AX627" s="58"/>
      <c r="AY627" s="58"/>
      <c r="AZ627" s="58"/>
      <c r="BA627" s="1139">
        <f t="shared" si="16"/>
        <v>0</v>
      </c>
      <c r="BB627" s="1140"/>
      <c r="BC627" s="1140"/>
      <c r="BD627" s="1140"/>
      <c r="BE627" s="1141"/>
      <c r="BF627" s="1212">
        <f t="shared" si="17"/>
        <v>0</v>
      </c>
      <c r="BG627" s="1212"/>
      <c r="BH627" s="1212"/>
      <c r="BI627" s="1212"/>
      <c r="BJ627" s="1212"/>
      <c r="BK627" s="1212">
        <f t="shared" si="18"/>
        <v>0</v>
      </c>
      <c r="BL627" s="1212"/>
      <c r="BM627" s="1212"/>
      <c r="BN627" s="1212"/>
      <c r="BO627" s="1212"/>
      <c r="BP627" s="1212">
        <f t="shared" si="19"/>
        <v>0</v>
      </c>
      <c r="BQ627" s="1212"/>
      <c r="BR627" s="1212"/>
      <c r="BS627" s="1212"/>
      <c r="BT627" s="1212"/>
      <c r="BU627" s="1212">
        <f t="shared" si="20"/>
        <v>0</v>
      </c>
      <c r="BV627" s="1212"/>
      <c r="BW627" s="1212"/>
      <c r="BX627" s="1212"/>
      <c r="BY627" s="1212"/>
      <c r="BZ627" s="1212">
        <f t="shared" si="21"/>
        <v>0</v>
      </c>
      <c r="CA627" s="1212"/>
      <c r="CB627" s="1212"/>
      <c r="CC627" s="1212"/>
      <c r="CD627" s="1212"/>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43"/>
      <c r="P628" s="1239"/>
      <c r="Q628" s="1240"/>
      <c r="R628" s="1241"/>
      <c r="S628" s="1136"/>
      <c r="T628" s="1137"/>
      <c r="U628" s="1138"/>
      <c r="V628" s="1239"/>
      <c r="W628" s="1240"/>
      <c r="X628" s="1240"/>
      <c r="Y628" s="1240"/>
      <c r="Z628" s="1240"/>
      <c r="AA628" s="1241"/>
      <c r="AB628" s="1244"/>
      <c r="AC628" s="1244"/>
      <c r="AD628" s="1244"/>
      <c r="AE628" s="1244"/>
      <c r="AF628" s="1244"/>
      <c r="AG628" s="1244"/>
      <c r="AH628" s="1244"/>
      <c r="AI628" s="1244"/>
      <c r="AJ628" s="1244"/>
      <c r="AK628" s="1244"/>
      <c r="AL628" s="58"/>
      <c r="AM628" s="58"/>
      <c r="AN628" s="58"/>
      <c r="AO628" s="58"/>
      <c r="AP628" s="58"/>
      <c r="AQ628" s="58"/>
      <c r="AR628" s="58"/>
      <c r="AS628" s="58"/>
      <c r="AT628" s="58"/>
      <c r="AU628" s="58"/>
      <c r="AV628" s="58"/>
      <c r="AW628" s="58"/>
      <c r="AX628" s="58"/>
      <c r="AY628" s="58"/>
      <c r="AZ628" s="58"/>
      <c r="BA628" s="1139">
        <f t="shared" si="16"/>
        <v>0</v>
      </c>
      <c r="BB628" s="1140"/>
      <c r="BC628" s="1140"/>
      <c r="BD628" s="1140"/>
      <c r="BE628" s="1141"/>
      <c r="BF628" s="1212">
        <f t="shared" si="17"/>
        <v>0</v>
      </c>
      <c r="BG628" s="1212"/>
      <c r="BH628" s="1212"/>
      <c r="BI628" s="1212"/>
      <c r="BJ628" s="1212"/>
      <c r="BK628" s="1212">
        <f t="shared" si="18"/>
        <v>0</v>
      </c>
      <c r="BL628" s="1212"/>
      <c r="BM628" s="1212"/>
      <c r="BN628" s="1212"/>
      <c r="BO628" s="1212"/>
      <c r="BP628" s="1212">
        <f t="shared" si="19"/>
        <v>0</v>
      </c>
      <c r="BQ628" s="1212"/>
      <c r="BR628" s="1212"/>
      <c r="BS628" s="1212"/>
      <c r="BT628" s="1212"/>
      <c r="BU628" s="1212">
        <f t="shared" si="20"/>
        <v>0</v>
      </c>
      <c r="BV628" s="1212"/>
      <c r="BW628" s="1212"/>
      <c r="BX628" s="1212"/>
      <c r="BY628" s="1212"/>
      <c r="BZ628" s="1212">
        <f t="shared" si="21"/>
        <v>0</v>
      </c>
      <c r="CA628" s="1212"/>
      <c r="CB628" s="1212"/>
      <c r="CC628" s="1212"/>
      <c r="CD628" s="1212"/>
      <c r="CE628" s="58"/>
      <c r="CF628" s="58"/>
      <c r="CG628" s="58"/>
      <c r="CH628" s="58"/>
      <c r="CI628" s="58"/>
      <c r="CJ628" s="58"/>
      <c r="CK628" s="58"/>
      <c r="CL628" s="58"/>
      <c r="CM628" s="58"/>
      <c r="CN628" s="58"/>
      <c r="CO628" s="58"/>
      <c r="CP628" s="58"/>
      <c r="CQ628" s="58"/>
      <c r="CR628" s="58"/>
    </row>
    <row r="629" spans="1:96" ht="12.75" customHeight="1">
      <c r="B629" s="84" t="s">
        <v>387</v>
      </c>
      <c r="C629" s="1242"/>
      <c r="D629" s="1105"/>
      <c r="E629" s="1105"/>
      <c r="F629" s="1105"/>
      <c r="G629" s="1105"/>
      <c r="H629" s="1105"/>
      <c r="I629" s="1105"/>
      <c r="J629" s="1105"/>
      <c r="K629" s="1105"/>
      <c r="L629" s="1105"/>
      <c r="M629" s="1105"/>
      <c r="N629" s="1105"/>
      <c r="O629" s="1243"/>
      <c r="P629" s="1239"/>
      <c r="Q629" s="1240"/>
      <c r="R629" s="1241"/>
      <c r="S629" s="1136"/>
      <c r="T629" s="1137"/>
      <c r="U629" s="1138"/>
      <c r="V629" s="1239"/>
      <c r="W629" s="1240"/>
      <c r="X629" s="1240"/>
      <c r="Y629" s="1240"/>
      <c r="Z629" s="1240"/>
      <c r="AA629" s="1241"/>
      <c r="AB629" s="1244"/>
      <c r="AC629" s="1244"/>
      <c r="AD629" s="1244"/>
      <c r="AE629" s="1244"/>
      <c r="AF629" s="1244"/>
      <c r="AG629" s="1244"/>
      <c r="AH629" s="1244"/>
      <c r="AI629" s="1244"/>
      <c r="AJ629" s="1244"/>
      <c r="AK629" s="1244"/>
      <c r="AL629" s="58"/>
      <c r="AM629" s="61"/>
      <c r="AN629" s="61"/>
      <c r="AO629" s="61"/>
      <c r="AP629" s="61"/>
      <c r="AQ629" s="61"/>
      <c r="AR629" s="61"/>
      <c r="AS629" s="61"/>
      <c r="AT629" s="61"/>
      <c r="AU629" s="61"/>
      <c r="AV629" s="61"/>
      <c r="AW629" s="61"/>
      <c r="AX629" s="61"/>
      <c r="AY629" s="61"/>
      <c r="AZ629" s="61"/>
      <c r="BA629" s="1139">
        <f t="shared" si="16"/>
        <v>0</v>
      </c>
      <c r="BB629" s="1140"/>
      <c r="BC629" s="1140"/>
      <c r="BD629" s="1140"/>
      <c r="BE629" s="1141"/>
      <c r="BF629" s="1212">
        <f t="shared" si="17"/>
        <v>0</v>
      </c>
      <c r="BG629" s="1212"/>
      <c r="BH629" s="1212"/>
      <c r="BI629" s="1212"/>
      <c r="BJ629" s="1212"/>
      <c r="BK629" s="1212">
        <f t="shared" si="18"/>
        <v>0</v>
      </c>
      <c r="BL629" s="1212"/>
      <c r="BM629" s="1212"/>
      <c r="BN629" s="1212"/>
      <c r="BO629" s="1212"/>
      <c r="BP629" s="1212">
        <f t="shared" si="19"/>
        <v>0</v>
      </c>
      <c r="BQ629" s="1212"/>
      <c r="BR629" s="1212"/>
      <c r="BS629" s="1212"/>
      <c r="BT629" s="1212"/>
      <c r="BU629" s="1212">
        <f t="shared" si="20"/>
        <v>0</v>
      </c>
      <c r="BV629" s="1212"/>
      <c r="BW629" s="1212"/>
      <c r="BX629" s="1212"/>
      <c r="BY629" s="1212"/>
      <c r="BZ629" s="1212">
        <f t="shared" si="21"/>
        <v>0</v>
      </c>
      <c r="CA629" s="1212"/>
      <c r="CB629" s="1212"/>
      <c r="CC629" s="1212"/>
      <c r="CD629" s="1212"/>
      <c r="CE629" s="58"/>
      <c r="CF629" s="58"/>
      <c r="CG629" s="58"/>
      <c r="CH629" s="58"/>
      <c r="CI629" s="58"/>
      <c r="CJ629" s="58"/>
      <c r="CK629" s="58"/>
      <c r="CL629" s="58"/>
      <c r="CM629" s="58"/>
      <c r="CN629" s="58"/>
      <c r="CO629" s="58"/>
      <c r="CP629" s="58"/>
      <c r="CQ629" s="58"/>
      <c r="CR629" s="58"/>
    </row>
    <row r="630" spans="1:96" ht="12.75" customHeight="1">
      <c r="B630" s="1135" t="s">
        <v>135</v>
      </c>
      <c r="C630" s="1135"/>
      <c r="D630" s="1135"/>
      <c r="E630" s="1135"/>
      <c r="F630" s="1135"/>
      <c r="G630" s="1135"/>
      <c r="H630" s="1135"/>
      <c r="I630" s="1135"/>
      <c r="J630" s="1135"/>
      <c r="K630" s="1135"/>
      <c r="L630" s="1135"/>
      <c r="M630" s="1135"/>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227">
        <f>SUM(AG618:AJ629)</f>
        <v>28929129.869343683</v>
      </c>
      <c r="AH630" s="1228"/>
      <c r="AI630" s="1228"/>
      <c r="AJ630" s="1228"/>
      <c r="AK630" s="1229"/>
      <c r="AM630" s="61"/>
      <c r="AN630" s="61"/>
      <c r="AO630" s="61"/>
      <c r="AP630" s="61"/>
      <c r="AQ630" s="61"/>
      <c r="AR630" s="61"/>
      <c r="AS630" s="61"/>
      <c r="AT630" s="61"/>
      <c r="AU630" s="61"/>
      <c r="AV630" s="61"/>
      <c r="AW630" s="61"/>
      <c r="AX630" s="61"/>
      <c r="AY630" s="61"/>
      <c r="AZ630" s="61"/>
      <c r="BA630" s="1139">
        <f t="shared" si="16"/>
        <v>0</v>
      </c>
      <c r="BB630" s="1140"/>
      <c r="BC630" s="1140"/>
      <c r="BD630" s="1140"/>
      <c r="BE630" s="1141"/>
      <c r="BF630" s="1212">
        <f t="shared" si="17"/>
        <v>0</v>
      </c>
      <c r="BG630" s="1212"/>
      <c r="BH630" s="1212"/>
      <c r="BI630" s="1212"/>
      <c r="BJ630" s="1212"/>
      <c r="BK630" s="1212">
        <f t="shared" si="18"/>
        <v>0</v>
      </c>
      <c r="BL630" s="1212"/>
      <c r="BM630" s="1212"/>
      <c r="BN630" s="1212"/>
      <c r="BO630" s="1212"/>
      <c r="BP630" s="1212">
        <f t="shared" si="19"/>
        <v>0</v>
      </c>
      <c r="BQ630" s="1212"/>
      <c r="BR630" s="1212"/>
      <c r="BS630" s="1212"/>
      <c r="BT630" s="1212"/>
      <c r="BU630" s="1212">
        <f t="shared" si="20"/>
        <v>0</v>
      </c>
      <c r="BV630" s="1212"/>
      <c r="BW630" s="1212"/>
      <c r="BX630" s="1212"/>
      <c r="BY630" s="1212"/>
      <c r="BZ630" s="1212">
        <f t="shared" si="21"/>
        <v>0</v>
      </c>
      <c r="CA630" s="1212"/>
      <c r="CB630" s="1212"/>
      <c r="CC630" s="1212"/>
      <c r="CD630" s="1212"/>
      <c r="CE630" s="58"/>
      <c r="CF630" s="58"/>
      <c r="CG630" s="58"/>
      <c r="CH630" s="58"/>
      <c r="CI630" s="58"/>
      <c r="CJ630" s="58"/>
      <c r="CK630" s="58"/>
      <c r="CL630" s="58"/>
      <c r="CM630" s="58"/>
      <c r="CN630" s="58"/>
      <c r="CO630" s="58"/>
      <c r="CP630" s="58"/>
      <c r="CQ630" s="58"/>
      <c r="CR630" s="58"/>
    </row>
    <row r="631" spans="1:96" ht="12.75">
      <c r="B631" s="1135" t="s">
        <v>283</v>
      </c>
      <c r="C631" s="1135"/>
      <c r="D631" s="1135"/>
      <c r="E631" s="1135"/>
      <c r="F631" s="1135"/>
      <c r="G631" s="1135"/>
      <c r="H631" s="1135"/>
      <c r="I631" s="1135"/>
      <c r="J631" s="1135"/>
      <c r="K631" s="1135"/>
      <c r="L631" s="1135"/>
      <c r="M631" s="1135"/>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47">
        <v>18047022.104997396</v>
      </c>
      <c r="AH631" s="1148"/>
      <c r="AI631" s="1148"/>
      <c r="AJ631" s="1148"/>
      <c r="AK631" s="1149"/>
      <c r="AM631" s="61"/>
      <c r="AN631" s="61"/>
      <c r="AO631" s="61"/>
      <c r="AP631" s="61"/>
      <c r="AQ631" s="61"/>
      <c r="AR631" s="61"/>
      <c r="AS631" s="61"/>
      <c r="AT631" s="61"/>
      <c r="AU631" s="61"/>
      <c r="AV631" s="61"/>
      <c r="AW631" s="61"/>
      <c r="AX631" s="61"/>
      <c r="AY631" s="61"/>
      <c r="AZ631" s="61"/>
      <c r="BA631" s="1139">
        <f t="shared" si="16"/>
        <v>0</v>
      </c>
      <c r="BB631" s="1140"/>
      <c r="BC631" s="1140"/>
      <c r="BD631" s="1140"/>
      <c r="BE631" s="1141"/>
      <c r="BF631" s="1212">
        <f t="shared" si="17"/>
        <v>0</v>
      </c>
      <c r="BG631" s="1212"/>
      <c r="BH631" s="1212"/>
      <c r="BI631" s="1212"/>
      <c r="BJ631" s="1212"/>
      <c r="BK631" s="1212">
        <f t="shared" si="18"/>
        <v>0</v>
      </c>
      <c r="BL631" s="1212"/>
      <c r="BM631" s="1212"/>
      <c r="BN631" s="1212"/>
      <c r="BO631" s="1212"/>
      <c r="BP631" s="1212">
        <f t="shared" si="19"/>
        <v>0</v>
      </c>
      <c r="BQ631" s="1212"/>
      <c r="BR631" s="1212"/>
      <c r="BS631" s="1212"/>
      <c r="BT631" s="1212"/>
      <c r="BU631" s="1212">
        <f t="shared" si="20"/>
        <v>0</v>
      </c>
      <c r="BV631" s="1212"/>
      <c r="BW631" s="1212"/>
      <c r="BX631" s="1212"/>
      <c r="BY631" s="1212"/>
      <c r="BZ631" s="1212">
        <f t="shared" si="21"/>
        <v>0</v>
      </c>
      <c r="CA631" s="1212"/>
      <c r="CB631" s="1212"/>
      <c r="CC631" s="1212"/>
      <c r="CD631" s="1212"/>
      <c r="CE631" s="58"/>
      <c r="CF631" s="58"/>
      <c r="CG631" s="58"/>
      <c r="CH631" s="58"/>
      <c r="CI631" s="58"/>
      <c r="CJ631" s="58"/>
      <c r="CK631" s="58"/>
      <c r="CL631" s="58"/>
      <c r="CM631" s="58"/>
      <c r="CN631" s="58"/>
      <c r="CO631" s="58"/>
      <c r="CP631" s="58"/>
      <c r="CQ631" s="58"/>
      <c r="CR631" s="58"/>
    </row>
    <row r="632" spans="1:96" ht="12.75">
      <c r="B632" s="1135" t="s">
        <v>284</v>
      </c>
      <c r="C632" s="1135"/>
      <c r="D632" s="1135"/>
      <c r="E632" s="1135"/>
      <c r="F632" s="1135"/>
      <c r="G632" s="1135"/>
      <c r="H632" s="1135"/>
      <c r="I632" s="1135"/>
      <c r="J632" s="1135"/>
      <c r="K632" s="1135"/>
      <c r="L632" s="1135"/>
      <c r="M632" s="1135"/>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227">
        <f>AG630+AG631</f>
        <v>46976151.97434108</v>
      </c>
      <c r="AH632" s="1228"/>
      <c r="AI632" s="1228"/>
      <c r="AJ632" s="1228"/>
      <c r="AK632" s="1229"/>
      <c r="AM632" s="61"/>
      <c r="AN632" s="61"/>
      <c r="AO632" s="61"/>
      <c r="AP632" s="61"/>
      <c r="AQ632" s="61"/>
      <c r="AR632" s="61"/>
      <c r="AS632" s="61"/>
      <c r="AT632" s="61"/>
      <c r="AU632" s="61"/>
      <c r="AV632" s="61"/>
      <c r="AW632" s="61"/>
      <c r="AX632" s="61"/>
      <c r="AY632" s="61"/>
      <c r="AZ632" s="61"/>
      <c r="BA632" s="1139">
        <f t="shared" si="16"/>
        <v>0</v>
      </c>
      <c r="BB632" s="1140"/>
      <c r="BC632" s="1140"/>
      <c r="BD632" s="1140"/>
      <c r="BE632" s="1141"/>
      <c r="BF632" s="1212">
        <f t="shared" si="17"/>
        <v>0</v>
      </c>
      <c r="BG632" s="1212"/>
      <c r="BH632" s="1212"/>
      <c r="BI632" s="1212"/>
      <c r="BJ632" s="1212"/>
      <c r="BK632" s="1212">
        <f t="shared" si="18"/>
        <v>0</v>
      </c>
      <c r="BL632" s="1212"/>
      <c r="BM632" s="1212"/>
      <c r="BN632" s="1212"/>
      <c r="BO632" s="1212"/>
      <c r="BP632" s="1212">
        <f t="shared" si="19"/>
        <v>0</v>
      </c>
      <c r="BQ632" s="1212"/>
      <c r="BR632" s="1212"/>
      <c r="BS632" s="1212"/>
      <c r="BT632" s="1212"/>
      <c r="BU632" s="1212">
        <f t="shared" si="20"/>
        <v>0</v>
      </c>
      <c r="BV632" s="1212"/>
      <c r="BW632" s="1212"/>
      <c r="BX632" s="1212"/>
      <c r="BY632" s="1212"/>
      <c r="BZ632" s="1212">
        <f t="shared" si="21"/>
        <v>0</v>
      </c>
      <c r="CA632" s="1212"/>
      <c r="CB632" s="1212"/>
      <c r="CC632" s="1212"/>
      <c r="CD632" s="121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2">
        <f>SUM(BA623:BE632)</f>
        <v>0</v>
      </c>
      <c r="BB633" s="1143"/>
      <c r="BC633" s="1143"/>
      <c r="BD633" s="1143"/>
      <c r="BE633" s="1144"/>
      <c r="BF633" s="1142">
        <f>SUM(BF623:BJ632)</f>
        <v>0</v>
      </c>
      <c r="BG633" s="1143"/>
      <c r="BH633" s="1143"/>
      <c r="BI633" s="1143"/>
      <c r="BJ633" s="1144"/>
      <c r="BK633" s="1142">
        <f>SUM(BK623:BO632)</f>
        <v>0</v>
      </c>
      <c r="BL633" s="1143"/>
      <c r="BM633" s="1143"/>
      <c r="BN633" s="1143"/>
      <c r="BO633" s="1144"/>
      <c r="BP633" s="1142">
        <f>SUM(BP623:BT632)</f>
        <v>0</v>
      </c>
      <c r="BQ633" s="1143"/>
      <c r="BR633" s="1143"/>
      <c r="BS633" s="1143"/>
      <c r="BT633" s="1144"/>
      <c r="BU633" s="1142">
        <f>SUM(BU623:BY632)</f>
        <v>0</v>
      </c>
      <c r="BV633" s="1143"/>
      <c r="BW633" s="1143"/>
      <c r="BX633" s="1143"/>
      <c r="BY633" s="1144"/>
      <c r="BZ633" s="1142">
        <f>SUM(BZ623:CD632)</f>
        <v>0</v>
      </c>
      <c r="CA633" s="1143"/>
      <c r="CB633" s="1143"/>
      <c r="CC633" s="1143"/>
      <c r="CD633" s="1144"/>
      <c r="CE633" s="58"/>
      <c r="CF633" s="58"/>
      <c r="CG633" s="58"/>
      <c r="CH633" s="58"/>
      <c r="CI633" s="58"/>
      <c r="CJ633" s="58"/>
      <c r="CK633" s="58"/>
      <c r="CL633" s="58"/>
      <c r="CM633" s="58"/>
      <c r="CN633" s="58"/>
      <c r="CO633" s="58"/>
      <c r="CP633" s="58"/>
      <c r="CQ633" s="58"/>
      <c r="CR633" s="58"/>
    </row>
    <row r="634" spans="1:96" ht="12.75">
      <c r="A634" s="87" t="s">
        <v>119</v>
      </c>
      <c r="B634" s="12" t="s">
        <v>510</v>
      </c>
      <c r="G634" s="1102" t="str">
        <f>C618</f>
        <v>Banner Bank Permanent Loan</v>
      </c>
      <c r="H634" s="1102"/>
      <c r="I634" s="1102"/>
      <c r="J634" s="1102"/>
      <c r="K634" s="1102"/>
      <c r="L634" s="1102"/>
      <c r="M634" s="1102"/>
      <c r="N634" s="1102"/>
      <c r="O634" s="1102"/>
      <c r="P634" s="1102"/>
      <c r="Q634" s="1102"/>
      <c r="R634" s="1102"/>
      <c r="S634" s="14"/>
      <c r="T634" s="87" t="s">
        <v>120</v>
      </c>
      <c r="U634" s="12" t="s">
        <v>510</v>
      </c>
      <c r="Z634" s="1102" t="str">
        <f>C619</f>
        <v>HCD AHSC Loan</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1789</v>
      </c>
      <c r="H635" s="1100"/>
      <c r="I635" s="1100"/>
      <c r="J635" s="1100"/>
      <c r="K635" s="1100"/>
      <c r="L635" s="1100"/>
      <c r="M635" s="1100"/>
      <c r="N635" s="1100"/>
      <c r="O635" s="1100"/>
      <c r="P635" s="1100"/>
      <c r="Q635" s="1100"/>
      <c r="R635" s="1100"/>
      <c r="S635" s="14"/>
      <c r="T635" s="35"/>
      <c r="U635" s="12" t="s">
        <v>92</v>
      </c>
      <c r="Z635" s="1100" t="s">
        <v>1772</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42">
        <f>BA614+BA621+BA633</f>
        <v>0</v>
      </c>
      <c r="BB635" s="1143"/>
      <c r="BC635" s="1143"/>
      <c r="BD635" s="1143"/>
      <c r="BE635" s="1144"/>
      <c r="BF635" s="1142">
        <f>BF614+BF621+BF633</f>
        <v>50</v>
      </c>
      <c r="BG635" s="1143"/>
      <c r="BH635" s="1143"/>
      <c r="BI635" s="1143"/>
      <c r="BJ635" s="1144"/>
      <c r="BK635" s="1142">
        <f>BK614+BK621+BK633</f>
        <v>28</v>
      </c>
      <c r="BL635" s="1143"/>
      <c r="BM635" s="1143"/>
      <c r="BN635" s="1143"/>
      <c r="BO635" s="1144"/>
      <c r="BP635" s="1142">
        <f>BP614+BP621+BP633</f>
        <v>27</v>
      </c>
      <c r="BQ635" s="1143"/>
      <c r="BR635" s="1143"/>
      <c r="BS635" s="1143"/>
      <c r="BT635" s="1144"/>
      <c r="BU635" s="1142">
        <f>BU614+BU621+BU633</f>
        <v>0</v>
      </c>
      <c r="BV635" s="1143"/>
      <c r="BW635" s="1143"/>
      <c r="BX635" s="1143"/>
      <c r="BY635" s="1144"/>
      <c r="BZ635" s="1534">
        <f>BZ633+BZ621+BZ614</f>
        <v>0</v>
      </c>
      <c r="CA635" s="1542"/>
      <c r="CB635" s="1542"/>
      <c r="CC635" s="1542"/>
      <c r="CD635" s="1535"/>
      <c r="CE635" s="58"/>
      <c r="CF635" s="58"/>
      <c r="CG635" s="58"/>
      <c r="CH635" s="58"/>
      <c r="CI635" s="58"/>
      <c r="CJ635" s="58"/>
      <c r="CK635" s="58"/>
      <c r="CL635" s="58"/>
      <c r="CM635" s="58"/>
      <c r="CN635" s="58"/>
      <c r="CO635" s="58"/>
      <c r="CP635" s="58"/>
      <c r="CQ635" s="58"/>
      <c r="CR635" s="58"/>
    </row>
    <row r="636" spans="1:96" ht="12.75">
      <c r="A636" s="35"/>
      <c r="B636" s="12" t="s">
        <v>631</v>
      </c>
      <c r="G636" s="1100" t="s">
        <v>1716</v>
      </c>
      <c r="H636" s="1100"/>
      <c r="I636" s="1100"/>
      <c r="J636" s="1100"/>
      <c r="K636" s="1100"/>
      <c r="L636" s="1100"/>
      <c r="M636" s="1100"/>
      <c r="N636" s="1100"/>
      <c r="O636" s="1100"/>
      <c r="P636" s="1100"/>
      <c r="Q636" s="1100"/>
      <c r="R636" s="1100"/>
      <c r="S636" s="88"/>
      <c r="T636" s="35"/>
      <c r="U636" s="12" t="s">
        <v>631</v>
      </c>
      <c r="Z636" s="1122" t="s">
        <v>1794</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1790</v>
      </c>
      <c r="H637" s="1100"/>
      <c r="I637" s="1100"/>
      <c r="J637" s="1100"/>
      <c r="K637" s="1100"/>
      <c r="L637" s="1100"/>
      <c r="M637" s="1100"/>
      <c r="N637" s="1100"/>
      <c r="O637" s="1100"/>
      <c r="P637" s="1100"/>
      <c r="Q637" s="1100"/>
      <c r="R637" s="1100"/>
      <c r="S637" s="14"/>
      <c r="T637" s="35"/>
      <c r="U637" s="12" t="s">
        <v>19</v>
      </c>
      <c r="Z637" s="1122" t="s">
        <v>1773</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3" t="s">
        <v>1791</v>
      </c>
      <c r="H638" s="1104"/>
      <c r="I638" s="1104"/>
      <c r="J638" s="1104"/>
      <c r="K638" s="1104"/>
      <c r="L638" s="1104"/>
      <c r="O638" s="140" t="s">
        <v>220</v>
      </c>
      <c r="P638" s="1105"/>
      <c r="Q638" s="1105"/>
      <c r="R638" s="1105"/>
      <c r="S638" s="16"/>
      <c r="T638" s="35"/>
      <c r="U638" s="12" t="s">
        <v>338</v>
      </c>
      <c r="Z638" s="1103" t="s">
        <v>1774</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960" t="s">
        <v>1811</v>
      </c>
      <c r="I639" s="960"/>
      <c r="J639" s="960"/>
      <c r="K639" s="960"/>
      <c r="L639" s="960"/>
      <c r="M639" s="960"/>
      <c r="N639" s="960"/>
      <c r="O639" s="960"/>
      <c r="P639" s="960"/>
      <c r="Q639" s="960"/>
      <c r="R639" s="960"/>
      <c r="S639" s="14"/>
      <c r="T639" s="35"/>
      <c r="U639" s="12" t="s">
        <v>20</v>
      </c>
      <c r="AA639" s="960" t="s">
        <v>1811</v>
      </c>
      <c r="AB639" s="960"/>
      <c r="AC639" s="960"/>
      <c r="AD639" s="960"/>
      <c r="AE639" s="960"/>
      <c r="AF639" s="960"/>
      <c r="AG639" s="960"/>
      <c r="AH639" s="960"/>
      <c r="AI639" s="960"/>
      <c r="AJ639" s="960"/>
      <c r="AK639" s="96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592</v>
      </c>
      <c r="O640" s="1101"/>
      <c r="T640" s="35"/>
      <c r="U640" s="12" t="s">
        <v>22</v>
      </c>
      <c r="AG640" s="1101" t="s">
        <v>592</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2" t="str">
        <f>C620</f>
        <v>Deferred Developer Fee</v>
      </c>
      <c r="H642" s="1102"/>
      <c r="I642" s="1102"/>
      <c r="J642" s="1102"/>
      <c r="K642" s="1102"/>
      <c r="L642" s="1102"/>
      <c r="M642" s="1102"/>
      <c r="N642" s="1102"/>
      <c r="O642" s="1102"/>
      <c r="P642" s="1102"/>
      <c r="Q642" s="1102"/>
      <c r="R642" s="1102"/>
      <c r="T642" s="87" t="s">
        <v>632</v>
      </c>
      <c r="U642" s="12" t="s">
        <v>510</v>
      </c>
      <c r="Z642" s="1102" t="str">
        <f>C621</f>
        <v>Contributed Developer Fee</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1708</v>
      </c>
      <c r="H643" s="1100"/>
      <c r="I643" s="1100"/>
      <c r="J643" s="1100"/>
      <c r="K643" s="1100"/>
      <c r="L643" s="1100"/>
      <c r="M643" s="1100"/>
      <c r="N643" s="1100"/>
      <c r="O643" s="1100"/>
      <c r="P643" s="1100"/>
      <c r="Q643" s="1100"/>
      <c r="R643" s="1100"/>
      <c r="T643" s="35"/>
      <c r="U643" s="12" t="s">
        <v>92</v>
      </c>
      <c r="Z643" s="1100" t="s">
        <v>1708</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
        <v>1709</v>
      </c>
      <c r="H644" s="1122"/>
      <c r="I644" s="1122"/>
      <c r="J644" s="1122"/>
      <c r="K644" s="1122"/>
      <c r="L644" s="1122"/>
      <c r="M644" s="1122"/>
      <c r="N644" s="1122"/>
      <c r="O644" s="1122"/>
      <c r="P644" s="1122"/>
      <c r="Q644" s="1122"/>
      <c r="R644" s="1122"/>
      <c r="T644" s="35"/>
      <c r="U644" s="12" t="s">
        <v>631</v>
      </c>
      <c r="Z644" s="1122" t="s">
        <v>1709</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1710</v>
      </c>
      <c r="H645" s="1122"/>
      <c r="I645" s="1122"/>
      <c r="J645" s="1122"/>
      <c r="K645" s="1122"/>
      <c r="L645" s="1122"/>
      <c r="M645" s="1122"/>
      <c r="N645" s="1122"/>
      <c r="O645" s="1122"/>
      <c r="P645" s="1122"/>
      <c r="Q645" s="1122"/>
      <c r="R645" s="1122"/>
      <c r="T645" s="35"/>
      <c r="U645" s="12" t="s">
        <v>19</v>
      </c>
      <c r="Z645" s="1122" t="s">
        <v>1710</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1711</v>
      </c>
      <c r="H646" s="1104"/>
      <c r="I646" s="1104"/>
      <c r="J646" s="1104"/>
      <c r="K646" s="1104"/>
      <c r="L646" s="1104"/>
      <c r="O646" s="140" t="s">
        <v>220</v>
      </c>
      <c r="P646" s="1105"/>
      <c r="Q646" s="1105"/>
      <c r="R646" s="1105"/>
      <c r="T646" s="35"/>
      <c r="U646" s="12" t="s">
        <v>338</v>
      </c>
      <c r="Z646" s="1103" t="s">
        <v>1711</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960" t="s">
        <v>1811</v>
      </c>
      <c r="I647" s="960"/>
      <c r="J647" s="960"/>
      <c r="K647" s="960"/>
      <c r="L647" s="960"/>
      <c r="M647" s="960"/>
      <c r="N647" s="960"/>
      <c r="O647" s="960"/>
      <c r="P647" s="960"/>
      <c r="Q647" s="960"/>
      <c r="R647" s="960"/>
      <c r="T647" s="35"/>
      <c r="U647" s="12" t="s">
        <v>20</v>
      </c>
      <c r="AA647" s="1100" t="s">
        <v>1814</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592</v>
      </c>
      <c r="O648" s="1101"/>
      <c r="T648" s="35"/>
      <c r="U648" s="12" t="s">
        <v>22</v>
      </c>
      <c r="AG648" s="1101" t="s">
        <v>592</v>
      </c>
      <c r="AH648" s="110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1346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2" t="str">
        <f>C622</f>
        <v>HOME Loan - County of Riverside</v>
      </c>
      <c r="H650" s="1102"/>
      <c r="I650" s="1102"/>
      <c r="J650" s="1102"/>
      <c r="K650" s="1102"/>
      <c r="L650" s="1102"/>
      <c r="M650" s="1102"/>
      <c r="N650" s="1102"/>
      <c r="O650" s="1102"/>
      <c r="P650" s="1102"/>
      <c r="Q650" s="1102"/>
      <c r="R650" s="1102"/>
      <c r="T650" s="87" t="s">
        <v>635</v>
      </c>
      <c r="U650" s="12" t="s">
        <v>510</v>
      </c>
      <c r="Z650" s="1102" t="str">
        <f>C623</f>
        <v>City of Coachella</v>
      </c>
      <c r="AA650" s="1102"/>
      <c r="AB650" s="1102"/>
      <c r="AC650" s="1102"/>
      <c r="AD650" s="1102"/>
      <c r="AE650" s="1102"/>
      <c r="AF650" s="1102"/>
      <c r="AG650" s="1102"/>
      <c r="AH650" s="1102"/>
      <c r="AI650" s="1102"/>
      <c r="AJ650" s="1102"/>
      <c r="AK650" s="1102"/>
      <c r="AM650" s="58"/>
      <c r="AN650" s="463">
        <f t="shared" si="22"/>
        <v>1346</v>
      </c>
      <c r="AO650" s="58"/>
      <c r="AP650" s="58"/>
      <c r="AQ650" s="58"/>
      <c r="AR650" s="58"/>
      <c r="AS650" s="399"/>
      <c r="AT650" s="473">
        <f t="shared" ref="AT650:AT674" si="23">G709</f>
        <v>40</v>
      </c>
      <c r="AU650" s="477">
        <f>AT650/$AT$675</f>
        <v>0.38461538461538464</v>
      </c>
      <c r="AV650" s="478">
        <f t="shared" ref="AV650:AV674" si="24">IF(AU650=0," ",AU650*AD709)</f>
        <v>0.19230769230769232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t="s">
        <v>1769</v>
      </c>
      <c r="H651" s="1100"/>
      <c r="I651" s="1100"/>
      <c r="J651" s="1100"/>
      <c r="K651" s="1100"/>
      <c r="L651" s="1100"/>
      <c r="M651" s="1100"/>
      <c r="N651" s="1100"/>
      <c r="O651" s="1100"/>
      <c r="P651" s="1100"/>
      <c r="Q651" s="1100"/>
      <c r="R651" s="1100"/>
      <c r="T651" s="35"/>
      <c r="U651" s="12" t="s">
        <v>92</v>
      </c>
      <c r="Z651" s="1100" t="s">
        <v>1763</v>
      </c>
      <c r="AA651" s="1100"/>
      <c r="AB651" s="1100"/>
      <c r="AC651" s="1100"/>
      <c r="AD651" s="1100"/>
      <c r="AE651" s="1100"/>
      <c r="AF651" s="1100"/>
      <c r="AG651" s="1100"/>
      <c r="AH651" s="1100"/>
      <c r="AI651" s="1100"/>
      <c r="AJ651" s="1100"/>
      <c r="AK651" s="1100"/>
      <c r="AM651" s="58"/>
      <c r="AN651" s="463">
        <f t="shared" si="22"/>
        <v>1616</v>
      </c>
      <c r="AO651" s="58"/>
      <c r="AP651" s="58"/>
      <c r="AQ651" s="58"/>
      <c r="AR651" s="58"/>
      <c r="AS651" s="399"/>
      <c r="AT651" s="474">
        <f t="shared" si="23"/>
        <v>10</v>
      </c>
      <c r="AU651" s="477">
        <f t="shared" ref="AU651:AU674" si="25">AT651/$AT$675</f>
        <v>9.6153846153846159E-2</v>
      </c>
      <c r="AV651" s="478">
        <f t="shared" si="24"/>
        <v>2.8846153846153848E-2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0" t="s">
        <v>1793</v>
      </c>
      <c r="H652" s="1100"/>
      <c r="I652" s="1100"/>
      <c r="J652" s="1100"/>
      <c r="K652" s="1100"/>
      <c r="L652" s="1100"/>
      <c r="M652" s="1100"/>
      <c r="N652" s="1100"/>
      <c r="O652" s="1100"/>
      <c r="P652" s="1100"/>
      <c r="Q652" s="1100"/>
      <c r="R652" s="1100"/>
      <c r="T652" s="35"/>
      <c r="U652" s="12" t="s">
        <v>631</v>
      </c>
      <c r="Z652" s="1122" t="s">
        <v>1792</v>
      </c>
      <c r="AA652" s="1122"/>
      <c r="AB652" s="1122"/>
      <c r="AC652" s="1122"/>
      <c r="AD652" s="1122"/>
      <c r="AE652" s="1122"/>
      <c r="AF652" s="1122"/>
      <c r="AG652" s="1122"/>
      <c r="AH652" s="1122"/>
      <c r="AI652" s="1122"/>
      <c r="AJ652" s="1122"/>
      <c r="AK652" s="1122"/>
      <c r="AM652" s="58"/>
      <c r="AN652" s="463">
        <f t="shared" si="22"/>
        <v>1616</v>
      </c>
      <c r="AO652" s="58"/>
      <c r="AP652" s="58"/>
      <c r="AQ652" s="58"/>
      <c r="AR652" s="58"/>
      <c r="AS652" s="399"/>
      <c r="AT652" s="474">
        <f t="shared" si="23"/>
        <v>21</v>
      </c>
      <c r="AU652" s="477">
        <f t="shared" si="25"/>
        <v>0.20192307692307693</v>
      </c>
      <c r="AV652" s="478">
        <f t="shared" si="24"/>
        <v>0.10096153846153846</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0" t="s">
        <v>1770</v>
      </c>
      <c r="H653" s="1100"/>
      <c r="I653" s="1100"/>
      <c r="J653" s="1100"/>
      <c r="K653" s="1100"/>
      <c r="L653" s="1100"/>
      <c r="M653" s="1100"/>
      <c r="N653" s="1100"/>
      <c r="O653" s="1100"/>
      <c r="P653" s="1100"/>
      <c r="Q653" s="1100"/>
      <c r="R653" s="1100"/>
      <c r="T653" s="35"/>
      <c r="U653" s="12" t="s">
        <v>19</v>
      </c>
      <c r="Z653" s="1122" t="s">
        <v>1764</v>
      </c>
      <c r="AA653" s="1122"/>
      <c r="AB653" s="1122"/>
      <c r="AC653" s="1122"/>
      <c r="AD653" s="1122"/>
      <c r="AE653" s="1122"/>
      <c r="AF653" s="1122"/>
      <c r="AG653" s="1122"/>
      <c r="AH653" s="1122"/>
      <c r="AI653" s="1122"/>
      <c r="AJ653" s="1122"/>
      <c r="AK653" s="1122"/>
      <c r="AM653" s="58"/>
      <c r="AN653" s="463">
        <f t="shared" si="22"/>
        <v>1616</v>
      </c>
      <c r="AO653" s="58"/>
      <c r="AP653" s="58"/>
      <c r="AQ653" s="58"/>
      <c r="AR653" s="58"/>
      <c r="AS653" s="399"/>
      <c r="AT653" s="474">
        <f t="shared" si="23"/>
        <v>4</v>
      </c>
      <c r="AU653" s="477">
        <f t="shared" si="25"/>
        <v>3.8461538461538464E-2</v>
      </c>
      <c r="AV653" s="478">
        <f t="shared" si="24"/>
        <v>1.1538461538461539E-2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3" t="s">
        <v>1771</v>
      </c>
      <c r="H654" s="1104"/>
      <c r="I654" s="1104"/>
      <c r="J654" s="1104"/>
      <c r="K654" s="1104"/>
      <c r="L654" s="1104"/>
      <c r="O654" s="140" t="s">
        <v>220</v>
      </c>
      <c r="P654" s="1105"/>
      <c r="Q654" s="1105"/>
      <c r="R654" s="1105"/>
      <c r="T654" s="35"/>
      <c r="U654" s="12" t="s">
        <v>338</v>
      </c>
      <c r="Z654" s="1103" t="s">
        <v>1765</v>
      </c>
      <c r="AA654" s="1104"/>
      <c r="AB654" s="1104"/>
      <c r="AC654" s="1104"/>
      <c r="AD654" s="1104"/>
      <c r="AE654" s="1104"/>
      <c r="AH654" s="140" t="s">
        <v>220</v>
      </c>
      <c r="AI654" s="1105"/>
      <c r="AJ654" s="1105"/>
      <c r="AK654" s="1105"/>
      <c r="AM654" s="58"/>
      <c r="AN654" s="463">
        <f t="shared" si="22"/>
        <v>1866</v>
      </c>
      <c r="AO654" s="58"/>
      <c r="AP654" s="58"/>
      <c r="AQ654" s="58"/>
      <c r="AR654" s="58"/>
      <c r="AS654" s="399"/>
      <c r="AT654" s="474">
        <f t="shared" si="23"/>
        <v>2</v>
      </c>
      <c r="AU654" s="477">
        <f t="shared" si="25"/>
        <v>1.9230769230769232E-2</v>
      </c>
      <c r="AV654" s="478">
        <f t="shared" si="24"/>
        <v>5.7692307692307696E-3</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
        <v>1815</v>
      </c>
      <c r="I655" s="1100"/>
      <c r="J655" s="1100"/>
      <c r="K655" s="1100"/>
      <c r="L655" s="1100"/>
      <c r="M655" s="1100"/>
      <c r="N655" s="1100"/>
      <c r="O655" s="1100"/>
      <c r="P655" s="1100"/>
      <c r="Q655" s="1100"/>
      <c r="R655" s="1100"/>
      <c r="T655" s="35"/>
      <c r="U655" s="12" t="s">
        <v>20</v>
      </c>
      <c r="AA655" s="1100" t="s">
        <v>1815</v>
      </c>
      <c r="AB655" s="1100"/>
      <c r="AC655" s="1100"/>
      <c r="AD655" s="1100"/>
      <c r="AE655" s="1100"/>
      <c r="AF655" s="1100"/>
      <c r="AG655" s="1100"/>
      <c r="AH655" s="1100"/>
      <c r="AI655" s="1100"/>
      <c r="AJ655" s="1100"/>
      <c r="AK655" s="1100"/>
      <c r="AM655" s="58"/>
      <c r="AN655" s="463">
        <f t="shared" si="22"/>
        <v>1866</v>
      </c>
      <c r="AO655" s="58"/>
      <c r="AP655" s="58"/>
      <c r="AQ655" s="58"/>
      <c r="AR655" s="58"/>
      <c r="AS655" s="399"/>
      <c r="AT655" s="474">
        <f t="shared" si="23"/>
        <v>21</v>
      </c>
      <c r="AU655" s="477">
        <f t="shared" si="25"/>
        <v>0.20192307692307693</v>
      </c>
      <c r="AV655" s="478">
        <f t="shared" si="24"/>
        <v>0.10096153846153846</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592</v>
      </c>
      <c r="O656" s="1101"/>
      <c r="T656" s="35"/>
      <c r="U656" s="12" t="s">
        <v>22</v>
      </c>
      <c r="AG656" s="1101" t="s">
        <v>592</v>
      </c>
      <c r="AH656" s="1101"/>
      <c r="AM656" s="58"/>
      <c r="AN656" s="463" t="str">
        <f t="shared" si="22"/>
        <v>N/A</v>
      </c>
      <c r="AO656" s="58"/>
      <c r="AP656" s="58"/>
      <c r="AQ656" s="58"/>
      <c r="AR656" s="58"/>
      <c r="AS656" s="399"/>
      <c r="AT656" s="474">
        <f t="shared" si="23"/>
        <v>6</v>
      </c>
      <c r="AU656" s="477">
        <f t="shared" si="25"/>
        <v>5.7692307692307696E-2</v>
      </c>
      <c r="AV656" s="478">
        <f t="shared" si="24"/>
        <v>1.7307692307692309E-2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2" t="str">
        <f>C624</f>
        <v>California Department of Development Services</v>
      </c>
      <c r="H658" s="1102"/>
      <c r="I658" s="1102"/>
      <c r="J658" s="1102"/>
      <c r="K658" s="1102"/>
      <c r="L658" s="1102"/>
      <c r="M658" s="1102"/>
      <c r="N658" s="1102"/>
      <c r="O658" s="1102"/>
      <c r="P658" s="1102"/>
      <c r="Q658" s="1102"/>
      <c r="R658" s="1102"/>
      <c r="T658" s="87" t="s">
        <v>502</v>
      </c>
      <c r="U658" s="12" t="s">
        <v>510</v>
      </c>
      <c r="Z658" s="1102" t="str">
        <f>C625</f>
        <v>Deferred Costs and Fees</v>
      </c>
      <c r="AA658" s="1102"/>
      <c r="AB658" s="1102"/>
      <c r="AC658" s="1102"/>
      <c r="AD658" s="1102"/>
      <c r="AE658" s="1102"/>
      <c r="AF658" s="1102"/>
      <c r="AG658" s="1102"/>
      <c r="AH658" s="1102"/>
      <c r="AI658" s="1102"/>
      <c r="AJ658" s="1102"/>
      <c r="AK658" s="110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t="s">
        <v>1766</v>
      </c>
      <c r="H659" s="1100"/>
      <c r="I659" s="1100"/>
      <c r="J659" s="1100"/>
      <c r="K659" s="1100"/>
      <c r="L659" s="1100"/>
      <c r="M659" s="1100"/>
      <c r="N659" s="1100"/>
      <c r="O659" s="1100"/>
      <c r="P659" s="1100"/>
      <c r="Q659" s="1100"/>
      <c r="R659" s="1100"/>
      <c r="T659" s="35"/>
      <c r="U659" s="12" t="s">
        <v>92</v>
      </c>
      <c r="Z659" s="1100" t="s">
        <v>1708</v>
      </c>
      <c r="AA659" s="1100"/>
      <c r="AB659" s="1100"/>
      <c r="AC659" s="1100"/>
      <c r="AD659" s="1100"/>
      <c r="AE659" s="1100"/>
      <c r="AF659" s="1100"/>
      <c r="AG659" s="1100"/>
      <c r="AH659" s="1100"/>
      <c r="AI659" s="1100"/>
      <c r="AJ659" s="1100"/>
      <c r="AK659" s="110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0" t="s">
        <v>1795</v>
      </c>
      <c r="H660" s="1100"/>
      <c r="I660" s="1100"/>
      <c r="J660" s="1100"/>
      <c r="K660" s="1100"/>
      <c r="L660" s="1100"/>
      <c r="M660" s="1100"/>
      <c r="N660" s="1100"/>
      <c r="O660" s="1100"/>
      <c r="P660" s="1100"/>
      <c r="Q660" s="1100"/>
      <c r="R660" s="1100"/>
      <c r="T660" s="35"/>
      <c r="U660" s="12" t="s">
        <v>631</v>
      </c>
      <c r="Z660" s="1122" t="s">
        <v>1709</v>
      </c>
      <c r="AA660" s="1122"/>
      <c r="AB660" s="1122"/>
      <c r="AC660" s="1122"/>
      <c r="AD660" s="1122"/>
      <c r="AE660" s="1122"/>
      <c r="AF660" s="1122"/>
      <c r="AG660" s="1122"/>
      <c r="AH660" s="1122"/>
      <c r="AI660" s="1122"/>
      <c r="AJ660" s="1122"/>
      <c r="AK660" s="112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t="s">
        <v>1768</v>
      </c>
      <c r="H661" s="1100"/>
      <c r="I661" s="1100"/>
      <c r="J661" s="1100"/>
      <c r="K661" s="1100"/>
      <c r="L661" s="1100"/>
      <c r="M661" s="1100"/>
      <c r="N661" s="1100"/>
      <c r="O661" s="1100"/>
      <c r="P661" s="1100"/>
      <c r="Q661" s="1100"/>
      <c r="R661" s="1100"/>
      <c r="T661" s="35"/>
      <c r="U661" s="12" t="s">
        <v>19</v>
      </c>
      <c r="Z661" s="1122" t="s">
        <v>1710</v>
      </c>
      <c r="AA661" s="1122"/>
      <c r="AB661" s="1122"/>
      <c r="AC661" s="1122"/>
      <c r="AD661" s="1122"/>
      <c r="AE661" s="1122"/>
      <c r="AF661" s="1122"/>
      <c r="AG661" s="1122"/>
      <c r="AH661" s="1122"/>
      <c r="AI661" s="1122"/>
      <c r="AJ661" s="1122"/>
      <c r="AK661" s="112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t="s">
        <v>1767</v>
      </c>
      <c r="H662" s="1104"/>
      <c r="I662" s="1104"/>
      <c r="J662" s="1104"/>
      <c r="K662" s="1104"/>
      <c r="L662" s="1104"/>
      <c r="O662" s="140" t="s">
        <v>220</v>
      </c>
      <c r="P662" s="1105"/>
      <c r="Q662" s="1105"/>
      <c r="R662" s="1105"/>
      <c r="T662" s="35"/>
      <c r="U662" s="12" t="s">
        <v>338</v>
      </c>
      <c r="Z662" s="1103" t="s">
        <v>1711</v>
      </c>
      <c r="AA662" s="1104"/>
      <c r="AB662" s="1104"/>
      <c r="AC662" s="1104"/>
      <c r="AD662" s="1104"/>
      <c r="AE662" s="1104"/>
      <c r="AH662" s="140" t="s">
        <v>220</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t="s">
        <v>1815</v>
      </c>
      <c r="I663" s="1100"/>
      <c r="J663" s="1100"/>
      <c r="K663" s="1100"/>
      <c r="L663" s="1100"/>
      <c r="M663" s="1100"/>
      <c r="N663" s="1100"/>
      <c r="O663" s="1100"/>
      <c r="P663" s="1100"/>
      <c r="Q663" s="1100"/>
      <c r="R663" s="1100"/>
      <c r="T663" s="35"/>
      <c r="U663" s="12" t="s">
        <v>20</v>
      </c>
      <c r="AA663" s="1100" t="s">
        <v>1812</v>
      </c>
      <c r="AB663" s="1100"/>
      <c r="AC663" s="1100"/>
      <c r="AD663" s="1100"/>
      <c r="AE663" s="1100"/>
      <c r="AF663" s="1100"/>
      <c r="AG663" s="1100"/>
      <c r="AH663" s="1100"/>
      <c r="AI663" s="1100"/>
      <c r="AJ663" s="1100"/>
      <c r="AK663" s="110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592</v>
      </c>
      <c r="O664" s="1101"/>
      <c r="T664" s="35"/>
      <c r="U664" s="12" t="s">
        <v>22</v>
      </c>
      <c r="AG664" s="1101" t="s">
        <v>592</v>
      </c>
      <c r="AH664" s="110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2" t="str">
        <f>C626</f>
        <v>Solar Tax Credit Equity - Richman</v>
      </c>
      <c r="H666" s="1102"/>
      <c r="I666" s="1102"/>
      <c r="J666" s="1102"/>
      <c r="K666" s="1102"/>
      <c r="L666" s="1102"/>
      <c r="M666" s="1102"/>
      <c r="N666" s="1102"/>
      <c r="O666" s="1102"/>
      <c r="P666" s="1102"/>
      <c r="Q666" s="1102"/>
      <c r="R666" s="1102"/>
      <c r="T666" s="87" t="s">
        <v>697</v>
      </c>
      <c r="U666" s="12" t="s">
        <v>510</v>
      </c>
      <c r="Z666" s="1102">
        <f>C627</f>
        <v>0</v>
      </c>
      <c r="AA666" s="1102"/>
      <c r="AB666" s="1102"/>
      <c r="AC666" s="1102"/>
      <c r="AD666" s="1102"/>
      <c r="AE666" s="1102"/>
      <c r="AF666" s="1102"/>
      <c r="AG666" s="1102"/>
      <c r="AH666" s="1102"/>
      <c r="AI666" s="1102"/>
      <c r="AJ666" s="1102"/>
      <c r="AK666" s="110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t="str">
        <f>+G569</f>
        <v>707 SW Washington St, Ste 1510</v>
      </c>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0" t="str">
        <f>+G570</f>
        <v>Portland, OR 97205</v>
      </c>
      <c r="H668" s="1100"/>
      <c r="I668" s="1100"/>
      <c r="J668" s="1100"/>
      <c r="K668" s="1100"/>
      <c r="L668" s="1100"/>
      <c r="M668" s="1100"/>
      <c r="N668" s="1100"/>
      <c r="O668" s="1100"/>
      <c r="P668" s="1100"/>
      <c r="Q668" s="1100"/>
      <c r="R668" s="1100"/>
      <c r="T668" s="35"/>
      <c r="U668" s="12" t="s">
        <v>631</v>
      </c>
      <c r="Z668" s="1122"/>
      <c r="AA668" s="1122"/>
      <c r="AB668" s="1122"/>
      <c r="AC668" s="1122"/>
      <c r="AD668" s="1122"/>
      <c r="AE668" s="1122"/>
      <c r="AF668" s="1122"/>
      <c r="AG668" s="1122"/>
      <c r="AH668" s="1122"/>
      <c r="AI668" s="1122"/>
      <c r="AJ668" s="1122"/>
      <c r="AK668" s="112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t="s">
        <v>1785</v>
      </c>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4" t="str">
        <f>+G572</f>
        <v>(503) 459-8741</v>
      </c>
      <c r="H670" s="1104"/>
      <c r="I670" s="1104"/>
      <c r="J670" s="1104"/>
      <c r="K670" s="1104"/>
      <c r="L670" s="1104"/>
      <c r="O670" s="140" t="s">
        <v>220</v>
      </c>
      <c r="P670" s="1105"/>
      <c r="Q670" s="1105"/>
      <c r="R670" s="1105"/>
      <c r="T670" s="35"/>
      <c r="U670" s="12" t="s">
        <v>338</v>
      </c>
      <c r="Z670" s="1104"/>
      <c r="AA670" s="1104"/>
      <c r="AB670" s="1104"/>
      <c r="AC670" s="1104"/>
      <c r="AD670" s="1104"/>
      <c r="AE670" s="1104"/>
      <c r="AH670" s="140" t="s">
        <v>220</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t="s">
        <v>1813</v>
      </c>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592</v>
      </c>
      <c r="O672" s="1101"/>
      <c r="T672" s="35"/>
      <c r="U672" s="12" t="s">
        <v>22</v>
      </c>
      <c r="AG672" s="1101" t="s">
        <v>723</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2">
        <f>C628</f>
        <v>0</v>
      </c>
      <c r="H674" s="1102"/>
      <c r="I674" s="1102"/>
      <c r="J674" s="1102"/>
      <c r="K674" s="1102"/>
      <c r="L674" s="1102"/>
      <c r="M674" s="1102"/>
      <c r="N674" s="1102"/>
      <c r="O674" s="1102"/>
      <c r="P674" s="1102"/>
      <c r="Q674" s="1102"/>
      <c r="R674" s="1102"/>
      <c r="T674" s="87" t="s">
        <v>387</v>
      </c>
      <c r="U674" s="12" t="s">
        <v>510</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998</v>
      </c>
      <c r="AT675" s="479">
        <f>SUM(AT650:AT674)</f>
        <v>104</v>
      </c>
      <c r="AU675" s="480">
        <f>SUM(AU650:AU674)</f>
        <v>1</v>
      </c>
      <c r="AV675" s="480">
        <f>SUM(AV650:AV674)</f>
        <v>0.45769230769230768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0"/>
      <c r="H676" s="1100"/>
      <c r="I676" s="1100"/>
      <c r="J676" s="1100"/>
      <c r="K676" s="1100"/>
      <c r="L676" s="1100"/>
      <c r="M676" s="1100"/>
      <c r="N676" s="1100"/>
      <c r="O676" s="1100"/>
      <c r="P676" s="1100"/>
      <c r="Q676" s="1100"/>
      <c r="R676" s="1100"/>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4"/>
      <c r="H678" s="1104"/>
      <c r="I678" s="1104"/>
      <c r="J678" s="1104"/>
      <c r="K678" s="1104"/>
      <c r="L678" s="1104"/>
      <c r="O678" s="140" t="s">
        <v>220</v>
      </c>
      <c r="P678" s="1105"/>
      <c r="Q678" s="1105"/>
      <c r="R678" s="1105"/>
      <c r="U678" s="12" t="s">
        <v>338</v>
      </c>
      <c r="Z678" s="1104"/>
      <c r="AA678" s="1104"/>
      <c r="AB678" s="1104"/>
      <c r="AC678" s="1104"/>
      <c r="AD678" s="1104"/>
      <c r="AE678" s="110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723</v>
      </c>
      <c r="O680" s="1101"/>
      <c r="U680" s="12" t="s">
        <v>22</v>
      </c>
      <c r="AG680" s="1101" t="s">
        <v>723</v>
      </c>
      <c r="AH680" s="110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592</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592</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1">
        <v>43784</v>
      </c>
      <c r="AF686" s="1441"/>
      <c r="AG686" s="1441"/>
      <c r="AH686" s="1441"/>
      <c r="AI686" s="144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2">
        <v>43511</v>
      </c>
      <c r="AF687" s="1442"/>
      <c r="AG687" s="1442"/>
      <c r="AH687" s="1442"/>
      <c r="AI687" s="144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1">
        <v>43993</v>
      </c>
      <c r="AF689" s="1441"/>
      <c r="AG689" s="1441"/>
      <c r="AH689" s="1441"/>
      <c r="AI689" s="144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3">
        <f>+Application!AE545/+(42938941+'Sources and Uses Budget'!R4)</f>
        <v>0.56256965543080795</v>
      </c>
      <c r="AF690" s="1443"/>
      <c r="AG690" s="1443"/>
      <c r="AH690" s="1443"/>
      <c r="AI690" s="144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California Municipal Finance Authority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723</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13" t="s">
        <v>348</v>
      </c>
      <c r="C709" s="1214"/>
      <c r="D709" s="1214"/>
      <c r="E709" s="1214"/>
      <c r="F709" s="1215"/>
      <c r="G709" s="1128">
        <v>40</v>
      </c>
      <c r="H709" s="1129"/>
      <c r="I709" s="1129"/>
      <c r="J709" s="1130"/>
      <c r="K709" s="1199">
        <v>667</v>
      </c>
      <c r="L709" s="1200"/>
      <c r="M709" s="1200"/>
      <c r="N709" s="1200"/>
      <c r="O709" s="1201"/>
      <c r="P709" s="1164">
        <f t="shared" ref="P709:P733" si="26">G709*K709</f>
        <v>26680</v>
      </c>
      <c r="Q709" s="1119"/>
      <c r="R709" s="1119"/>
      <c r="S709" s="1119"/>
      <c r="T709" s="1165"/>
      <c r="U709" s="1199">
        <v>6</v>
      </c>
      <c r="V709" s="1200"/>
      <c r="W709" s="1200"/>
      <c r="X709" s="1201"/>
      <c r="Y709" s="1164">
        <f>K709+U709</f>
        <v>673</v>
      </c>
      <c r="Z709" s="1119"/>
      <c r="AA709" s="1119"/>
      <c r="AB709" s="1119"/>
      <c r="AC709" s="1165"/>
      <c r="AD709" s="1157">
        <v>0.5</v>
      </c>
      <c r="AE709" s="1158"/>
      <c r="AF709" s="1158"/>
      <c r="AG709" s="1158"/>
      <c r="AH709" s="1159"/>
      <c r="AI709" s="1132">
        <f t="shared" ref="AI709:AI733" si="27">IF($AD709&gt;0,($Y709/$AN649), " ")</f>
        <v>0.5</v>
      </c>
      <c r="AJ709" s="1133"/>
      <c r="AK709" s="113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13" t="s">
        <v>348</v>
      </c>
      <c r="C710" s="1214"/>
      <c r="D710" s="1214"/>
      <c r="E710" s="1214"/>
      <c r="F710" s="1215"/>
      <c r="G710" s="1128">
        <v>10</v>
      </c>
      <c r="H710" s="1129"/>
      <c r="I710" s="1129"/>
      <c r="J710" s="1130"/>
      <c r="K710" s="1199">
        <v>398</v>
      </c>
      <c r="L710" s="1200"/>
      <c r="M710" s="1200"/>
      <c r="N710" s="1200"/>
      <c r="O710" s="1201"/>
      <c r="P710" s="1164">
        <f t="shared" si="26"/>
        <v>3980</v>
      </c>
      <c r="Q710" s="1119"/>
      <c r="R710" s="1119"/>
      <c r="S710" s="1119"/>
      <c r="T710" s="1165"/>
      <c r="U710" s="1199">
        <v>6</v>
      </c>
      <c r="V710" s="1200"/>
      <c r="W710" s="1200"/>
      <c r="X710" s="1201"/>
      <c r="Y710" s="1164">
        <f t="shared" ref="Y710:Y733" si="28">K710+U710</f>
        <v>404</v>
      </c>
      <c r="Z710" s="1119"/>
      <c r="AA710" s="1119"/>
      <c r="AB710" s="1119"/>
      <c r="AC710" s="1165"/>
      <c r="AD710" s="1157">
        <v>0.3</v>
      </c>
      <c r="AE710" s="1158"/>
      <c r="AF710" s="1158"/>
      <c r="AG710" s="1158"/>
      <c r="AH710" s="1159"/>
      <c r="AI710" s="1132">
        <f t="shared" si="27"/>
        <v>0.300148588410104</v>
      </c>
      <c r="AJ710" s="1133"/>
      <c r="AK710" s="113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13" t="s">
        <v>170</v>
      </c>
      <c r="C711" s="1214"/>
      <c r="D711" s="1214"/>
      <c r="E711" s="1214"/>
      <c r="F711" s="1215"/>
      <c r="G711" s="1128">
        <v>21</v>
      </c>
      <c r="H711" s="1129"/>
      <c r="I711" s="1129"/>
      <c r="J711" s="1130"/>
      <c r="K711" s="1199">
        <v>801</v>
      </c>
      <c r="L711" s="1200"/>
      <c r="M711" s="1200"/>
      <c r="N711" s="1200"/>
      <c r="O711" s="1201"/>
      <c r="P711" s="1164">
        <f t="shared" si="26"/>
        <v>16821</v>
      </c>
      <c r="Q711" s="1119"/>
      <c r="R711" s="1119"/>
      <c r="S711" s="1119"/>
      <c r="T711" s="1165"/>
      <c r="U711" s="1199">
        <v>7</v>
      </c>
      <c r="V711" s="1200"/>
      <c r="W711" s="1200"/>
      <c r="X711" s="1201"/>
      <c r="Y711" s="1164">
        <f t="shared" si="28"/>
        <v>808</v>
      </c>
      <c r="Z711" s="1119"/>
      <c r="AA711" s="1119"/>
      <c r="AB711" s="1119"/>
      <c r="AC711" s="1165"/>
      <c r="AD711" s="1157">
        <v>0.5</v>
      </c>
      <c r="AE711" s="1158"/>
      <c r="AF711" s="1158"/>
      <c r="AG711" s="1158"/>
      <c r="AH711" s="1159"/>
      <c r="AI711" s="1132">
        <f t="shared" si="27"/>
        <v>0.5</v>
      </c>
      <c r="AJ711" s="1133"/>
      <c r="AK711" s="113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13" t="s">
        <v>170</v>
      </c>
      <c r="C712" s="1214"/>
      <c r="D712" s="1214"/>
      <c r="E712" s="1214"/>
      <c r="F712" s="1215"/>
      <c r="G712" s="1128">
        <v>4</v>
      </c>
      <c r="H712" s="1129"/>
      <c r="I712" s="1129"/>
      <c r="J712" s="1130"/>
      <c r="K712" s="1202">
        <v>478</v>
      </c>
      <c r="L712" s="1202"/>
      <c r="M712" s="1202"/>
      <c r="N712" s="1202"/>
      <c r="O712" s="1202"/>
      <c r="P712" s="1127">
        <f t="shared" si="26"/>
        <v>1912</v>
      </c>
      <c r="Q712" s="1127"/>
      <c r="R712" s="1127"/>
      <c r="S712" s="1127"/>
      <c r="T712" s="1127"/>
      <c r="U712" s="1199">
        <v>7</v>
      </c>
      <c r="V712" s="1200"/>
      <c r="W712" s="1200"/>
      <c r="X712" s="1201"/>
      <c r="Y712" s="1127">
        <f t="shared" si="28"/>
        <v>485</v>
      </c>
      <c r="Z712" s="1127"/>
      <c r="AA712" s="1127"/>
      <c r="AB712" s="1127"/>
      <c r="AC712" s="1127"/>
      <c r="AD712" s="1157">
        <v>0.3</v>
      </c>
      <c r="AE712" s="1158"/>
      <c r="AF712" s="1158"/>
      <c r="AG712" s="1158"/>
      <c r="AH712" s="1159"/>
      <c r="AI712" s="1132">
        <f t="shared" si="27"/>
        <v>0.30012376237623761</v>
      </c>
      <c r="AJ712" s="1133"/>
      <c r="AK712" s="113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13" t="s">
        <v>170</v>
      </c>
      <c r="C713" s="1214"/>
      <c r="D713" s="1214"/>
      <c r="E713" s="1214"/>
      <c r="F713" s="1215"/>
      <c r="G713" s="1128">
        <v>2</v>
      </c>
      <c r="H713" s="1129"/>
      <c r="I713" s="1129"/>
      <c r="J713" s="1130"/>
      <c r="K713" s="1202">
        <v>478</v>
      </c>
      <c r="L713" s="1202"/>
      <c r="M713" s="1202"/>
      <c r="N713" s="1202"/>
      <c r="O713" s="1202"/>
      <c r="P713" s="1127">
        <f t="shared" si="26"/>
        <v>956</v>
      </c>
      <c r="Q713" s="1127"/>
      <c r="R713" s="1127"/>
      <c r="S713" s="1127"/>
      <c r="T713" s="1127"/>
      <c r="U713" s="1199">
        <v>7</v>
      </c>
      <c r="V713" s="1200"/>
      <c r="W713" s="1200"/>
      <c r="X713" s="1201"/>
      <c r="Y713" s="1127">
        <f t="shared" si="28"/>
        <v>485</v>
      </c>
      <c r="Z713" s="1127"/>
      <c r="AA713" s="1127"/>
      <c r="AB713" s="1127"/>
      <c r="AC713" s="1127"/>
      <c r="AD713" s="1157">
        <v>0.3</v>
      </c>
      <c r="AE713" s="1158"/>
      <c r="AF713" s="1158"/>
      <c r="AG713" s="1158"/>
      <c r="AH713" s="1159"/>
      <c r="AI713" s="1132">
        <f t="shared" si="27"/>
        <v>0.30012376237623761</v>
      </c>
      <c r="AJ713" s="1133"/>
      <c r="AK713" s="113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13" t="s">
        <v>171</v>
      </c>
      <c r="C714" s="1214"/>
      <c r="D714" s="1214"/>
      <c r="E714" s="1214"/>
      <c r="F714" s="1215"/>
      <c r="G714" s="1128">
        <v>21</v>
      </c>
      <c r="H714" s="1129"/>
      <c r="I714" s="1129"/>
      <c r="J714" s="1130"/>
      <c r="K714" s="1202">
        <v>927</v>
      </c>
      <c r="L714" s="1202"/>
      <c r="M714" s="1202"/>
      <c r="N714" s="1202"/>
      <c r="O714" s="1202"/>
      <c r="P714" s="1127">
        <f t="shared" si="26"/>
        <v>19467</v>
      </c>
      <c r="Q714" s="1127"/>
      <c r="R714" s="1127"/>
      <c r="S714" s="1127"/>
      <c r="T714" s="1127"/>
      <c r="U714" s="1199">
        <v>6</v>
      </c>
      <c r="V714" s="1200"/>
      <c r="W714" s="1200"/>
      <c r="X714" s="1201"/>
      <c r="Y714" s="1127">
        <f t="shared" si="28"/>
        <v>933</v>
      </c>
      <c r="Z714" s="1127"/>
      <c r="AA714" s="1127"/>
      <c r="AB714" s="1127"/>
      <c r="AC714" s="1127"/>
      <c r="AD714" s="1157">
        <v>0.5</v>
      </c>
      <c r="AE714" s="1158"/>
      <c r="AF714" s="1158"/>
      <c r="AG714" s="1158"/>
      <c r="AH714" s="1159"/>
      <c r="AI714" s="1132">
        <f t="shared" si="27"/>
        <v>0.5</v>
      </c>
      <c r="AJ714" s="1133"/>
      <c r="AK714" s="113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13" t="s">
        <v>171</v>
      </c>
      <c r="C715" s="1214"/>
      <c r="D715" s="1214"/>
      <c r="E715" s="1214"/>
      <c r="F715" s="1215"/>
      <c r="G715" s="1128">
        <v>6</v>
      </c>
      <c r="H715" s="1129"/>
      <c r="I715" s="1129"/>
      <c r="J715" s="1130"/>
      <c r="K715" s="1202">
        <v>554</v>
      </c>
      <c r="L715" s="1202"/>
      <c r="M715" s="1202"/>
      <c r="N715" s="1202"/>
      <c r="O715" s="1202"/>
      <c r="P715" s="1127">
        <f t="shared" si="26"/>
        <v>3324</v>
      </c>
      <c r="Q715" s="1127"/>
      <c r="R715" s="1127"/>
      <c r="S715" s="1127"/>
      <c r="T715" s="1127"/>
      <c r="U715" s="1199">
        <v>6</v>
      </c>
      <c r="V715" s="1200"/>
      <c r="W715" s="1200"/>
      <c r="X715" s="1201"/>
      <c r="Y715" s="1127">
        <f t="shared" si="28"/>
        <v>560</v>
      </c>
      <c r="Z715" s="1127"/>
      <c r="AA715" s="1127"/>
      <c r="AB715" s="1127"/>
      <c r="AC715" s="1127"/>
      <c r="AD715" s="1157">
        <v>0.3</v>
      </c>
      <c r="AE715" s="1158"/>
      <c r="AF715" s="1158"/>
      <c r="AG715" s="1158"/>
      <c r="AH715" s="1159"/>
      <c r="AI715" s="1132">
        <f t="shared" si="27"/>
        <v>0.30010718113612006</v>
      </c>
      <c r="AJ715" s="1133"/>
      <c r="AK715" s="113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4"/>
      <c r="C716" s="1185"/>
      <c r="D716" s="1185"/>
      <c r="E716" s="1185"/>
      <c r="F716" s="1186"/>
      <c r="G716" s="1169"/>
      <c r="H716" s="1170"/>
      <c r="I716" s="1170"/>
      <c r="J716" s="1171"/>
      <c r="K716" s="1198"/>
      <c r="L716" s="1198"/>
      <c r="M716" s="1198"/>
      <c r="N716" s="1198"/>
      <c r="O716" s="1198"/>
      <c r="P716" s="1127">
        <f t="shared" si="26"/>
        <v>0</v>
      </c>
      <c r="Q716" s="1127"/>
      <c r="R716" s="1127"/>
      <c r="S716" s="1127"/>
      <c r="T716" s="1127"/>
      <c r="U716" s="1216"/>
      <c r="V716" s="1217"/>
      <c r="W716" s="1217"/>
      <c r="X716" s="1218"/>
      <c r="Y716" s="1127">
        <f t="shared" si="28"/>
        <v>0</v>
      </c>
      <c r="Z716" s="1127"/>
      <c r="AA716" s="1127"/>
      <c r="AB716" s="1127"/>
      <c r="AC716" s="1127"/>
      <c r="AD716" s="1116"/>
      <c r="AE716" s="1117"/>
      <c r="AF716" s="1117"/>
      <c r="AG716" s="1117"/>
      <c r="AH716" s="1118"/>
      <c r="AI716" s="1132" t="str">
        <f t="shared" si="27"/>
        <v xml:space="preserve"> </v>
      </c>
      <c r="AJ716" s="1133"/>
      <c r="AK716" s="113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4"/>
      <c r="C717" s="1185"/>
      <c r="D717" s="1185"/>
      <c r="E717" s="1185"/>
      <c r="F717" s="1186"/>
      <c r="G717" s="1169"/>
      <c r="H717" s="1170"/>
      <c r="I717" s="1170"/>
      <c r="J717" s="1171"/>
      <c r="K717" s="1198"/>
      <c r="L717" s="1198"/>
      <c r="M717" s="1198"/>
      <c r="N717" s="1198"/>
      <c r="O717" s="1198"/>
      <c r="P717" s="1127">
        <f t="shared" si="26"/>
        <v>0</v>
      </c>
      <c r="Q717" s="1127"/>
      <c r="R717" s="1127"/>
      <c r="S717" s="1127"/>
      <c r="T717" s="1127"/>
      <c r="U717" s="1216"/>
      <c r="V717" s="1217"/>
      <c r="W717" s="1217"/>
      <c r="X717" s="1218"/>
      <c r="Y717" s="1127">
        <f t="shared" si="28"/>
        <v>0</v>
      </c>
      <c r="Z717" s="1127"/>
      <c r="AA717" s="1127"/>
      <c r="AB717" s="1127"/>
      <c r="AC717" s="1127"/>
      <c r="AD717" s="1116"/>
      <c r="AE717" s="1117"/>
      <c r="AF717" s="1117"/>
      <c r="AG717" s="1117"/>
      <c r="AH717" s="1118"/>
      <c r="AI717" s="1132" t="str">
        <f t="shared" si="27"/>
        <v xml:space="preserve"> </v>
      </c>
      <c r="AJ717" s="1133"/>
      <c r="AK717" s="113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4"/>
      <c r="C718" s="1185"/>
      <c r="D718" s="1185"/>
      <c r="E718" s="1185"/>
      <c r="F718" s="1186"/>
      <c r="G718" s="1169"/>
      <c r="H718" s="1170"/>
      <c r="I718" s="1170"/>
      <c r="J718" s="1171"/>
      <c r="K718" s="1275"/>
      <c r="L718" s="1275"/>
      <c r="M718" s="1275"/>
      <c r="N718" s="1275"/>
      <c r="O718" s="1275"/>
      <c r="P718" s="1131">
        <f t="shared" si="26"/>
        <v>0</v>
      </c>
      <c r="Q718" s="1131"/>
      <c r="R718" s="1131"/>
      <c r="S718" s="1131"/>
      <c r="T718" s="1131"/>
      <c r="U718" s="1216"/>
      <c r="V718" s="1217"/>
      <c r="W718" s="1217"/>
      <c r="X718" s="1218"/>
      <c r="Y718" s="1131">
        <f t="shared" si="28"/>
        <v>0</v>
      </c>
      <c r="Z718" s="1131"/>
      <c r="AA718" s="1131"/>
      <c r="AB718" s="1131"/>
      <c r="AC718" s="1131"/>
      <c r="AD718" s="1116"/>
      <c r="AE718" s="1117"/>
      <c r="AF718" s="1117"/>
      <c r="AG718" s="1117"/>
      <c r="AH718" s="1118"/>
      <c r="AI718" s="1132" t="str">
        <f t="shared" si="27"/>
        <v xml:space="preserve"> </v>
      </c>
      <c r="AJ718" s="1133"/>
      <c r="AK718" s="113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4"/>
      <c r="C719" s="1185"/>
      <c r="D719" s="1185"/>
      <c r="E719" s="1185"/>
      <c r="F719" s="1186"/>
      <c r="G719" s="1169"/>
      <c r="H719" s="1170"/>
      <c r="I719" s="1170"/>
      <c r="J719" s="1171"/>
      <c r="K719" s="1198"/>
      <c r="L719" s="1198"/>
      <c r="M719" s="1198"/>
      <c r="N719" s="1198"/>
      <c r="O719" s="1198"/>
      <c r="P719" s="1127">
        <f t="shared" si="26"/>
        <v>0</v>
      </c>
      <c r="Q719" s="1127"/>
      <c r="R719" s="1127"/>
      <c r="S719" s="1127"/>
      <c r="T719" s="1127"/>
      <c r="U719" s="1216"/>
      <c r="V719" s="1217"/>
      <c r="W719" s="1217"/>
      <c r="X719" s="1218"/>
      <c r="Y719" s="1127">
        <f t="shared" si="28"/>
        <v>0</v>
      </c>
      <c r="Z719" s="1127"/>
      <c r="AA719" s="1127"/>
      <c r="AB719" s="1127"/>
      <c r="AC719" s="1127"/>
      <c r="AD719" s="1116"/>
      <c r="AE719" s="1117"/>
      <c r="AF719" s="1117"/>
      <c r="AG719" s="1117"/>
      <c r="AH719" s="1118"/>
      <c r="AI719" s="1132" t="str">
        <f t="shared" si="27"/>
        <v xml:space="preserve"> </v>
      </c>
      <c r="AJ719" s="1133"/>
      <c r="AK719" s="113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4"/>
      <c r="C720" s="1185"/>
      <c r="D720" s="1185"/>
      <c r="E720" s="1185"/>
      <c r="F720" s="1186"/>
      <c r="G720" s="1169"/>
      <c r="H720" s="1170"/>
      <c r="I720" s="1170"/>
      <c r="J720" s="1171"/>
      <c r="K720" s="1198"/>
      <c r="L720" s="1198"/>
      <c r="M720" s="1198"/>
      <c r="N720" s="1198"/>
      <c r="O720" s="1198"/>
      <c r="P720" s="1127">
        <f t="shared" si="26"/>
        <v>0</v>
      </c>
      <c r="Q720" s="1127"/>
      <c r="R720" s="1127"/>
      <c r="S720" s="1127"/>
      <c r="T720" s="1127"/>
      <c r="U720" s="1216">
        <v>0</v>
      </c>
      <c r="V720" s="1217"/>
      <c r="W720" s="1217"/>
      <c r="X720" s="1218"/>
      <c r="Y720" s="1127">
        <f t="shared" si="28"/>
        <v>0</v>
      </c>
      <c r="Z720" s="1127"/>
      <c r="AA720" s="1127"/>
      <c r="AB720" s="1127"/>
      <c r="AC720" s="1127"/>
      <c r="AD720" s="1116">
        <v>0</v>
      </c>
      <c r="AE720" s="1117"/>
      <c r="AF720" s="1117"/>
      <c r="AG720" s="1117"/>
      <c r="AH720" s="1118"/>
      <c r="AI720" s="1132" t="str">
        <f t="shared" si="27"/>
        <v xml:space="preserve"> </v>
      </c>
      <c r="AJ720" s="1133"/>
      <c r="AK720" s="113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4"/>
      <c r="C721" s="1185"/>
      <c r="D721" s="1185"/>
      <c r="E721" s="1185"/>
      <c r="F721" s="1186"/>
      <c r="G721" s="1169"/>
      <c r="H721" s="1170"/>
      <c r="I721" s="1170"/>
      <c r="J721" s="1171"/>
      <c r="K721" s="1198"/>
      <c r="L721" s="1198"/>
      <c r="M721" s="1198"/>
      <c r="N721" s="1198"/>
      <c r="O721" s="1198"/>
      <c r="P721" s="1127">
        <f t="shared" si="26"/>
        <v>0</v>
      </c>
      <c r="Q721" s="1127"/>
      <c r="R721" s="1127"/>
      <c r="S721" s="1127"/>
      <c r="T721" s="1127"/>
      <c r="U721" s="1216">
        <v>0</v>
      </c>
      <c r="V721" s="1217"/>
      <c r="W721" s="1217"/>
      <c r="X721" s="1218"/>
      <c r="Y721" s="1127">
        <f t="shared" si="28"/>
        <v>0</v>
      </c>
      <c r="Z721" s="1127"/>
      <c r="AA721" s="1127"/>
      <c r="AB721" s="1127"/>
      <c r="AC721" s="1127"/>
      <c r="AD721" s="1116">
        <v>0</v>
      </c>
      <c r="AE721" s="1117"/>
      <c r="AF721" s="1117"/>
      <c r="AG721" s="1117"/>
      <c r="AH721" s="1118"/>
      <c r="AI721" s="1132" t="str">
        <f t="shared" si="27"/>
        <v xml:space="preserve"> </v>
      </c>
      <c r="AJ721" s="1133"/>
      <c r="AK721" s="113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4"/>
      <c r="C722" s="1185"/>
      <c r="D722" s="1185"/>
      <c r="E722" s="1185"/>
      <c r="F722" s="1186"/>
      <c r="G722" s="1169"/>
      <c r="H722" s="1170"/>
      <c r="I722" s="1170"/>
      <c r="J722" s="1171"/>
      <c r="K722" s="1198"/>
      <c r="L722" s="1198"/>
      <c r="M722" s="1198"/>
      <c r="N722" s="1198"/>
      <c r="O722" s="1198"/>
      <c r="P722" s="1127">
        <f t="shared" si="26"/>
        <v>0</v>
      </c>
      <c r="Q722" s="1127"/>
      <c r="R722" s="1127"/>
      <c r="S722" s="1127"/>
      <c r="T722" s="1127"/>
      <c r="U722" s="1216">
        <v>0</v>
      </c>
      <c r="V722" s="1217"/>
      <c r="W722" s="1217"/>
      <c r="X722" s="1218"/>
      <c r="Y722" s="1127">
        <f t="shared" si="28"/>
        <v>0</v>
      </c>
      <c r="Z722" s="1127"/>
      <c r="AA722" s="1127"/>
      <c r="AB722" s="1127"/>
      <c r="AC722" s="1127"/>
      <c r="AD722" s="1116">
        <v>0</v>
      </c>
      <c r="AE722" s="1117"/>
      <c r="AF722" s="1117"/>
      <c r="AG722" s="1117"/>
      <c r="AH722" s="1118"/>
      <c r="AI722" s="1132" t="str">
        <f t="shared" si="27"/>
        <v xml:space="preserve"> </v>
      </c>
      <c r="AJ722" s="1133"/>
      <c r="AK722" s="113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4"/>
      <c r="C723" s="1185"/>
      <c r="D723" s="1185"/>
      <c r="E723" s="1185"/>
      <c r="F723" s="1186"/>
      <c r="G723" s="1169"/>
      <c r="H723" s="1170"/>
      <c r="I723" s="1170"/>
      <c r="J723" s="1171"/>
      <c r="K723" s="1198"/>
      <c r="L723" s="1198"/>
      <c r="M723" s="1198"/>
      <c r="N723" s="1198"/>
      <c r="O723" s="1198"/>
      <c r="P723" s="1127">
        <f t="shared" si="26"/>
        <v>0</v>
      </c>
      <c r="Q723" s="1127"/>
      <c r="R723" s="1127"/>
      <c r="S723" s="1127"/>
      <c r="T723" s="1127"/>
      <c r="U723" s="1216">
        <v>0</v>
      </c>
      <c r="V723" s="1217"/>
      <c r="W723" s="1217"/>
      <c r="X723" s="1218"/>
      <c r="Y723" s="1127">
        <f t="shared" si="28"/>
        <v>0</v>
      </c>
      <c r="Z723" s="1127"/>
      <c r="AA723" s="1127"/>
      <c r="AB723" s="1127"/>
      <c r="AC723" s="1127"/>
      <c r="AD723" s="1116">
        <v>0</v>
      </c>
      <c r="AE723" s="1117"/>
      <c r="AF723" s="1117"/>
      <c r="AG723" s="1117"/>
      <c r="AH723" s="1118"/>
      <c r="AI723" s="1132" t="str">
        <f t="shared" si="27"/>
        <v xml:space="preserve"> </v>
      </c>
      <c r="AJ723" s="1133"/>
      <c r="AK723" s="113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4"/>
      <c r="C724" s="1185"/>
      <c r="D724" s="1185"/>
      <c r="E724" s="1185"/>
      <c r="F724" s="1186"/>
      <c r="G724" s="1169"/>
      <c r="H724" s="1170"/>
      <c r="I724" s="1170"/>
      <c r="J724" s="1171"/>
      <c r="K724" s="1198"/>
      <c r="L724" s="1198"/>
      <c r="M724" s="1198"/>
      <c r="N724" s="1198"/>
      <c r="O724" s="1198"/>
      <c r="P724" s="1127">
        <f t="shared" si="26"/>
        <v>0</v>
      </c>
      <c r="Q724" s="1127"/>
      <c r="R724" s="1127"/>
      <c r="S724" s="1127"/>
      <c r="T724" s="1127"/>
      <c r="U724" s="1216">
        <v>0</v>
      </c>
      <c r="V724" s="1217"/>
      <c r="W724" s="1217"/>
      <c r="X724" s="1218"/>
      <c r="Y724" s="1127">
        <f>K724+U724</f>
        <v>0</v>
      </c>
      <c r="Z724" s="1127"/>
      <c r="AA724" s="1127"/>
      <c r="AB724" s="1127"/>
      <c r="AC724" s="1127"/>
      <c r="AD724" s="1116">
        <v>0</v>
      </c>
      <c r="AE724" s="1117"/>
      <c r="AF724" s="1117"/>
      <c r="AG724" s="1117"/>
      <c r="AH724" s="1118"/>
      <c r="AI724" s="1132" t="str">
        <f t="shared" si="27"/>
        <v xml:space="preserve"> </v>
      </c>
      <c r="AJ724" s="1133"/>
      <c r="AK724" s="113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4"/>
      <c r="C725" s="1185"/>
      <c r="D725" s="1185"/>
      <c r="E725" s="1185"/>
      <c r="F725" s="1186"/>
      <c r="G725" s="1169"/>
      <c r="H725" s="1170"/>
      <c r="I725" s="1170"/>
      <c r="J725" s="1171"/>
      <c r="K725" s="1198"/>
      <c r="L725" s="1198"/>
      <c r="M725" s="1198"/>
      <c r="N725" s="1198"/>
      <c r="O725" s="1198"/>
      <c r="P725" s="1127">
        <f t="shared" si="26"/>
        <v>0</v>
      </c>
      <c r="Q725" s="1127"/>
      <c r="R725" s="1127"/>
      <c r="S725" s="1127"/>
      <c r="T725" s="1127"/>
      <c r="U725" s="1216">
        <v>0</v>
      </c>
      <c r="V725" s="1217"/>
      <c r="W725" s="1217"/>
      <c r="X725" s="1218"/>
      <c r="Y725" s="1127">
        <f>K725+U725</f>
        <v>0</v>
      </c>
      <c r="Z725" s="1127"/>
      <c r="AA725" s="1127"/>
      <c r="AB725" s="1127"/>
      <c r="AC725" s="1127"/>
      <c r="AD725" s="1116">
        <v>0</v>
      </c>
      <c r="AE725" s="1117"/>
      <c r="AF725" s="1117"/>
      <c r="AG725" s="1117"/>
      <c r="AH725" s="1118"/>
      <c r="AI725" s="1132" t="str">
        <f t="shared" si="27"/>
        <v xml:space="preserve"> </v>
      </c>
      <c r="AJ725" s="1133"/>
      <c r="AK725" s="113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4"/>
      <c r="C726" s="1185"/>
      <c r="D726" s="1185"/>
      <c r="E726" s="1185"/>
      <c r="F726" s="1186"/>
      <c r="G726" s="1169"/>
      <c r="H726" s="1170"/>
      <c r="I726" s="1170"/>
      <c r="J726" s="1171"/>
      <c r="K726" s="1198"/>
      <c r="L726" s="1198"/>
      <c r="M726" s="1198"/>
      <c r="N726" s="1198"/>
      <c r="O726" s="1198"/>
      <c r="P726" s="1127">
        <f t="shared" si="26"/>
        <v>0</v>
      </c>
      <c r="Q726" s="1127"/>
      <c r="R726" s="1127"/>
      <c r="S726" s="1127"/>
      <c r="T726" s="1127"/>
      <c r="U726" s="1216">
        <v>0</v>
      </c>
      <c r="V726" s="1217"/>
      <c r="W726" s="1217"/>
      <c r="X726" s="1218"/>
      <c r="Y726" s="1127">
        <f>K726+U726</f>
        <v>0</v>
      </c>
      <c r="Z726" s="1127"/>
      <c r="AA726" s="1127"/>
      <c r="AB726" s="1127"/>
      <c r="AC726" s="1127"/>
      <c r="AD726" s="1116">
        <v>0</v>
      </c>
      <c r="AE726" s="1117"/>
      <c r="AF726" s="1117"/>
      <c r="AG726" s="1117"/>
      <c r="AH726" s="1118"/>
      <c r="AI726" s="1132" t="str">
        <f t="shared" si="27"/>
        <v xml:space="preserve"> </v>
      </c>
      <c r="AJ726" s="1133"/>
      <c r="AK726" s="113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4"/>
      <c r="C727" s="1185"/>
      <c r="D727" s="1185"/>
      <c r="E727" s="1185"/>
      <c r="F727" s="1186"/>
      <c r="G727" s="1169"/>
      <c r="H727" s="1170"/>
      <c r="I727" s="1170"/>
      <c r="J727" s="1171"/>
      <c r="K727" s="1198"/>
      <c r="L727" s="1198"/>
      <c r="M727" s="1198"/>
      <c r="N727" s="1198"/>
      <c r="O727" s="1198"/>
      <c r="P727" s="1127">
        <f t="shared" si="26"/>
        <v>0</v>
      </c>
      <c r="Q727" s="1127"/>
      <c r="R727" s="1127"/>
      <c r="S727" s="1127"/>
      <c r="T727" s="1127"/>
      <c r="U727" s="1216">
        <v>0</v>
      </c>
      <c r="V727" s="1217"/>
      <c r="W727" s="1217"/>
      <c r="X727" s="1218"/>
      <c r="Y727" s="1127">
        <f>K727+U727</f>
        <v>0</v>
      </c>
      <c r="Z727" s="1127"/>
      <c r="AA727" s="1127"/>
      <c r="AB727" s="1127"/>
      <c r="AC727" s="1127"/>
      <c r="AD727" s="1116">
        <v>0</v>
      </c>
      <c r="AE727" s="1117"/>
      <c r="AF727" s="1117"/>
      <c r="AG727" s="1117"/>
      <c r="AH727" s="1118"/>
      <c r="AI727" s="1132" t="str">
        <f t="shared" si="27"/>
        <v xml:space="preserve"> </v>
      </c>
      <c r="AJ727" s="1133"/>
      <c r="AK727" s="113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4"/>
      <c r="C728" s="1185"/>
      <c r="D728" s="1185"/>
      <c r="E728" s="1185"/>
      <c r="F728" s="1186"/>
      <c r="G728" s="1169"/>
      <c r="H728" s="1170"/>
      <c r="I728" s="1170"/>
      <c r="J728" s="1171"/>
      <c r="K728" s="1198"/>
      <c r="L728" s="1198"/>
      <c r="M728" s="1198"/>
      <c r="N728" s="1198"/>
      <c r="O728" s="1198"/>
      <c r="P728" s="1127">
        <f t="shared" si="26"/>
        <v>0</v>
      </c>
      <c r="Q728" s="1127"/>
      <c r="R728" s="1127"/>
      <c r="S728" s="1127"/>
      <c r="T728" s="1127"/>
      <c r="U728" s="1216">
        <v>0</v>
      </c>
      <c r="V728" s="1217"/>
      <c r="W728" s="1217"/>
      <c r="X728" s="1218"/>
      <c r="Y728" s="1127">
        <f>K728+U728</f>
        <v>0</v>
      </c>
      <c r="Z728" s="1127"/>
      <c r="AA728" s="1127"/>
      <c r="AB728" s="1127"/>
      <c r="AC728" s="1127"/>
      <c r="AD728" s="1116">
        <v>0</v>
      </c>
      <c r="AE728" s="1117"/>
      <c r="AF728" s="1117"/>
      <c r="AG728" s="1117"/>
      <c r="AH728" s="1118"/>
      <c r="AI728" s="1132" t="str">
        <f t="shared" si="27"/>
        <v xml:space="preserve"> </v>
      </c>
      <c r="AJ728" s="1133"/>
      <c r="AK728" s="113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4"/>
      <c r="C729" s="1185"/>
      <c r="D729" s="1185"/>
      <c r="E729" s="1185"/>
      <c r="F729" s="1186"/>
      <c r="G729" s="1169"/>
      <c r="H729" s="1170"/>
      <c r="I729" s="1170"/>
      <c r="J729" s="1171"/>
      <c r="K729" s="1198"/>
      <c r="L729" s="1198"/>
      <c r="M729" s="1198"/>
      <c r="N729" s="1198"/>
      <c r="O729" s="1198"/>
      <c r="P729" s="1127">
        <f t="shared" si="26"/>
        <v>0</v>
      </c>
      <c r="Q729" s="1127"/>
      <c r="R729" s="1127"/>
      <c r="S729" s="1127"/>
      <c r="T729" s="1127"/>
      <c r="U729" s="1216">
        <v>0</v>
      </c>
      <c r="V729" s="1217"/>
      <c r="W729" s="1217"/>
      <c r="X729" s="1218"/>
      <c r="Y729" s="1127">
        <f t="shared" si="28"/>
        <v>0</v>
      </c>
      <c r="Z729" s="1127"/>
      <c r="AA729" s="1127"/>
      <c r="AB729" s="1127"/>
      <c r="AC729" s="1127"/>
      <c r="AD729" s="1116">
        <v>0</v>
      </c>
      <c r="AE729" s="1117"/>
      <c r="AF729" s="1117"/>
      <c r="AG729" s="1117"/>
      <c r="AH729" s="1118"/>
      <c r="AI729" s="1132" t="str">
        <f t="shared" si="27"/>
        <v xml:space="preserve"> </v>
      </c>
      <c r="AJ729" s="1133"/>
      <c r="AK729" s="113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4"/>
      <c r="C730" s="1185"/>
      <c r="D730" s="1185"/>
      <c r="E730" s="1185"/>
      <c r="F730" s="1186"/>
      <c r="G730" s="1169"/>
      <c r="H730" s="1170"/>
      <c r="I730" s="1170"/>
      <c r="J730" s="1171"/>
      <c r="K730" s="1198"/>
      <c r="L730" s="1198"/>
      <c r="M730" s="1198"/>
      <c r="N730" s="1198"/>
      <c r="O730" s="1198"/>
      <c r="P730" s="1127">
        <f t="shared" si="26"/>
        <v>0</v>
      </c>
      <c r="Q730" s="1127"/>
      <c r="R730" s="1127"/>
      <c r="S730" s="1127"/>
      <c r="T730" s="1127"/>
      <c r="U730" s="1216">
        <v>0</v>
      </c>
      <c r="V730" s="1217"/>
      <c r="W730" s="1217"/>
      <c r="X730" s="1218"/>
      <c r="Y730" s="1127">
        <f t="shared" si="28"/>
        <v>0</v>
      </c>
      <c r="Z730" s="1127"/>
      <c r="AA730" s="1127"/>
      <c r="AB730" s="1127"/>
      <c r="AC730" s="1127"/>
      <c r="AD730" s="1116">
        <v>0</v>
      </c>
      <c r="AE730" s="1117"/>
      <c r="AF730" s="1117"/>
      <c r="AG730" s="1117"/>
      <c r="AH730" s="1118"/>
      <c r="AI730" s="1132" t="str">
        <f t="shared" si="27"/>
        <v xml:space="preserve"> </v>
      </c>
      <c r="AJ730" s="1133"/>
      <c r="AK730" s="113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4"/>
      <c r="C731" s="1185"/>
      <c r="D731" s="1185"/>
      <c r="E731" s="1185"/>
      <c r="F731" s="1186"/>
      <c r="G731" s="1169"/>
      <c r="H731" s="1170"/>
      <c r="I731" s="1170"/>
      <c r="J731" s="1171"/>
      <c r="K731" s="1198"/>
      <c r="L731" s="1198"/>
      <c r="M731" s="1198"/>
      <c r="N731" s="1198"/>
      <c r="O731" s="1198"/>
      <c r="P731" s="1127">
        <f t="shared" si="26"/>
        <v>0</v>
      </c>
      <c r="Q731" s="1127"/>
      <c r="R731" s="1127"/>
      <c r="S731" s="1127"/>
      <c r="T731" s="1127"/>
      <c r="U731" s="1216">
        <v>0</v>
      </c>
      <c r="V731" s="1217"/>
      <c r="W731" s="1217"/>
      <c r="X731" s="1218"/>
      <c r="Y731" s="1127">
        <f t="shared" si="28"/>
        <v>0</v>
      </c>
      <c r="Z731" s="1127"/>
      <c r="AA731" s="1127"/>
      <c r="AB731" s="1127"/>
      <c r="AC731" s="1127"/>
      <c r="AD731" s="1116">
        <v>0</v>
      </c>
      <c r="AE731" s="1117"/>
      <c r="AF731" s="1117"/>
      <c r="AG731" s="1117"/>
      <c r="AH731" s="1118"/>
      <c r="AI731" s="1132" t="str">
        <f t="shared" si="27"/>
        <v xml:space="preserve"> </v>
      </c>
      <c r="AJ731" s="1133"/>
      <c r="AK731" s="113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4"/>
      <c r="C732" s="1185"/>
      <c r="D732" s="1185"/>
      <c r="E732" s="1185"/>
      <c r="F732" s="1186"/>
      <c r="G732" s="1169"/>
      <c r="H732" s="1170"/>
      <c r="I732" s="1170"/>
      <c r="J732" s="1171"/>
      <c r="K732" s="1198"/>
      <c r="L732" s="1198"/>
      <c r="M732" s="1198"/>
      <c r="N732" s="1198"/>
      <c r="O732" s="1198"/>
      <c r="P732" s="1127">
        <f t="shared" si="26"/>
        <v>0</v>
      </c>
      <c r="Q732" s="1127"/>
      <c r="R732" s="1127"/>
      <c r="S732" s="1127"/>
      <c r="T732" s="1127"/>
      <c r="U732" s="1216">
        <v>0</v>
      </c>
      <c r="V732" s="1217"/>
      <c r="W732" s="1217"/>
      <c r="X732" s="1218"/>
      <c r="Y732" s="1127">
        <f t="shared" si="28"/>
        <v>0</v>
      </c>
      <c r="Z732" s="1127"/>
      <c r="AA732" s="1127"/>
      <c r="AB732" s="1127"/>
      <c r="AC732" s="1127"/>
      <c r="AD732" s="1116">
        <v>0</v>
      </c>
      <c r="AE732" s="1117"/>
      <c r="AF732" s="1117"/>
      <c r="AG732" s="1117"/>
      <c r="AH732" s="1118"/>
      <c r="AI732" s="1132" t="str">
        <f t="shared" si="27"/>
        <v xml:space="preserve"> </v>
      </c>
      <c r="AJ732" s="1133"/>
      <c r="AK732" s="113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4"/>
      <c r="C733" s="1185"/>
      <c r="D733" s="1185"/>
      <c r="E733" s="1185"/>
      <c r="F733" s="1186"/>
      <c r="G733" s="1169"/>
      <c r="H733" s="1170"/>
      <c r="I733" s="1170"/>
      <c r="J733" s="1171"/>
      <c r="K733" s="1198"/>
      <c r="L733" s="1198"/>
      <c r="M733" s="1198"/>
      <c r="N733" s="1198"/>
      <c r="O733" s="1198"/>
      <c r="P733" s="1127">
        <f t="shared" si="26"/>
        <v>0</v>
      </c>
      <c r="Q733" s="1127"/>
      <c r="R733" s="1127"/>
      <c r="S733" s="1127"/>
      <c r="T733" s="1127"/>
      <c r="U733" s="1216">
        <v>0</v>
      </c>
      <c r="V733" s="1217"/>
      <c r="W733" s="1217"/>
      <c r="X733" s="1218"/>
      <c r="Y733" s="1127">
        <f t="shared" si="28"/>
        <v>0</v>
      </c>
      <c r="Z733" s="1127"/>
      <c r="AA733" s="1127"/>
      <c r="AB733" s="1127"/>
      <c r="AC733" s="1127"/>
      <c r="AD733" s="1116">
        <v>0</v>
      </c>
      <c r="AE733" s="1117"/>
      <c r="AF733" s="1117"/>
      <c r="AG733" s="1117"/>
      <c r="AH733" s="1118"/>
      <c r="AI733" s="1544" t="str">
        <f t="shared" si="27"/>
        <v xml:space="preserve"> </v>
      </c>
      <c r="AJ733" s="1545"/>
      <c r="AK733" s="154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1" t="s">
        <v>132</v>
      </c>
      <c r="C734" s="1182"/>
      <c r="D734" s="1182"/>
      <c r="E734" s="1182"/>
      <c r="F734" s="1183"/>
      <c r="G734" s="1246">
        <f>SUM(G709:J733)</f>
        <v>104</v>
      </c>
      <c r="H734" s="1247"/>
      <c r="I734" s="1247"/>
      <c r="J734" s="1248"/>
      <c r="K734" s="1181" t="s">
        <v>131</v>
      </c>
      <c r="L734" s="1182"/>
      <c r="M734" s="1182"/>
      <c r="N734" s="1182"/>
      <c r="O734" s="1183"/>
      <c r="P734" s="1164">
        <f>SUM(P709:T733)</f>
        <v>73140</v>
      </c>
      <c r="Q734" s="1119"/>
      <c r="R734" s="1119"/>
      <c r="S734" s="1119"/>
      <c r="T734" s="1165"/>
      <c r="Y734" s="1254" t="s">
        <v>999</v>
      </c>
      <c r="Z734" s="1255"/>
      <c r="AA734" s="1255"/>
      <c r="AB734" s="1255"/>
      <c r="AC734" s="1256"/>
      <c r="AD734" s="1586">
        <f>AV675</f>
        <v>0.45769230769230768</v>
      </c>
      <c r="AE734" s="1587"/>
      <c r="AF734" s="1587"/>
      <c r="AG734" s="1587"/>
      <c r="AH734" s="15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8" t="s">
        <v>642</v>
      </c>
      <c r="AG736" s="1578"/>
      <c r="AH736" s="157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45" t="s">
        <v>302</v>
      </c>
      <c r="P750" s="1245"/>
      <c r="Q750" s="1245"/>
      <c r="R750" s="1245"/>
      <c r="S750" s="1245"/>
      <c r="T750" s="1245" t="s">
        <v>492</v>
      </c>
      <c r="U750" s="1245"/>
      <c r="V750" s="1245"/>
      <c r="W750" s="1245"/>
      <c r="X750" s="1245"/>
      <c r="Y750" s="1245" t="s">
        <v>303</v>
      </c>
      <c r="Z750" s="1245"/>
      <c r="AA750" s="1245"/>
      <c r="AB750" s="1245"/>
      <c r="AC750" s="124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45"/>
      <c r="P751" s="1245"/>
      <c r="Q751" s="1245"/>
      <c r="R751" s="1245"/>
      <c r="S751" s="1245"/>
      <c r="T751" s="1245"/>
      <c r="U751" s="1245"/>
      <c r="V751" s="1245"/>
      <c r="W751" s="1245"/>
      <c r="X751" s="1245"/>
      <c r="Y751" s="1245"/>
      <c r="Z751" s="1245"/>
      <c r="AA751" s="1245"/>
      <c r="AB751" s="1245"/>
      <c r="AC751" s="124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45"/>
      <c r="P752" s="1245"/>
      <c r="Q752" s="1245"/>
      <c r="R752" s="1245"/>
      <c r="S752" s="1245"/>
      <c r="T752" s="1245"/>
      <c r="U752" s="1245"/>
      <c r="V752" s="1245"/>
      <c r="W752" s="1245"/>
      <c r="X752" s="1245"/>
      <c r="Y752" s="1245"/>
      <c r="Z752" s="1245"/>
      <c r="AA752" s="1245"/>
      <c r="AB752" s="1245"/>
      <c r="AC752" s="124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45"/>
      <c r="P753" s="1245"/>
      <c r="Q753" s="1245"/>
      <c r="R753" s="1245"/>
      <c r="S753" s="1245"/>
      <c r="T753" s="1245"/>
      <c r="U753" s="1245"/>
      <c r="V753" s="1245"/>
      <c r="W753" s="1245"/>
      <c r="X753" s="1245"/>
      <c r="Y753" s="1245"/>
      <c r="Z753" s="1245"/>
      <c r="AA753" s="1245"/>
      <c r="AB753" s="1245"/>
      <c r="AC753" s="124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4" t="s">
        <v>170</v>
      </c>
      <c r="K754" s="1185"/>
      <c r="L754" s="1185"/>
      <c r="M754" s="1185"/>
      <c r="N754" s="1186"/>
      <c r="O754" s="1187">
        <v>1</v>
      </c>
      <c r="P754" s="1187"/>
      <c r="Q754" s="1187"/>
      <c r="R754" s="1187"/>
      <c r="S754" s="1187"/>
      <c r="T754" s="1202"/>
      <c r="U754" s="1198"/>
      <c r="V754" s="1198"/>
      <c r="W754" s="1198"/>
      <c r="X754" s="1198"/>
      <c r="Y754" s="1127">
        <f>T754*O754</f>
        <v>0</v>
      </c>
      <c r="Z754" s="1127"/>
      <c r="AA754" s="1127"/>
      <c r="AB754" s="1127"/>
      <c r="AC754" s="112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4"/>
      <c r="K755" s="1185"/>
      <c r="L755" s="1185"/>
      <c r="M755" s="1185"/>
      <c r="N755" s="1186"/>
      <c r="O755" s="1187"/>
      <c r="P755" s="1187"/>
      <c r="Q755" s="1187"/>
      <c r="R755" s="1187"/>
      <c r="S755" s="1187"/>
      <c r="T755" s="1198"/>
      <c r="U755" s="1198"/>
      <c r="V755" s="1198"/>
      <c r="W755" s="1198"/>
      <c r="X755" s="1198"/>
      <c r="Y755" s="1127">
        <f>T755*O755</f>
        <v>0</v>
      </c>
      <c r="Z755" s="1127"/>
      <c r="AA755" s="1127"/>
      <c r="AB755" s="1127"/>
      <c r="AC755" s="112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4"/>
      <c r="K756" s="1185"/>
      <c r="L756" s="1185"/>
      <c r="M756" s="1185"/>
      <c r="N756" s="1186"/>
      <c r="O756" s="1187"/>
      <c r="P756" s="1187"/>
      <c r="Q756" s="1187"/>
      <c r="R756" s="1187"/>
      <c r="S756" s="1187"/>
      <c r="T756" s="1198"/>
      <c r="U756" s="1198"/>
      <c r="V756" s="1198"/>
      <c r="W756" s="1198"/>
      <c r="X756" s="1198"/>
      <c r="Y756" s="1127">
        <f>T756*O756</f>
        <v>0</v>
      </c>
      <c r="Z756" s="1127"/>
      <c r="AA756" s="1127"/>
      <c r="AB756" s="1127"/>
      <c r="AC756" s="112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4"/>
      <c r="K757" s="1185"/>
      <c r="L757" s="1185"/>
      <c r="M757" s="1185"/>
      <c r="N757" s="1186"/>
      <c r="O757" s="1187"/>
      <c r="P757" s="1187"/>
      <c r="Q757" s="1187"/>
      <c r="R757" s="1187"/>
      <c r="S757" s="1187"/>
      <c r="T757" s="1198"/>
      <c r="U757" s="1198"/>
      <c r="V757" s="1198"/>
      <c r="W757" s="1198"/>
      <c r="X757" s="1198"/>
      <c r="Y757" s="1127">
        <f>T757*O757</f>
        <v>0</v>
      </c>
      <c r="Z757" s="1127"/>
      <c r="AA757" s="1127"/>
      <c r="AB757" s="1127"/>
      <c r="AC757" s="112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1" t="s">
        <v>132</v>
      </c>
      <c r="K758" s="1182"/>
      <c r="L758" s="1182"/>
      <c r="M758" s="1182"/>
      <c r="N758" s="1183"/>
      <c r="O758" s="1436">
        <f>SUM(O754:S757)</f>
        <v>1</v>
      </c>
      <c r="P758" s="1437"/>
      <c r="Q758" s="1437"/>
      <c r="R758" s="1437"/>
      <c r="S758" s="1438"/>
      <c r="T758" s="1424" t="s">
        <v>131</v>
      </c>
      <c r="U758" s="1425"/>
      <c r="V758" s="1425"/>
      <c r="W758" s="1425"/>
      <c r="X758" s="1426"/>
      <c r="Y758" s="1164">
        <f>SUM(Y754:AC757)</f>
        <v>0</v>
      </c>
      <c r="Z758" s="1439"/>
      <c r="AA758" s="1439"/>
      <c r="AB758" s="1439"/>
      <c r="AC758" s="144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723</v>
      </c>
      <c r="K760" s="14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45" t="s">
        <v>302</v>
      </c>
      <c r="P764" s="1245"/>
      <c r="Q764" s="1245"/>
      <c r="R764" s="1245"/>
      <c r="S764" s="1245"/>
      <c r="T764" s="1245" t="s">
        <v>492</v>
      </c>
      <c r="U764" s="1245"/>
      <c r="V764" s="1245"/>
      <c r="W764" s="1245"/>
      <c r="X764" s="1245"/>
      <c r="Y764" s="1245" t="s">
        <v>303</v>
      </c>
      <c r="Z764" s="1245"/>
      <c r="AA764" s="1245"/>
      <c r="AB764" s="1245"/>
      <c r="AC764" s="124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45"/>
      <c r="P765" s="1245"/>
      <c r="Q765" s="1245"/>
      <c r="R765" s="1245"/>
      <c r="S765" s="1245"/>
      <c r="T765" s="1245"/>
      <c r="U765" s="1245"/>
      <c r="V765" s="1245"/>
      <c r="W765" s="1245"/>
      <c r="X765" s="1245"/>
      <c r="Y765" s="1245"/>
      <c r="Z765" s="1245"/>
      <c r="AA765" s="1245"/>
      <c r="AB765" s="1245"/>
      <c r="AC765" s="124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45"/>
      <c r="P766" s="1245"/>
      <c r="Q766" s="1245"/>
      <c r="R766" s="1245"/>
      <c r="S766" s="1245"/>
      <c r="T766" s="1245"/>
      <c r="U766" s="1245"/>
      <c r="V766" s="1245"/>
      <c r="W766" s="1245"/>
      <c r="X766" s="1245"/>
      <c r="Y766" s="1245"/>
      <c r="Z766" s="1245"/>
      <c r="AA766" s="1245"/>
      <c r="AB766" s="1245"/>
      <c r="AC766" s="124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45"/>
      <c r="P767" s="1245"/>
      <c r="Q767" s="1245"/>
      <c r="R767" s="1245"/>
      <c r="S767" s="1245"/>
      <c r="T767" s="1245"/>
      <c r="U767" s="1245"/>
      <c r="V767" s="1245"/>
      <c r="W767" s="1245"/>
      <c r="X767" s="1245"/>
      <c r="Y767" s="1245"/>
      <c r="Z767" s="1245"/>
      <c r="AA767" s="1245"/>
      <c r="AB767" s="1245"/>
      <c r="AC767" s="124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4"/>
      <c r="K768" s="1185"/>
      <c r="L768" s="1185"/>
      <c r="M768" s="1185"/>
      <c r="N768" s="1186"/>
      <c r="O768" s="1187"/>
      <c r="P768" s="1187"/>
      <c r="Q768" s="1187"/>
      <c r="R768" s="1187"/>
      <c r="S768" s="1187"/>
      <c r="T768" s="1198"/>
      <c r="U768" s="1198"/>
      <c r="V768" s="1198"/>
      <c r="W768" s="1198"/>
      <c r="X768" s="1198"/>
      <c r="Y768" s="1127">
        <f>T768*O768</f>
        <v>0</v>
      </c>
      <c r="Z768" s="1127"/>
      <c r="AA768" s="1127"/>
      <c r="AB768" s="1127"/>
      <c r="AC768" s="112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4"/>
      <c r="K769" s="1185"/>
      <c r="L769" s="1185"/>
      <c r="M769" s="1185"/>
      <c r="N769" s="1186"/>
      <c r="O769" s="1187"/>
      <c r="P769" s="1187"/>
      <c r="Q769" s="1187"/>
      <c r="R769" s="1187"/>
      <c r="S769" s="1187"/>
      <c r="T769" s="1198"/>
      <c r="U769" s="1198"/>
      <c r="V769" s="1198"/>
      <c r="W769" s="1198"/>
      <c r="X769" s="1198"/>
      <c r="Y769" s="1127">
        <f t="shared" ref="Y769:Y777" si="29">T769*O769</f>
        <v>0</v>
      </c>
      <c r="Z769" s="1127"/>
      <c r="AA769" s="1127"/>
      <c r="AB769" s="1127"/>
      <c r="AC769" s="112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4"/>
      <c r="K770" s="1185"/>
      <c r="L770" s="1185"/>
      <c r="M770" s="1185"/>
      <c r="N770" s="1186"/>
      <c r="O770" s="1187"/>
      <c r="P770" s="1187"/>
      <c r="Q770" s="1187"/>
      <c r="R770" s="1187"/>
      <c r="S770" s="1187"/>
      <c r="T770" s="1198"/>
      <c r="U770" s="1198"/>
      <c r="V770" s="1198"/>
      <c r="W770" s="1198"/>
      <c r="X770" s="1198"/>
      <c r="Y770" s="1127">
        <f t="shared" si="29"/>
        <v>0</v>
      </c>
      <c r="Z770" s="1127"/>
      <c r="AA770" s="1127"/>
      <c r="AB770" s="1127"/>
      <c r="AC770" s="112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4"/>
      <c r="K771" s="1185"/>
      <c r="L771" s="1185"/>
      <c r="M771" s="1185"/>
      <c r="N771" s="1186"/>
      <c r="O771" s="1187"/>
      <c r="P771" s="1187"/>
      <c r="Q771" s="1187"/>
      <c r="R771" s="1187"/>
      <c r="S771" s="1187"/>
      <c r="T771" s="1198"/>
      <c r="U771" s="1198"/>
      <c r="V771" s="1198"/>
      <c r="W771" s="1198"/>
      <c r="X771" s="1198"/>
      <c r="Y771" s="1127">
        <f t="shared" si="29"/>
        <v>0</v>
      </c>
      <c r="Z771" s="1127"/>
      <c r="AA771" s="1127"/>
      <c r="AB771" s="1127"/>
      <c r="AC771" s="112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4"/>
      <c r="K772" s="1185"/>
      <c r="L772" s="1185"/>
      <c r="M772" s="1185"/>
      <c r="N772" s="1186"/>
      <c r="O772" s="1187"/>
      <c r="P772" s="1187"/>
      <c r="Q772" s="1187"/>
      <c r="R772" s="1187"/>
      <c r="S772" s="1187"/>
      <c r="T772" s="1198"/>
      <c r="U772" s="1198"/>
      <c r="V772" s="1198"/>
      <c r="W772" s="1198"/>
      <c r="X772" s="1198"/>
      <c r="Y772" s="1127">
        <f t="shared" si="29"/>
        <v>0</v>
      </c>
      <c r="Z772" s="1127"/>
      <c r="AA772" s="1127"/>
      <c r="AB772" s="1127"/>
      <c r="AC772" s="112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4"/>
      <c r="K773" s="1185"/>
      <c r="L773" s="1185"/>
      <c r="M773" s="1185"/>
      <c r="N773" s="1186"/>
      <c r="O773" s="1187"/>
      <c r="P773" s="1187"/>
      <c r="Q773" s="1187"/>
      <c r="R773" s="1187"/>
      <c r="S773" s="1187"/>
      <c r="T773" s="1198"/>
      <c r="U773" s="1198"/>
      <c r="V773" s="1198"/>
      <c r="W773" s="1198"/>
      <c r="X773" s="1198"/>
      <c r="Y773" s="1127">
        <f t="shared" si="29"/>
        <v>0</v>
      </c>
      <c r="Z773" s="1127"/>
      <c r="AA773" s="1127"/>
      <c r="AB773" s="1127"/>
      <c r="AC773" s="112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4"/>
      <c r="K774" s="1185"/>
      <c r="L774" s="1185"/>
      <c r="M774" s="1185"/>
      <c r="N774" s="1186"/>
      <c r="O774" s="1187"/>
      <c r="P774" s="1187"/>
      <c r="Q774" s="1187"/>
      <c r="R774" s="1187"/>
      <c r="S774" s="1187"/>
      <c r="T774" s="1198"/>
      <c r="U774" s="1198"/>
      <c r="V774" s="1198"/>
      <c r="W774" s="1198"/>
      <c r="X774" s="1198"/>
      <c r="Y774" s="1127">
        <f t="shared" si="29"/>
        <v>0</v>
      </c>
      <c r="Z774" s="1127"/>
      <c r="AA774" s="1127"/>
      <c r="AB774" s="1127"/>
      <c r="AC774" s="112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4"/>
      <c r="K775" s="1185"/>
      <c r="L775" s="1185"/>
      <c r="M775" s="1185"/>
      <c r="N775" s="1186"/>
      <c r="O775" s="1187"/>
      <c r="P775" s="1187"/>
      <c r="Q775" s="1187"/>
      <c r="R775" s="1187"/>
      <c r="S775" s="1187"/>
      <c r="T775" s="1198"/>
      <c r="U775" s="1198"/>
      <c r="V775" s="1198"/>
      <c r="W775" s="1198"/>
      <c r="X775" s="1198"/>
      <c r="Y775" s="1127">
        <f t="shared" si="29"/>
        <v>0</v>
      </c>
      <c r="Z775" s="1127"/>
      <c r="AA775" s="1127"/>
      <c r="AB775" s="1127"/>
      <c r="AC775" s="112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4"/>
      <c r="K776" s="1185"/>
      <c r="L776" s="1185"/>
      <c r="M776" s="1185"/>
      <c r="N776" s="1186"/>
      <c r="O776" s="1187"/>
      <c r="P776" s="1187"/>
      <c r="Q776" s="1187"/>
      <c r="R776" s="1187"/>
      <c r="S776" s="1187"/>
      <c r="T776" s="1198"/>
      <c r="U776" s="1198"/>
      <c r="V776" s="1198"/>
      <c r="W776" s="1198"/>
      <c r="X776" s="1198"/>
      <c r="Y776" s="1127">
        <f t="shared" si="29"/>
        <v>0</v>
      </c>
      <c r="Z776" s="1127"/>
      <c r="AA776" s="1127"/>
      <c r="AB776" s="1127"/>
      <c r="AC776" s="112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4"/>
      <c r="K777" s="1185"/>
      <c r="L777" s="1185"/>
      <c r="M777" s="1185"/>
      <c r="N777" s="1186"/>
      <c r="O777" s="1187"/>
      <c r="P777" s="1187"/>
      <c r="Q777" s="1187"/>
      <c r="R777" s="1187"/>
      <c r="S777" s="1187"/>
      <c r="T777" s="1198"/>
      <c r="U777" s="1198"/>
      <c r="V777" s="1198"/>
      <c r="W777" s="1198"/>
      <c r="X777" s="1198"/>
      <c r="Y777" s="1127">
        <f t="shared" si="29"/>
        <v>0</v>
      </c>
      <c r="Z777" s="1127"/>
      <c r="AA777" s="1127"/>
      <c r="AB777" s="1127"/>
      <c r="AC777" s="112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1" t="s">
        <v>132</v>
      </c>
      <c r="K778" s="1182"/>
      <c r="L778" s="1182"/>
      <c r="M778" s="1182"/>
      <c r="N778" s="1183"/>
      <c r="O778" s="1423">
        <f>SUM(O768:S777)</f>
        <v>0</v>
      </c>
      <c r="P778" s="1423"/>
      <c r="Q778" s="1423"/>
      <c r="R778" s="1423"/>
      <c r="S778" s="1423"/>
      <c r="T778" s="1424" t="s">
        <v>131</v>
      </c>
      <c r="U778" s="1425"/>
      <c r="V778" s="1425"/>
      <c r="W778" s="1425"/>
      <c r="X778" s="1426"/>
      <c r="Y778" s="1164">
        <f>SUM(Y768:AC777)</f>
        <v>0</v>
      </c>
      <c r="Z778" s="1119"/>
      <c r="AA778" s="1119"/>
      <c r="AB778" s="1119"/>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2" t="s">
        <v>516</v>
      </c>
      <c r="BB779" s="1253"/>
      <c r="BC779" s="58"/>
      <c r="BD779" s="58"/>
      <c r="BE779" s="58"/>
      <c r="BF779" s="51" t="s">
        <v>685</v>
      </c>
      <c r="BG779" s="51"/>
      <c r="BH779" s="51"/>
      <c r="BI779" s="51"/>
      <c r="BJ779" s="51"/>
      <c r="BK779" s="51"/>
      <c r="BL779" s="51"/>
      <c r="BM779" s="51"/>
      <c r="BN779" s="51"/>
      <c r="BO779" s="1249" t="str">
        <f>T191</f>
        <v>Riverside</v>
      </c>
      <c r="BP779" s="1250"/>
      <c r="BQ779" s="1250"/>
      <c r="BR779" s="1250"/>
      <c r="BS779" s="1250"/>
      <c r="BT779" s="1250"/>
      <c r="BU779" s="12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73140</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877680</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9.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9" t="s">
        <v>1816</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0">
        <v>8</v>
      </c>
      <c r="AA786" s="1151"/>
      <c r="AB786" s="1151"/>
      <c r="AC786" s="1151"/>
      <c r="AD786" s="1151"/>
      <c r="AE786" s="11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3">
        <v>20</v>
      </c>
      <c r="AA787" s="1151"/>
      <c r="AB787" s="1151"/>
      <c r="AC787" s="1151"/>
      <c r="AD787" s="1151"/>
      <c r="AE787" s="11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7" t="s">
        <v>1685</v>
      </c>
      <c r="AA788" s="1232"/>
      <c r="AB788" s="1232"/>
      <c r="AC788" s="1232"/>
      <c r="AD788" s="1232"/>
      <c r="AE788" s="128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7">
        <f>'Subsidy Contract Calculation'!I30</f>
        <v>101832</v>
      </c>
      <c r="AA789" s="1228"/>
      <c r="AB789" s="1228"/>
      <c r="AC789" s="1228"/>
      <c r="AD789" s="1228"/>
      <c r="AE789" s="122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7">
        <v>17640</v>
      </c>
      <c r="AA793" s="1148"/>
      <c r="AB793" s="1148"/>
      <c r="AC793" s="1148"/>
      <c r="AD793" s="1148"/>
      <c r="AE793" s="114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7"/>
      <c r="AA794" s="1148"/>
      <c r="AB794" s="1148"/>
      <c r="AC794" s="1148"/>
      <c r="AD794" s="1148"/>
      <c r="AE794" s="114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7"/>
      <c r="AA795" s="1148"/>
      <c r="AB795" s="1148"/>
      <c r="AC795" s="1148"/>
      <c r="AD795" s="1148"/>
      <c r="AE795" s="114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1" t="s">
        <v>1686</v>
      </c>
      <c r="Q796" s="1162"/>
      <c r="R796" s="1162"/>
      <c r="S796" s="1162"/>
      <c r="T796" s="1162"/>
      <c r="U796" s="1162"/>
      <c r="V796" s="1162"/>
      <c r="W796" s="1162"/>
      <c r="X796" s="1162"/>
      <c r="Y796" s="1163"/>
      <c r="Z796" s="1147">
        <v>3780</v>
      </c>
      <c r="AA796" s="1148"/>
      <c r="AB796" s="1148"/>
      <c r="AC796" s="1148"/>
      <c r="AD796" s="1148"/>
      <c r="AE796" s="114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7">
        <f>SUM(Z793:AE796)</f>
        <v>21420</v>
      </c>
      <c r="AA797" s="1228"/>
      <c r="AB797" s="1228"/>
      <c r="AC797" s="1228"/>
      <c r="AD797" s="1228"/>
      <c r="AE797" s="122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7">
        <f>Z797+Y781+Z789</f>
        <v>1000932</v>
      </c>
      <c r="AA798" s="1228"/>
      <c r="AB798" s="1228"/>
      <c r="AC798" s="1228"/>
      <c r="AD798" s="1228"/>
      <c r="AE798" s="122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8" t="s">
        <v>133</v>
      </c>
      <c r="N803" s="1208"/>
      <c r="O803" s="1208"/>
      <c r="P803" s="1209"/>
      <c r="Q803" s="1156" t="s">
        <v>309</v>
      </c>
      <c r="R803" s="1156"/>
      <c r="S803" s="1156"/>
      <c r="T803" s="1156"/>
      <c r="U803" s="1156" t="s">
        <v>310</v>
      </c>
      <c r="V803" s="1156"/>
      <c r="W803" s="1156"/>
      <c r="X803" s="1156"/>
      <c r="Y803" s="1156" t="s">
        <v>311</v>
      </c>
      <c r="Z803" s="1156"/>
      <c r="AA803" s="1156"/>
      <c r="AB803" s="1156"/>
      <c r="AC803" s="1156" t="s">
        <v>385</v>
      </c>
      <c r="AD803" s="1156"/>
      <c r="AE803" s="1156"/>
      <c r="AF803" s="1156"/>
      <c r="AG803" s="1387" t="s">
        <v>358</v>
      </c>
      <c r="AH803" s="1387"/>
      <c r="AI803" s="1387"/>
      <c r="AJ803" s="138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0"/>
      <c r="N804" s="1210"/>
      <c r="O804" s="1210"/>
      <c r="P804" s="1211"/>
      <c r="Q804" s="1156"/>
      <c r="R804" s="1156"/>
      <c r="S804" s="1156"/>
      <c r="T804" s="1156"/>
      <c r="U804" s="1156"/>
      <c r="V804" s="1156"/>
      <c r="W804" s="1156"/>
      <c r="X804" s="1156"/>
      <c r="Y804" s="1156"/>
      <c r="Z804" s="1156"/>
      <c r="AA804" s="1156"/>
      <c r="AB804" s="1156"/>
      <c r="AC804" s="1156"/>
      <c r="AD804" s="1156"/>
      <c r="AE804" s="1156"/>
      <c r="AF804" s="1156"/>
      <c r="AG804" s="1387"/>
      <c r="AH804" s="1387"/>
      <c r="AI804" s="1387"/>
      <c r="AJ804" s="138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3" t="s">
        <v>45</v>
      </c>
      <c r="D805" s="1314"/>
      <c r="E805" s="1314"/>
      <c r="F805" s="1314"/>
      <c r="G805" s="1314"/>
      <c r="H805" s="1314"/>
      <c r="I805" s="80"/>
      <c r="J805" s="80"/>
      <c r="K805" s="80"/>
      <c r="L805" s="81"/>
      <c r="M805" s="1177"/>
      <c r="N805" s="1177"/>
      <c r="O805" s="1177"/>
      <c r="P805" s="1177"/>
      <c r="Q805" s="1172">
        <v>0.05</v>
      </c>
      <c r="R805" s="1173"/>
      <c r="S805" s="1173"/>
      <c r="T805" s="1174"/>
      <c r="U805" s="1172">
        <v>0.12</v>
      </c>
      <c r="V805" s="1173"/>
      <c r="W805" s="1173"/>
      <c r="X805" s="1174"/>
      <c r="Y805" s="1172">
        <v>7.0000000000000007E-2</v>
      </c>
      <c r="Z805" s="1173"/>
      <c r="AA805" s="1173"/>
      <c r="AB805" s="1174"/>
      <c r="AC805" s="1172"/>
      <c r="AD805" s="1173"/>
      <c r="AE805" s="1173"/>
      <c r="AF805" s="1174"/>
      <c r="AG805" s="1172"/>
      <c r="AH805" s="1173"/>
      <c r="AI805" s="1173"/>
      <c r="AJ805" s="117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76"/>
      <c r="E806" s="1176"/>
      <c r="F806" s="1176"/>
      <c r="G806" s="1176"/>
      <c r="H806" s="1176"/>
      <c r="I806" s="77"/>
      <c r="J806" s="77"/>
      <c r="K806" s="77"/>
      <c r="L806" s="78"/>
      <c r="M806" s="1177"/>
      <c r="N806" s="1177"/>
      <c r="O806" s="1177"/>
      <c r="P806" s="1177"/>
      <c r="Q806" s="1172">
        <v>0</v>
      </c>
      <c r="R806" s="1173"/>
      <c r="S806" s="1173"/>
      <c r="T806" s="1174"/>
      <c r="U806" s="1172"/>
      <c r="V806" s="1173"/>
      <c r="W806" s="1173"/>
      <c r="X806" s="1174"/>
      <c r="Y806" s="1172"/>
      <c r="Z806" s="1173"/>
      <c r="AA806" s="1173"/>
      <c r="AB806" s="1174"/>
      <c r="AC806" s="1172"/>
      <c r="AD806" s="1173"/>
      <c r="AE806" s="1173"/>
      <c r="AF806" s="1174"/>
      <c r="AG806" s="1172"/>
      <c r="AH806" s="1173"/>
      <c r="AI806" s="1173"/>
      <c r="AJ806" s="117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76"/>
      <c r="E807" s="1176"/>
      <c r="F807" s="1176"/>
      <c r="G807" s="1176"/>
      <c r="H807" s="1176"/>
      <c r="I807" s="96"/>
      <c r="J807" s="96"/>
      <c r="K807" s="96"/>
      <c r="L807" s="97"/>
      <c r="M807" s="1177"/>
      <c r="N807" s="1177"/>
      <c r="O807" s="1177"/>
      <c r="P807" s="1177"/>
      <c r="Q807" s="1172">
        <v>0.81</v>
      </c>
      <c r="R807" s="1173"/>
      <c r="S807" s="1173"/>
      <c r="T807" s="1174"/>
      <c r="U807" s="1172">
        <v>0.92</v>
      </c>
      <c r="V807" s="1173"/>
      <c r="W807" s="1173"/>
      <c r="X807" s="1174"/>
      <c r="Y807" s="1172">
        <v>0.78</v>
      </c>
      <c r="Z807" s="1173"/>
      <c r="AA807" s="1173"/>
      <c r="AB807" s="1174"/>
      <c r="AC807" s="1172"/>
      <c r="AD807" s="1173"/>
      <c r="AE807" s="1173"/>
      <c r="AF807" s="1174"/>
      <c r="AG807" s="1172"/>
      <c r="AH807" s="1173"/>
      <c r="AI807" s="1173"/>
      <c r="AJ807" s="117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841</v>
      </c>
      <c r="D808" s="1176"/>
      <c r="E808" s="1176"/>
      <c r="F808" s="1176"/>
      <c r="G808" s="1176"/>
      <c r="H808" s="1176"/>
      <c r="I808" s="96"/>
      <c r="J808" s="96"/>
      <c r="K808" s="96"/>
      <c r="L808" s="97"/>
      <c r="M808" s="1177"/>
      <c r="N808" s="1177"/>
      <c r="O808" s="1177"/>
      <c r="P808" s="1177"/>
      <c r="Q808" s="1172">
        <v>0.56000000000000005</v>
      </c>
      <c r="R808" s="1173"/>
      <c r="S808" s="1173"/>
      <c r="T808" s="1174"/>
      <c r="U808" s="1172">
        <v>0.61</v>
      </c>
      <c r="V808" s="1173"/>
      <c r="W808" s="1173"/>
      <c r="X808" s="1174"/>
      <c r="Y808" s="1172">
        <v>0.56000000000000005</v>
      </c>
      <c r="Z808" s="1173"/>
      <c r="AA808" s="1173"/>
      <c r="AB808" s="1174"/>
      <c r="AC808" s="1172"/>
      <c r="AD808" s="1173"/>
      <c r="AE808" s="1173"/>
      <c r="AF808" s="1174"/>
      <c r="AG808" s="1172"/>
      <c r="AH808" s="1173"/>
      <c r="AI808" s="1173"/>
      <c r="AJ808" s="117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506</v>
      </c>
      <c r="D809" s="1176"/>
      <c r="E809" s="1176"/>
      <c r="F809" s="1176"/>
      <c r="G809" s="1176"/>
      <c r="H809" s="1176"/>
      <c r="I809" s="96"/>
      <c r="J809" s="96"/>
      <c r="K809" s="96"/>
      <c r="L809" s="97"/>
      <c r="M809" s="1177"/>
      <c r="N809" s="1177"/>
      <c r="O809" s="1177"/>
      <c r="P809" s="1177"/>
      <c r="Q809" s="1172">
        <v>2.02</v>
      </c>
      <c r="R809" s="1173"/>
      <c r="S809" s="1173"/>
      <c r="T809" s="1174"/>
      <c r="U809" s="1172">
        <v>2.2799999999999998</v>
      </c>
      <c r="V809" s="1173"/>
      <c r="W809" s="1173"/>
      <c r="X809" s="1174"/>
      <c r="Y809" s="1172">
        <v>1.96</v>
      </c>
      <c r="Z809" s="1173"/>
      <c r="AA809" s="1173"/>
      <c r="AB809" s="1174"/>
      <c r="AC809" s="1172"/>
      <c r="AD809" s="1173"/>
      <c r="AE809" s="1173"/>
      <c r="AF809" s="1174"/>
      <c r="AG809" s="1172"/>
      <c r="AH809" s="1173"/>
      <c r="AI809" s="1173"/>
      <c r="AJ809" s="117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8" t="s">
        <v>865</v>
      </c>
      <c r="D810" s="1176"/>
      <c r="E810" s="1176"/>
      <c r="F810" s="1176"/>
      <c r="G810" s="1176"/>
      <c r="H810" s="1176"/>
      <c r="I810" s="96"/>
      <c r="J810" s="96"/>
      <c r="K810" s="96"/>
      <c r="L810" s="97"/>
      <c r="M810" s="1177"/>
      <c r="N810" s="1177"/>
      <c r="O810" s="1177"/>
      <c r="P810" s="1177"/>
      <c r="Q810" s="1172"/>
      <c r="R810" s="1173"/>
      <c r="S810" s="1173"/>
      <c r="T810" s="1174"/>
      <c r="U810" s="1172"/>
      <c r="V810" s="1173"/>
      <c r="W810" s="1173"/>
      <c r="X810" s="1174"/>
      <c r="Y810" s="1172"/>
      <c r="Z810" s="1173"/>
      <c r="AA810" s="1173"/>
      <c r="AB810" s="1174"/>
      <c r="AC810" s="1172"/>
      <c r="AD810" s="1173"/>
      <c r="AE810" s="1173"/>
      <c r="AF810" s="1174"/>
      <c r="AG810" s="1172"/>
      <c r="AH810" s="1173"/>
      <c r="AI810" s="1173"/>
      <c r="AJ810" s="117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8" t="s">
        <v>1687</v>
      </c>
      <c r="G811" s="1179"/>
      <c r="H811" s="1179"/>
      <c r="I811" s="1179"/>
      <c r="J811" s="1179"/>
      <c r="K811" s="1179"/>
      <c r="L811" s="1180"/>
      <c r="M811" s="1177"/>
      <c r="N811" s="1177"/>
      <c r="O811" s="1177"/>
      <c r="P811" s="1177"/>
      <c r="Q811" s="1172">
        <v>1.82</v>
      </c>
      <c r="R811" s="1173"/>
      <c r="S811" s="1173"/>
      <c r="T811" s="1174"/>
      <c r="U811" s="1172">
        <v>2.88</v>
      </c>
      <c r="V811" s="1173"/>
      <c r="W811" s="1173"/>
      <c r="X811" s="1174"/>
      <c r="Y811" s="1172">
        <v>2.16</v>
      </c>
      <c r="Z811" s="1173"/>
      <c r="AA811" s="1173"/>
      <c r="AB811" s="1174"/>
      <c r="AC811" s="1172"/>
      <c r="AD811" s="1173"/>
      <c r="AE811" s="1173"/>
      <c r="AF811" s="1174"/>
      <c r="AG811" s="1172"/>
      <c r="AH811" s="1173"/>
      <c r="AI811" s="1173"/>
      <c r="AJ811" s="117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1" t="s">
        <v>131</v>
      </c>
      <c r="D812" s="1182"/>
      <c r="E812" s="1182"/>
      <c r="F812" s="1182"/>
      <c r="G812" s="1182"/>
      <c r="H812" s="1182"/>
      <c r="I812" s="1182"/>
      <c r="J812" s="1182"/>
      <c r="K812" s="1182"/>
      <c r="L812" s="1183"/>
      <c r="M812" s="1207">
        <f>SUM(M805:P811)</f>
        <v>0</v>
      </c>
      <c r="N812" s="1207"/>
      <c r="O812" s="1207"/>
      <c r="P812" s="1207"/>
      <c r="Q812" s="1207">
        <f>SUM(Q805:T811)</f>
        <v>5.2600000000000007</v>
      </c>
      <c r="R812" s="1207"/>
      <c r="S812" s="1207"/>
      <c r="T812" s="1207"/>
      <c r="U812" s="1207">
        <f>SUM(U805:X811)</f>
        <v>6.81</v>
      </c>
      <c r="V812" s="1207"/>
      <c r="W812" s="1207"/>
      <c r="X812" s="1207"/>
      <c r="Y812" s="1207">
        <f>SUM(Y805:AB811)</f>
        <v>5.53</v>
      </c>
      <c r="Z812" s="1207"/>
      <c r="AA812" s="1207"/>
      <c r="AB812" s="1207"/>
      <c r="AC812" s="1207">
        <f>SUM(AC805:AF811)</f>
        <v>0</v>
      </c>
      <c r="AD812" s="1207"/>
      <c r="AE812" s="1207"/>
      <c r="AF812" s="1207"/>
      <c r="AG812" s="1207">
        <f>SUM(AG805:AJ811)</f>
        <v>0</v>
      </c>
      <c r="AH812" s="1207"/>
      <c r="AI812" s="1207"/>
      <c r="AJ812" s="12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29" t="s">
        <v>1688</v>
      </c>
      <c r="D817" s="1430"/>
      <c r="E817" s="1430"/>
      <c r="F817" s="1430"/>
      <c r="G817" s="1430"/>
      <c r="H817" s="1430"/>
      <c r="I817" s="1430"/>
      <c r="J817" s="1430"/>
      <c r="K817" s="1430"/>
      <c r="L817" s="1430"/>
      <c r="M817" s="1430"/>
      <c r="N817" s="1430"/>
      <c r="O817" s="1430"/>
      <c r="P817" s="1430"/>
      <c r="Q817" s="1430"/>
      <c r="R817" s="1430"/>
      <c r="S817" s="1430"/>
      <c r="T817" s="1430"/>
      <c r="U817" s="1430"/>
      <c r="V817" s="1430"/>
      <c r="W817" s="1430"/>
      <c r="X817" s="1430"/>
      <c r="Y817" s="1430"/>
      <c r="Z817" s="1430"/>
      <c r="AA817" s="1430"/>
      <c r="AB817" s="1430"/>
      <c r="AC817" s="1430"/>
      <c r="AD817" s="1430"/>
      <c r="AE817" s="1430"/>
      <c r="AF817" s="1430"/>
      <c r="AG817" s="1430"/>
      <c r="AH817" s="1430"/>
      <c r="AI817" s="1430"/>
      <c r="AJ817" s="143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4">
        <v>1220</v>
      </c>
      <c r="X822" s="1244"/>
      <c r="Y822" s="1244"/>
      <c r="Z822" s="1244"/>
      <c r="AA822" s="1244"/>
      <c r="AB822" s="1244"/>
      <c r="AC822" s="12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4">
        <v>2220</v>
      </c>
      <c r="X823" s="1244"/>
      <c r="Y823" s="1244"/>
      <c r="Z823" s="1244"/>
      <c r="AA823" s="1244"/>
      <c r="AB823" s="1244"/>
      <c r="AC823" s="12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4">
        <f>9204+800</f>
        <v>10004</v>
      </c>
      <c r="X824" s="1244"/>
      <c r="Y824" s="1244"/>
      <c r="Z824" s="1244"/>
      <c r="AA824" s="1244"/>
      <c r="AB824" s="1244"/>
      <c r="AC824" s="1244"/>
      <c r="AD824" s="12"/>
      <c r="AE824" s="12"/>
      <c r="AF824" s="12"/>
      <c r="AG824" s="12"/>
      <c r="AH824" s="12"/>
      <c r="AI824" s="12"/>
      <c r="AJ824" s="12"/>
      <c r="AK824" s="12"/>
      <c r="AL824" s="12"/>
      <c r="AS824" s="21"/>
      <c r="AT824" s="56"/>
      <c r="AV824" s="1155">
        <f>ROUNDDOWN(AP908*2,2)</f>
        <v>0</v>
      </c>
      <c r="AW824" s="1155"/>
      <c r="AX824" s="1155"/>
      <c r="AY824" s="1155"/>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4"/>
      <c r="X825" s="1244"/>
      <c r="Y825" s="1244"/>
      <c r="Z825" s="1244"/>
      <c r="AA825" s="1244"/>
      <c r="AB825" s="1244"/>
      <c r="AC825" s="12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8" t="s">
        <v>1689</v>
      </c>
      <c r="N826" s="1335"/>
      <c r="O826" s="1335"/>
      <c r="P826" s="1335"/>
      <c r="Q826" s="1335"/>
      <c r="R826" s="1335"/>
      <c r="S826" s="1335"/>
      <c r="T826" s="1335"/>
      <c r="U826" s="1335"/>
      <c r="V826" s="1336"/>
      <c r="W826" s="1244">
        <f>28284+2700</f>
        <v>30984</v>
      </c>
      <c r="X826" s="1244"/>
      <c r="Y826" s="1244"/>
      <c r="Z826" s="1244"/>
      <c r="AA826" s="1244"/>
      <c r="AB826" s="1244"/>
      <c r="AC826" s="124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7">
        <f>SUM(W822:AC826)</f>
        <v>44428</v>
      </c>
      <c r="X827" s="1228"/>
      <c r="Y827" s="1228"/>
      <c r="Z827" s="1228"/>
      <c r="AA827" s="1228"/>
      <c r="AB827" s="1228"/>
      <c r="AC827" s="122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1" t="s">
        <v>369</v>
      </c>
      <c r="K829" s="1182"/>
      <c r="L829" s="1182"/>
      <c r="M829" s="1182"/>
      <c r="N829" s="1182"/>
      <c r="O829" s="1182"/>
      <c r="P829" s="1182"/>
      <c r="Q829" s="1182"/>
      <c r="R829" s="1182"/>
      <c r="S829" s="1182"/>
      <c r="T829" s="1182"/>
      <c r="U829" s="1182"/>
      <c r="V829" s="1183"/>
      <c r="W829" s="1147">
        <v>63000</v>
      </c>
      <c r="X829" s="1148"/>
      <c r="Y829" s="1148"/>
      <c r="Z829" s="1148"/>
      <c r="AA829" s="1148"/>
      <c r="AB829" s="1148"/>
      <c r="AC829" s="114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1"/>
      <c r="X831" s="1391"/>
      <c r="Y831" s="1391"/>
      <c r="Z831" s="1391"/>
      <c r="AA831" s="1391"/>
      <c r="AB831" s="1391"/>
      <c r="AC831" s="1391"/>
      <c r="AD831" s="12"/>
      <c r="AE831" s="12"/>
      <c r="AF831" s="12"/>
      <c r="AG831" s="12"/>
      <c r="AH831" s="12"/>
      <c r="AI831" s="12"/>
      <c r="AJ831" s="12"/>
      <c r="AK831" s="12"/>
      <c r="AL831" s="12"/>
      <c r="AM831" s="130"/>
      <c r="AN831" s="130"/>
      <c r="AO831" s="21"/>
      <c r="AP831" s="21"/>
      <c r="AQ831" s="21"/>
      <c r="AR831" s="21"/>
      <c r="AS831" s="21"/>
      <c r="AT831" s="1154"/>
      <c r="AU831" s="1154"/>
      <c r="AV831" s="1154"/>
      <c r="AW831" s="1154"/>
      <c r="AX831" s="1154"/>
      <c r="AY831" s="1154"/>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1">
        <v>7200</v>
      </c>
      <c r="X832" s="1391"/>
      <c r="Y832" s="1391"/>
      <c r="Z832" s="1391"/>
      <c r="AA832" s="1391"/>
      <c r="AB832" s="1391"/>
      <c r="AC832" s="139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1">
        <v>18000</v>
      </c>
      <c r="X833" s="1391"/>
      <c r="Y833" s="1391"/>
      <c r="Z833" s="1391"/>
      <c r="AA833" s="1391"/>
      <c r="AB833" s="1391"/>
      <c r="AC833" s="139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1">
        <v>45000</v>
      </c>
      <c r="X834" s="1391"/>
      <c r="Y834" s="1391"/>
      <c r="Z834" s="1391"/>
      <c r="AA834" s="1391"/>
      <c r="AB834" s="1391"/>
      <c r="AC834" s="1391"/>
      <c r="AD834" s="12"/>
      <c r="AE834" s="12"/>
      <c r="AF834" s="12"/>
      <c r="AG834" s="12"/>
      <c r="AH834" s="12"/>
      <c r="AI834" s="12"/>
      <c r="AJ834" s="12"/>
      <c r="AK834" s="12"/>
      <c r="AL834" s="12"/>
      <c r="AM834" s="1422">
        <f>SUM(AM801:AM829)</f>
        <v>0</v>
      </c>
      <c r="AN834" s="1422"/>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70200</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2">
        <v>52559</v>
      </c>
      <c r="X837" s="1393"/>
      <c r="Y837" s="1393"/>
      <c r="Z837" s="1393"/>
      <c r="AA837" s="1393"/>
      <c r="AB837" s="1393"/>
      <c r="AC837" s="139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2">
        <v>87663</v>
      </c>
      <c r="X838" s="1393"/>
      <c r="Y838" s="1393"/>
      <c r="Z838" s="1393"/>
      <c r="AA838" s="1393"/>
      <c r="AB838" s="1393"/>
      <c r="AC838" s="139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8" t="s">
        <v>1690</v>
      </c>
      <c r="N839" s="1335"/>
      <c r="O839" s="1335"/>
      <c r="P839" s="1335"/>
      <c r="Q839" s="1335"/>
      <c r="R839" s="1335"/>
      <c r="S839" s="1335"/>
      <c r="T839" s="1335"/>
      <c r="U839" s="1335"/>
      <c r="V839" s="1336"/>
      <c r="W839" s="1392">
        <v>49543</v>
      </c>
      <c r="X839" s="1393"/>
      <c r="Y839" s="1393"/>
      <c r="Z839" s="1393"/>
      <c r="AA839" s="1393"/>
      <c r="AB839" s="1393"/>
      <c r="AC839" s="139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0">
        <f>SUM(W837:AC839)</f>
        <v>189765</v>
      </c>
      <c r="X840" s="1401"/>
      <c r="Y840" s="1401"/>
      <c r="Z840" s="1401"/>
      <c r="AA840" s="1401"/>
      <c r="AB840" s="1401"/>
      <c r="AC840" s="140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75">
        <v>24000</v>
      </c>
      <c r="X841" s="1576"/>
      <c r="Y841" s="1576"/>
      <c r="Z841" s="1576"/>
      <c r="AA841" s="1576"/>
      <c r="AB841" s="1576"/>
      <c r="AC841" s="157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4">
        <v>600</v>
      </c>
      <c r="X843" s="1244"/>
      <c r="Y843" s="1244"/>
      <c r="Z843" s="1244"/>
      <c r="AA843" s="1244"/>
      <c r="AB843" s="1244"/>
      <c r="AC843" s="12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4">
        <v>4320</v>
      </c>
      <c r="X844" s="1244"/>
      <c r="Y844" s="1244"/>
      <c r="Z844" s="1244"/>
      <c r="AA844" s="1244"/>
      <c r="AB844" s="1244"/>
      <c r="AC844" s="12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4">
        <v>30000</v>
      </c>
      <c r="X845" s="1244"/>
      <c r="Y845" s="1244"/>
      <c r="Z845" s="1244"/>
      <c r="AA845" s="1244"/>
      <c r="AB845" s="1244"/>
      <c r="AC845" s="12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4">
        <v>5580</v>
      </c>
      <c r="X846" s="1244"/>
      <c r="Y846" s="1244"/>
      <c r="Z846" s="1244"/>
      <c r="AA846" s="1244"/>
      <c r="AB846" s="1244"/>
      <c r="AC846" s="12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4">
        <v>30000</v>
      </c>
      <c r="X847" s="1244"/>
      <c r="Y847" s="1244"/>
      <c r="Z847" s="1244"/>
      <c r="AA847" s="1244"/>
      <c r="AB847" s="1244"/>
      <c r="AC847" s="12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4"/>
      <c r="X848" s="1244"/>
      <c r="Y848" s="1244"/>
      <c r="Z848" s="1244"/>
      <c r="AA848" s="1244"/>
      <c r="AB848" s="1244"/>
      <c r="AC848" s="12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8" t="s">
        <v>1691</v>
      </c>
      <c r="N849" s="1335"/>
      <c r="O849" s="1335"/>
      <c r="P849" s="1335"/>
      <c r="Q849" s="1335"/>
      <c r="R849" s="1335"/>
      <c r="S849" s="1335"/>
      <c r="T849" s="1335"/>
      <c r="U849" s="1335"/>
      <c r="V849" s="1336"/>
      <c r="W849" s="1244">
        <v>10630</v>
      </c>
      <c r="X849" s="1244"/>
      <c r="Y849" s="1244"/>
      <c r="Z849" s="1244"/>
      <c r="AA849" s="1244"/>
      <c r="AB849" s="1244"/>
      <c r="AC849" s="12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6">
        <f>SUM(W843:AC849)</f>
        <v>81130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78" t="s">
        <v>1692</v>
      </c>
      <c r="N852" s="1335"/>
      <c r="O852" s="1335"/>
      <c r="P852" s="1335"/>
      <c r="Q852" s="1335"/>
      <c r="R852" s="1335"/>
      <c r="S852" s="1335"/>
      <c r="T852" s="1335"/>
      <c r="U852" s="1335"/>
      <c r="V852" s="1336"/>
      <c r="W852" s="1147"/>
      <c r="X852" s="1148"/>
      <c r="Y852" s="1148"/>
      <c r="Z852" s="1148"/>
      <c r="AA852" s="1148"/>
      <c r="AB852" s="1148"/>
      <c r="AC852" s="114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78" t="s">
        <v>1693</v>
      </c>
      <c r="N853" s="1335"/>
      <c r="O853" s="1335"/>
      <c r="P853" s="1335"/>
      <c r="Q853" s="1335"/>
      <c r="R853" s="1335"/>
      <c r="S853" s="1335"/>
      <c r="T853" s="1335"/>
      <c r="U853" s="1335"/>
      <c r="V853" s="1336"/>
      <c r="W853" s="1147"/>
      <c r="X853" s="1148"/>
      <c r="Y853" s="1148"/>
      <c r="Z853" s="1148"/>
      <c r="AA853" s="1148"/>
      <c r="AB853" s="1148"/>
      <c r="AC853" s="114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79"/>
      <c r="O854" s="1179"/>
      <c r="P854" s="1179"/>
      <c r="Q854" s="1179"/>
      <c r="R854" s="1179"/>
      <c r="S854" s="1179"/>
      <c r="T854" s="1179"/>
      <c r="U854" s="1179"/>
      <c r="V854" s="1180"/>
      <c r="W854" s="1147"/>
      <c r="X854" s="1148"/>
      <c r="Y854" s="1148"/>
      <c r="Z854" s="1148"/>
      <c r="AA854" s="1148"/>
      <c r="AB854" s="1148"/>
      <c r="AC854" s="114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79"/>
      <c r="O855" s="1179"/>
      <c r="P855" s="1179"/>
      <c r="Q855" s="1179"/>
      <c r="R855" s="1179"/>
      <c r="S855" s="1179"/>
      <c r="T855" s="1179"/>
      <c r="U855" s="1179"/>
      <c r="V855" s="1180"/>
      <c r="W855" s="1147"/>
      <c r="X855" s="1148"/>
      <c r="Y855" s="1148"/>
      <c r="Z855" s="1148"/>
      <c r="AA855" s="1148"/>
      <c r="AB855" s="1148"/>
      <c r="AC855" s="114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79"/>
      <c r="O856" s="1179"/>
      <c r="P856" s="1179"/>
      <c r="Q856" s="1179"/>
      <c r="R856" s="1179"/>
      <c r="S856" s="1179"/>
      <c r="T856" s="1179"/>
      <c r="U856" s="1179"/>
      <c r="V856" s="1180"/>
      <c r="W856" s="1147"/>
      <c r="X856" s="1148"/>
      <c r="Y856" s="1148"/>
      <c r="Z856" s="1148"/>
      <c r="AA856" s="1148"/>
      <c r="AB856" s="1148"/>
      <c r="AC856" s="114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7">
        <f>SUM(W852:AC856)</f>
        <v>0</v>
      </c>
      <c r="X857" s="1228"/>
      <c r="Y857" s="1228"/>
      <c r="Z857" s="1228"/>
      <c r="AA857" s="1228"/>
      <c r="AB857" s="1228"/>
      <c r="AC857" s="122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7">
        <f>W827+W835+W840+W841+W850+W857+W829</f>
        <v>472523</v>
      </c>
      <c r="AD861" s="1228"/>
      <c r="AE861" s="1228"/>
      <c r="AF861" s="1228"/>
      <c r="AG861" s="1228"/>
      <c r="AH861" s="122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0">
        <f>O778+O758+G734</f>
        <v>105</v>
      </c>
      <c r="AD862" s="1571"/>
      <c r="AE862" s="1571"/>
      <c r="AF862" s="1571"/>
      <c r="AG862" s="1571"/>
      <c r="AH862" s="157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32" t="s">
        <v>35</v>
      </c>
      <c r="F863" s="1433"/>
      <c r="G863" s="1433"/>
      <c r="H863" s="1433"/>
      <c r="I863" s="1433"/>
      <c r="J863" s="1433"/>
      <c r="K863" s="1433"/>
      <c r="L863" s="1433"/>
      <c r="M863" s="1433"/>
      <c r="N863" s="1433"/>
      <c r="O863" s="1433"/>
      <c r="P863" s="1433"/>
      <c r="Q863" s="1433"/>
      <c r="R863" s="1433"/>
      <c r="S863" s="1433"/>
      <c r="T863" s="1433"/>
      <c r="U863" s="1433"/>
      <c r="V863" s="1433"/>
      <c r="W863" s="1433"/>
      <c r="X863" s="1433"/>
      <c r="Y863" s="1433"/>
      <c r="Z863" s="1433"/>
      <c r="AA863" s="1433"/>
      <c r="AB863" s="1434"/>
      <c r="AC863" s="1573">
        <f>IF(ISERROR((ROUNDDOWN(AC861/AC862,0))),0,(ROUNDDOWN(AC861/AC862,0)))</f>
        <v>4500</v>
      </c>
      <c r="AD863" s="1574"/>
      <c r="AE863" s="1574"/>
      <c r="AF863" s="1574"/>
      <c r="AG863" s="1574"/>
      <c r="AH863" s="157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5">
        <v>225812.99238340609</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9"/>
      <c r="AD865" s="1244"/>
      <c r="AE865" s="1244"/>
      <c r="AF865" s="1244"/>
      <c r="AG865" s="1244"/>
      <c r="AH865" s="12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7">
        <v>15039</v>
      </c>
      <c r="AD866" s="1148"/>
      <c r="AE866" s="1148"/>
      <c r="AF866" s="1148"/>
      <c r="AG866" s="1148"/>
      <c r="AH866" s="114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7">
        <v>52500</v>
      </c>
      <c r="AD867" s="1148"/>
      <c r="AE867" s="1148"/>
      <c r="AF867" s="1148"/>
      <c r="AG867" s="1148"/>
      <c r="AH867" s="114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7">
        <v>10444</v>
      </c>
      <c r="AD868" s="1148"/>
      <c r="AE868" s="1148"/>
      <c r="AF868" s="1148"/>
      <c r="AG868" s="1148"/>
      <c r="AH868" s="114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7" t="s">
        <v>1801</v>
      </c>
      <c r="F869" s="1398"/>
      <c r="G869" s="1398"/>
      <c r="H869" s="1398"/>
      <c r="I869" s="1398"/>
      <c r="J869" s="1398"/>
      <c r="K869" s="1398"/>
      <c r="L869" s="1398"/>
      <c r="M869" s="1398"/>
      <c r="N869" s="1398"/>
      <c r="O869" s="1398"/>
      <c r="P869" s="1398"/>
      <c r="Q869" s="1398"/>
      <c r="R869" s="1398"/>
      <c r="S869" s="1398"/>
      <c r="T869" s="1398"/>
      <c r="U869" s="1398"/>
      <c r="V869" s="1398"/>
      <c r="W869" s="1398"/>
      <c r="X869" s="1398"/>
      <c r="Y869" s="1398"/>
      <c r="Z869" s="1398"/>
      <c r="AA869" s="1398"/>
      <c r="AB869" s="1399"/>
      <c r="AC869" s="1244">
        <v>35260.7094</v>
      </c>
      <c r="AD869" s="1244"/>
      <c r="AE869" s="1244"/>
      <c r="AF869" s="1244"/>
      <c r="AG869" s="1244"/>
      <c r="AH869" s="12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7" t="s">
        <v>1802</v>
      </c>
      <c r="F870" s="1398"/>
      <c r="G870" s="1398"/>
      <c r="H870" s="1398"/>
      <c r="I870" s="1398"/>
      <c r="J870" s="1398"/>
      <c r="K870" s="1398"/>
      <c r="L870" s="1398"/>
      <c r="M870" s="1398"/>
      <c r="N870" s="1398"/>
      <c r="O870" s="1398"/>
      <c r="P870" s="1398"/>
      <c r="Q870" s="1398"/>
      <c r="R870" s="1398"/>
      <c r="S870" s="1398"/>
      <c r="T870" s="1398"/>
      <c r="U870" s="1398"/>
      <c r="V870" s="1398"/>
      <c r="W870" s="1398"/>
      <c r="X870" s="1398"/>
      <c r="Y870" s="1398"/>
      <c r="Z870" s="1398"/>
      <c r="AA870" s="1398"/>
      <c r="AB870" s="1399"/>
      <c r="AC870" s="1244">
        <v>4000</v>
      </c>
      <c r="AD870" s="1244"/>
      <c r="AE870" s="1244"/>
      <c r="AF870" s="1244"/>
      <c r="AG870" s="1244"/>
      <c r="AH870" s="12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7"/>
      <c r="AA874" s="1148"/>
      <c r="AB874" s="1148"/>
      <c r="AC874" s="1148"/>
      <c r="AD874" s="1148"/>
      <c r="AE874" s="114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7"/>
      <c r="AA875" s="1148"/>
      <c r="AB875" s="1148"/>
      <c r="AC875" s="1148"/>
      <c r="AD875" s="1148"/>
      <c r="AE875" s="114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7"/>
      <c r="AA876" s="1148"/>
      <c r="AB876" s="1148"/>
      <c r="AC876" s="1148"/>
      <c r="AD876" s="1148"/>
      <c r="AE876" s="114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7">
        <f>Z874-(Z875+Z876)</f>
        <v>0</v>
      </c>
      <c r="AA877" s="1228"/>
      <c r="AB877" s="1228"/>
      <c r="AC877" s="1228"/>
      <c r="AD877" s="1228"/>
      <c r="AE877" s="1229"/>
      <c r="AM877" s="61"/>
      <c r="AO877" s="52" t="s">
        <v>180</v>
      </c>
      <c r="AP877" s="177">
        <v>20</v>
      </c>
      <c r="AQ877" s="1145">
        <f>IF(AD955&gt;0,0.2,0)</f>
        <v>0</v>
      </c>
      <c r="AR877" s="114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6">
        <f>IF(AD965&gt;0,0.07,0)</f>
        <v>0</v>
      </c>
      <c r="AR879" s="11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6">
        <f>IF(AD969&gt;0,0.02,0)</f>
        <v>0</v>
      </c>
      <c r="AR880" s="11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6">
        <f>IF(AD971&gt;0,0.02,0)</f>
        <v>0</v>
      </c>
      <c r="AR881" s="11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5">
        <f>AN891</f>
        <v>0.1</v>
      </c>
      <c r="AR882" s="11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0"/>
      <c r="AR883" s="1160"/>
      <c r="AS883" s="116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3"/>
      <c r="AR884" s="1413"/>
      <c r="AS884" s="141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6" t="s">
        <v>103</v>
      </c>
      <c r="B885" s="1276"/>
      <c r="C885" s="1276"/>
      <c r="D885" s="1276"/>
      <c r="E885" s="1276"/>
      <c r="F885" s="1276"/>
      <c r="G885" s="1276"/>
      <c r="H885" s="1276"/>
      <c r="I885" s="1276"/>
      <c r="J885" s="1276"/>
      <c r="K885" s="1276"/>
      <c r="L885" s="1276"/>
      <c r="M885" s="1276"/>
      <c r="N885" s="1276"/>
      <c r="O885" s="1276"/>
      <c r="P885" s="1276"/>
      <c r="Q885" s="1276"/>
      <c r="R885" s="1276"/>
      <c r="S885" s="1276"/>
      <c r="T885" s="1276"/>
      <c r="U885" s="1276"/>
      <c r="V885" s="1276"/>
      <c r="W885" s="1276"/>
      <c r="X885" s="1276"/>
      <c r="Y885" s="1276"/>
      <c r="Z885" s="1276"/>
      <c r="AA885" s="1276"/>
      <c r="AB885" s="1276"/>
      <c r="AC885" s="1276"/>
      <c r="AD885" s="1276"/>
      <c r="AE885" s="1276"/>
      <c r="AF885" s="1276"/>
      <c r="AG885" s="1276"/>
      <c r="AH885" s="1276"/>
      <c r="AI885" s="1276"/>
      <c r="AJ885" s="1276"/>
      <c r="AK885" s="1276"/>
      <c r="AL885" s="1276"/>
      <c r="AM885" s="61"/>
      <c r="AO885" s="52" t="s">
        <v>323</v>
      </c>
      <c r="AP885" s="177">
        <v>10</v>
      </c>
      <c r="AQ885" s="1146">
        <f>IF(AD988&gt;0,0.1,0)</f>
        <v>0</v>
      </c>
      <c r="AR885" s="11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7"/>
      <c r="B886" s="1277"/>
      <c r="C886" s="1277"/>
      <c r="D886" s="1277"/>
      <c r="E886" s="1277"/>
      <c r="F886" s="1277"/>
      <c r="G886" s="1277"/>
      <c r="H886" s="1277"/>
      <c r="I886" s="1277"/>
      <c r="J886" s="1277"/>
      <c r="K886" s="1277"/>
      <c r="L886" s="1277"/>
      <c r="M886" s="1277"/>
      <c r="N886" s="1277"/>
      <c r="O886" s="1277"/>
      <c r="P886" s="1277"/>
      <c r="Q886" s="1277"/>
      <c r="R886" s="1277"/>
      <c r="S886" s="1277"/>
      <c r="T886" s="1277"/>
      <c r="U886" s="1277"/>
      <c r="V886" s="1277"/>
      <c r="W886" s="1277"/>
      <c r="X886" s="1277"/>
      <c r="Y886" s="1277"/>
      <c r="Z886" s="1277"/>
      <c r="AA886" s="1277"/>
      <c r="AB886" s="1277"/>
      <c r="AC886" s="1277"/>
      <c r="AD886" s="1277"/>
      <c r="AE886" s="1277"/>
      <c r="AF886" s="1277"/>
      <c r="AG886" s="1277"/>
      <c r="AH886" s="1277"/>
      <c r="AI886" s="1277"/>
      <c r="AJ886" s="1277"/>
      <c r="AK886" s="1277"/>
      <c r="AL886" s="1277"/>
      <c r="AM886" s="61"/>
      <c r="AO886" s="52"/>
      <c r="AP886" s="177"/>
      <c r="AQ886" s="1145">
        <f>SUM(AQ877:AQ885)</f>
        <v>0.1</v>
      </c>
      <c r="AR886" s="11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5">
        <f>SUM(AQ877:AR881)+AQ885</f>
        <v>0</v>
      </c>
      <c r="AR888" s="11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3" t="s">
        <v>874</v>
      </c>
      <c r="G890" s="1404"/>
      <c r="H890" s="1404"/>
      <c r="I890" s="1404"/>
      <c r="J890" s="1404"/>
      <c r="K890" s="1404"/>
      <c r="L890" s="1404"/>
      <c r="M890" s="1404"/>
      <c r="N890" s="1404"/>
      <c r="O890" s="1404"/>
      <c r="P890" s="1404"/>
      <c r="Q890" s="1404"/>
      <c r="R890" s="1404"/>
      <c r="S890" s="1404"/>
      <c r="T890" s="1405"/>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903</v>
      </c>
      <c r="G891" s="1345"/>
      <c r="H891" s="1345"/>
      <c r="I891" s="1345"/>
      <c r="J891" s="1345"/>
      <c r="K891" s="1345"/>
      <c r="L891" s="1345"/>
      <c r="M891" s="1345"/>
      <c r="N891" s="1345"/>
      <c r="O891" s="1345"/>
      <c r="P891" s="1345"/>
      <c r="Q891" s="1345"/>
      <c r="R891" s="1345"/>
      <c r="S891" s="1345"/>
      <c r="T891" s="1568"/>
      <c r="U891" s="1344"/>
      <c r="V891" s="1345"/>
      <c r="W891" s="1345"/>
      <c r="X891" s="1345"/>
      <c r="Y891" s="1345"/>
      <c r="Z891" s="1345"/>
      <c r="AA891" s="74"/>
      <c r="AB891" s="57"/>
      <c r="AC891" s="57"/>
      <c r="AD891" s="57"/>
      <c r="AE891" s="57"/>
      <c r="AF891" s="167"/>
      <c r="AM891" s="61"/>
      <c r="AN891" s="332">
        <f>IF(SUM(AN926:AN934)&lt;=0.1,SUM(AN926:AN934),0.1)</f>
        <v>0.1</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69"/>
      <c r="U892" s="1346"/>
      <c r="V892" s="1347"/>
      <c r="W892" s="1347"/>
      <c r="X892" s="1347"/>
      <c r="Y892" s="1347"/>
      <c r="Z892" s="1347"/>
      <c r="AA892" s="168"/>
      <c r="AB892" s="1230" t="s">
        <v>424</v>
      </c>
      <c r="AC892" s="1230"/>
      <c r="AD892" s="1230"/>
      <c r="AE892" s="123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9" t="s">
        <v>592</v>
      </c>
      <c r="V893" s="1240"/>
      <c r="W893" s="1240"/>
      <c r="X893" s="1240"/>
      <c r="Y893" s="1240"/>
      <c r="Z893" s="1241"/>
      <c r="AA893" s="1203">
        <v>25000000</v>
      </c>
      <c r="AB893" s="1204"/>
      <c r="AC893" s="1204"/>
      <c r="AD893" s="1204"/>
      <c r="AE893" s="1204"/>
      <c r="AF893" s="120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9" t="s">
        <v>592</v>
      </c>
      <c r="V894" s="1240"/>
      <c r="W894" s="1240"/>
      <c r="X894" s="1240"/>
      <c r="Y894" s="1240"/>
      <c r="Z894" s="1241"/>
      <c r="AA894" s="1203">
        <v>2610000</v>
      </c>
      <c r="AB894" s="1204"/>
      <c r="AC894" s="1204"/>
      <c r="AD894" s="1204"/>
      <c r="AE894" s="1204"/>
      <c r="AF894" s="120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9" t="s">
        <v>592</v>
      </c>
      <c r="V895" s="1240"/>
      <c r="W895" s="1240"/>
      <c r="X895" s="1240"/>
      <c r="Y895" s="1240"/>
      <c r="Z895" s="1241"/>
      <c r="AA895" s="1203">
        <f>AG622</f>
        <v>1000000</v>
      </c>
      <c r="AB895" s="1204"/>
      <c r="AC895" s="1204"/>
      <c r="AD895" s="1204"/>
      <c r="AE895" s="1204"/>
      <c r="AF895" s="120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9" t="s">
        <v>642</v>
      </c>
      <c r="V896" s="1240"/>
      <c r="W896" s="1240"/>
      <c r="X896" s="1240"/>
      <c r="Y896" s="1240"/>
      <c r="Z896" s="1241"/>
      <c r="AA896" s="1203"/>
      <c r="AB896" s="1204"/>
      <c r="AC896" s="1204"/>
      <c r="AD896" s="1204"/>
      <c r="AE896" s="1204"/>
      <c r="AF896" s="120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9" t="s">
        <v>642</v>
      </c>
      <c r="V897" s="1240"/>
      <c r="W897" s="1240"/>
      <c r="X897" s="1240"/>
      <c r="Y897" s="1240"/>
      <c r="Z897" s="1241"/>
      <c r="AA897" s="1203"/>
      <c r="AB897" s="1204"/>
      <c r="AC897" s="1204"/>
      <c r="AD897" s="1204"/>
      <c r="AE897" s="1204"/>
      <c r="AF897" s="120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9" t="s">
        <v>642</v>
      </c>
      <c r="V898" s="1240"/>
      <c r="W898" s="1240"/>
      <c r="X898" s="1240"/>
      <c r="Y898" s="1240"/>
      <c r="Z898" s="1241"/>
      <c r="AA898" s="1203"/>
      <c r="AB898" s="1204"/>
      <c r="AC898" s="1204"/>
      <c r="AD898" s="1204"/>
      <c r="AE898" s="1204"/>
      <c r="AF898" s="120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9" t="s">
        <v>642</v>
      </c>
      <c r="V899" s="1240"/>
      <c r="W899" s="1240"/>
      <c r="X899" s="1240"/>
      <c r="Y899" s="1240"/>
      <c r="Z899" s="1241"/>
      <c r="AA899" s="1203"/>
      <c r="AB899" s="1204"/>
      <c r="AC899" s="1204"/>
      <c r="AD899" s="1204"/>
      <c r="AE899" s="1204"/>
      <c r="AF899" s="120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9" t="s">
        <v>642</v>
      </c>
      <c r="V900" s="1240"/>
      <c r="W900" s="1240"/>
      <c r="X900" s="1240"/>
      <c r="Y900" s="1240"/>
      <c r="Z900" s="1241"/>
      <c r="AA900" s="1203"/>
      <c r="AB900" s="1204"/>
      <c r="AC900" s="1204"/>
      <c r="AD900" s="1204"/>
      <c r="AE900" s="1204"/>
      <c r="AF900" s="120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9" t="s">
        <v>642</v>
      </c>
      <c r="V901" s="1240"/>
      <c r="W901" s="1240"/>
      <c r="X901" s="1240"/>
      <c r="Y901" s="1240"/>
      <c r="Z901" s="1241"/>
      <c r="AA901" s="1203"/>
      <c r="AB901" s="1204"/>
      <c r="AC901" s="1204"/>
      <c r="AD901" s="1204"/>
      <c r="AE901" s="1204"/>
      <c r="AF901" s="120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9" t="s">
        <v>642</v>
      </c>
      <c r="V902" s="1240"/>
      <c r="W902" s="1240"/>
      <c r="X902" s="1240"/>
      <c r="Y902" s="1240"/>
      <c r="Z902" s="1241"/>
      <c r="AA902" s="1203"/>
      <c r="AB902" s="1204"/>
      <c r="AC902" s="1204"/>
      <c r="AD902" s="1204"/>
      <c r="AE902" s="1204"/>
      <c r="AF902" s="120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9" t="s">
        <v>642</v>
      </c>
      <c r="V903" s="1240"/>
      <c r="W903" s="1240"/>
      <c r="X903" s="1240"/>
      <c r="Y903" s="1240"/>
      <c r="Z903" s="1241"/>
      <c r="AA903" s="1203"/>
      <c r="AB903" s="1204"/>
      <c r="AC903" s="1204"/>
      <c r="AD903" s="1204"/>
      <c r="AE903" s="1204"/>
      <c r="AF903" s="120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9" t="s">
        <v>642</v>
      </c>
      <c r="V904" s="1240"/>
      <c r="W904" s="1240"/>
      <c r="X904" s="1240"/>
      <c r="Y904" s="1240"/>
      <c r="Z904" s="1241"/>
      <c r="AA904" s="1203"/>
      <c r="AB904" s="1204"/>
      <c r="AC904" s="1204"/>
      <c r="AD904" s="1204"/>
      <c r="AE904" s="1204"/>
      <c r="AF904" s="120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9" t="s">
        <v>642</v>
      </c>
      <c r="V905" s="1240"/>
      <c r="W905" s="1240"/>
      <c r="X905" s="1240"/>
      <c r="Y905" s="1240"/>
      <c r="Z905" s="1241"/>
      <c r="AA905" s="1203"/>
      <c r="AB905" s="1204"/>
      <c r="AC905" s="1204"/>
      <c r="AD905" s="1204"/>
      <c r="AE905" s="1204"/>
      <c r="AF905" s="1205"/>
      <c r="AM905" s="1414">
        <f>G734+O778</f>
        <v>104</v>
      </c>
      <c r="AN905" s="141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9" t="s">
        <v>642</v>
      </c>
      <c r="V906" s="1240"/>
      <c r="W906" s="1240"/>
      <c r="X906" s="1240"/>
      <c r="Y906" s="1240"/>
      <c r="Z906" s="1241"/>
      <c r="AA906" s="1203"/>
      <c r="AB906" s="1204"/>
      <c r="AC906" s="1204"/>
      <c r="AD906" s="1204"/>
      <c r="AE906" s="1204"/>
      <c r="AF906" s="1205"/>
      <c r="AM906" s="52"/>
      <c r="AN906" s="21"/>
      <c r="AO906" s="1388">
        <f>ROUNDDOWN(X999/I999,2)</f>
        <v>0.78</v>
      </c>
      <c r="AP906" s="1389"/>
      <c r="AQ906" s="1389"/>
      <c r="AR906" s="139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9" t="s">
        <v>642</v>
      </c>
      <c r="V907" s="1240"/>
      <c r="W907" s="1240"/>
      <c r="X907" s="1240"/>
      <c r="Y907" s="1240"/>
      <c r="Z907" s="1241"/>
      <c r="AA907" s="1203"/>
      <c r="AB907" s="1204"/>
      <c r="AC907" s="1204"/>
      <c r="AD907" s="1204"/>
      <c r="AE907" s="1204"/>
      <c r="AF907" s="1205"/>
      <c r="AM907" s="52"/>
      <c r="AN907" s="52"/>
      <c r="AO907" s="1364">
        <f>ROUNDDOWN(X1003/I1003,2)</f>
        <v>0.21</v>
      </c>
      <c r="AP907" s="1365"/>
      <c r="AQ907" s="1365"/>
      <c r="AR907" s="136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9" t="s">
        <v>723</v>
      </c>
      <c r="Q908" s="1240"/>
      <c r="R908" s="1240"/>
      <c r="S908" s="1240"/>
      <c r="T908" s="1241"/>
      <c r="U908" s="1239" t="s">
        <v>642</v>
      </c>
      <c r="V908" s="1240"/>
      <c r="W908" s="1240"/>
      <c r="X908" s="1240"/>
      <c r="Y908" s="1240"/>
      <c r="Z908" s="1241"/>
      <c r="AA908" s="1203"/>
      <c r="AB908" s="1204"/>
      <c r="AC908" s="1204"/>
      <c r="AD908" s="1204"/>
      <c r="AE908" s="1204"/>
      <c r="AF908" s="120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1" t="s">
        <v>357</v>
      </c>
      <c r="J909" s="1395"/>
      <c r="K909" s="1395"/>
      <c r="L909" s="1395"/>
      <c r="M909" s="1395"/>
      <c r="N909" s="1395"/>
      <c r="O909" s="1395"/>
      <c r="P909" s="1395"/>
      <c r="Q909" s="1395"/>
      <c r="R909" s="1395"/>
      <c r="S909" s="1395"/>
      <c r="T909" s="1396"/>
      <c r="U909" s="1239" t="s">
        <v>642</v>
      </c>
      <c r="V909" s="1240"/>
      <c r="W909" s="1240"/>
      <c r="X909" s="1240"/>
      <c r="Y909" s="1240"/>
      <c r="Z909" s="1241"/>
      <c r="AA909" s="1203"/>
      <c r="AB909" s="1204"/>
      <c r="AC909" s="1204"/>
      <c r="AD909" s="1204"/>
      <c r="AE909" s="1204"/>
      <c r="AF909" s="120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2" t="str">
        <f>C623</f>
        <v>City of Coachella</v>
      </c>
      <c r="J910" s="1162"/>
      <c r="K910" s="1162"/>
      <c r="L910" s="1162"/>
      <c r="M910" s="1162"/>
      <c r="N910" s="1162"/>
      <c r="O910" s="1162"/>
      <c r="P910" s="1162"/>
      <c r="Q910" s="1162"/>
      <c r="R910" s="1162"/>
      <c r="S910" s="1162"/>
      <c r="T910" s="1163"/>
      <c r="U910" s="1239" t="s">
        <v>592</v>
      </c>
      <c r="V910" s="1240"/>
      <c r="W910" s="1240"/>
      <c r="X910" s="1240"/>
      <c r="Y910" s="1240"/>
      <c r="Z910" s="1241"/>
      <c r="AA910" s="1203">
        <f>AG623</f>
        <v>9240000</v>
      </c>
      <c r="AB910" s="1204"/>
      <c r="AC910" s="1204"/>
      <c r="AD910" s="1204"/>
      <c r="AE910" s="1204"/>
      <c r="AF910" s="120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2" t="str">
        <f>C624</f>
        <v>California Department of Development Services</v>
      </c>
      <c r="J911" s="1162"/>
      <c r="K911" s="1162"/>
      <c r="L911" s="1162"/>
      <c r="M911" s="1162"/>
      <c r="N911" s="1162"/>
      <c r="O911" s="1162"/>
      <c r="P911" s="1162"/>
      <c r="Q911" s="1162"/>
      <c r="R911" s="1162"/>
      <c r="S911" s="1162"/>
      <c r="T911" s="1163"/>
      <c r="U911" s="1239" t="s">
        <v>592</v>
      </c>
      <c r="V911" s="1240"/>
      <c r="W911" s="1240"/>
      <c r="X911" s="1240"/>
      <c r="Y911" s="1240"/>
      <c r="Z911" s="1241"/>
      <c r="AA911" s="1203">
        <f>AG624</f>
        <v>1160000</v>
      </c>
      <c r="AB911" s="1204"/>
      <c r="AC911" s="1204"/>
      <c r="AD911" s="1204"/>
      <c r="AE911" s="1204"/>
      <c r="AF911" s="120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1" t="s">
        <v>1681</v>
      </c>
      <c r="J912" s="1162"/>
      <c r="K912" s="1162"/>
      <c r="L912" s="1162"/>
      <c r="M912" s="1162"/>
      <c r="N912" s="1162"/>
      <c r="O912" s="1162"/>
      <c r="P912" s="1162"/>
      <c r="Q912" s="1162"/>
      <c r="R912" s="1162"/>
      <c r="S912" s="1162"/>
      <c r="T912" s="1163"/>
      <c r="U912" s="1239" t="s">
        <v>592</v>
      </c>
      <c r="V912" s="1240"/>
      <c r="W912" s="1240"/>
      <c r="X912" s="1240"/>
      <c r="Y912" s="1240"/>
      <c r="Z912" s="1241"/>
      <c r="AA912" s="1203">
        <f>AG619</f>
        <v>8395407</v>
      </c>
      <c r="AB912" s="1204"/>
      <c r="AC912" s="1204"/>
      <c r="AD912" s="1204"/>
      <c r="AE912" s="1204"/>
      <c r="AF912" s="120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3">
        <v>43664</v>
      </c>
      <c r="N917" s="1232"/>
      <c r="O917" s="1232"/>
      <c r="P917" s="1232"/>
      <c r="Q917" s="1232"/>
      <c r="R917" s="1232"/>
      <c r="S917" s="1284"/>
      <c r="U917" s="103" t="s">
        <v>11</v>
      </c>
      <c r="V917" s="77"/>
      <c r="W917" s="77"/>
      <c r="X917" s="77"/>
      <c r="Y917" s="77"/>
      <c r="Z917" s="77"/>
      <c r="AA917" s="77"/>
      <c r="AB917" s="77"/>
      <c r="AC917" s="77"/>
      <c r="AD917" s="78"/>
      <c r="AE917" s="1371"/>
      <c r="AF917" s="1232"/>
      <c r="AG917" s="1232"/>
      <c r="AH917" s="1232"/>
      <c r="AI917" s="1232"/>
      <c r="AJ917" s="1232"/>
      <c r="AK917" s="128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283" t="s">
        <v>1694</v>
      </c>
      <c r="N918" s="1232"/>
      <c r="O918" s="1232"/>
      <c r="P918" s="1232"/>
      <c r="Q918" s="1232"/>
      <c r="R918" s="1232"/>
      <c r="S918" s="1284"/>
      <c r="U918" s="103" t="s">
        <v>12</v>
      </c>
      <c r="V918" s="77"/>
      <c r="W918" s="77"/>
      <c r="X918" s="77"/>
      <c r="Y918" s="77"/>
      <c r="Z918" s="77"/>
      <c r="AA918" s="77"/>
      <c r="AB918" s="77"/>
      <c r="AC918" s="77"/>
      <c r="AD918" s="78"/>
      <c r="AE918" s="1384"/>
      <c r="AF918" s="1385"/>
      <c r="AG918" s="1385"/>
      <c r="AH918" s="1385"/>
      <c r="AI918" s="1385"/>
      <c r="AJ918" s="1385"/>
      <c r="AK918" s="138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8" t="s">
        <v>1695</v>
      </c>
      <c r="K919" s="1379"/>
      <c r="L919" s="1379"/>
      <c r="M919" s="1379"/>
      <c r="N919" s="1379"/>
      <c r="O919" s="1379"/>
      <c r="P919" s="1379"/>
      <c r="Q919" s="1379"/>
      <c r="R919" s="1379"/>
      <c r="S919" s="1380"/>
      <c r="U919" s="103" t="s">
        <v>975</v>
      </c>
      <c r="V919" s="77"/>
      <c r="W919" s="77"/>
      <c r="AB919" s="1378" t="s">
        <v>329</v>
      </c>
      <c r="AC919" s="1379"/>
      <c r="AD919" s="1379"/>
      <c r="AE919" s="1379"/>
      <c r="AF919" s="1379"/>
      <c r="AG919" s="1379"/>
      <c r="AH919" s="1379"/>
      <c r="AI919" s="1379"/>
      <c r="AJ919" s="1379"/>
      <c r="AK919" s="138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v>7.6999999999999999E-2</v>
      </c>
      <c r="N920" s="1368"/>
      <c r="O920" s="1368"/>
      <c r="P920" s="1368"/>
      <c r="Q920" s="1368"/>
      <c r="R920" s="1368"/>
      <c r="S920" s="1369"/>
      <c r="U920" s="103" t="s">
        <v>13</v>
      </c>
      <c r="V920" s="77"/>
      <c r="W920" s="77"/>
      <c r="X920" s="77"/>
      <c r="Y920" s="77"/>
      <c r="Z920" s="77"/>
      <c r="AA920" s="77"/>
      <c r="AB920" s="77"/>
      <c r="AC920" s="77"/>
      <c r="AD920" s="78"/>
      <c r="AE920" s="1367"/>
      <c r="AF920" s="1368"/>
      <c r="AG920" s="1368"/>
      <c r="AH920" s="1368"/>
      <c r="AI920" s="1368"/>
      <c r="AJ920" s="1368"/>
      <c r="AK920" s="136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0">
        <v>8</v>
      </c>
      <c r="N921" s="1151"/>
      <c r="O921" s="1151"/>
      <c r="P921" s="1151"/>
      <c r="Q921" s="1151"/>
      <c r="R921" s="1151"/>
      <c r="S921" s="1152"/>
      <c r="U921" s="103" t="s">
        <v>14</v>
      </c>
      <c r="V921" s="77"/>
      <c r="W921" s="77"/>
      <c r="X921" s="77"/>
      <c r="Y921" s="77"/>
      <c r="Z921" s="77"/>
      <c r="AA921" s="77"/>
      <c r="AB921" s="77"/>
      <c r="AC921" s="77"/>
      <c r="AD921" s="78"/>
      <c r="AE921" s="1150"/>
      <c r="AF921" s="1151"/>
      <c r="AG921" s="1151"/>
      <c r="AH921" s="1151"/>
      <c r="AI921" s="1151"/>
      <c r="AJ921" s="1151"/>
      <c r="AK921" s="11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3">
        <v>101808</v>
      </c>
      <c r="N922" s="1204"/>
      <c r="O922" s="1204"/>
      <c r="P922" s="1204"/>
      <c r="Q922" s="1204"/>
      <c r="R922" s="1204"/>
      <c r="S922" s="1205"/>
      <c r="U922" s="103" t="s">
        <v>15</v>
      </c>
      <c r="V922" s="77"/>
      <c r="W922" s="77"/>
      <c r="X922" s="77"/>
      <c r="Y922" s="77"/>
      <c r="Z922" s="77"/>
      <c r="AA922" s="77"/>
      <c r="AB922" s="77"/>
      <c r="AC922" s="77"/>
      <c r="AD922" s="78"/>
      <c r="AE922" s="1203"/>
      <c r="AF922" s="1204"/>
      <c r="AG922" s="1204"/>
      <c r="AH922" s="1204"/>
      <c r="AI922" s="1204"/>
      <c r="AJ922" s="1204"/>
      <c r="AK922" s="120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3">
        <f>M922*20</f>
        <v>2036160</v>
      </c>
      <c r="N923" s="1204"/>
      <c r="O923" s="1204"/>
      <c r="P923" s="1204"/>
      <c r="Q923" s="1204"/>
      <c r="R923" s="1204"/>
      <c r="S923" s="1205"/>
      <c r="U923" s="103" t="s">
        <v>16</v>
      </c>
      <c r="V923" s="77"/>
      <c r="W923" s="77"/>
      <c r="X923" s="77"/>
      <c r="Y923" s="77"/>
      <c r="Z923" s="77"/>
      <c r="AA923" s="77"/>
      <c r="AB923" s="77"/>
      <c r="AC923" s="77"/>
      <c r="AD923" s="78"/>
      <c r="AE923" s="1203"/>
      <c r="AF923" s="1204"/>
      <c r="AG923" s="1204"/>
      <c r="AH923" s="1204"/>
      <c r="AI923" s="1204"/>
      <c r="AJ923" s="1204"/>
      <c r="AK923" s="120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4">
        <v>20</v>
      </c>
      <c r="N924" s="1233"/>
      <c r="O924" s="1233"/>
      <c r="P924" s="1233"/>
      <c r="Q924" s="1233"/>
      <c r="R924" s="1233"/>
      <c r="S924" s="1355"/>
      <c r="U924" s="103" t="s">
        <v>621</v>
      </c>
      <c r="V924" s="77"/>
      <c r="W924" s="77"/>
      <c r="X924" s="77"/>
      <c r="Y924" s="77"/>
      <c r="Z924" s="77"/>
      <c r="AA924" s="77"/>
      <c r="AB924" s="77"/>
      <c r="AC924" s="77"/>
      <c r="AD924" s="78"/>
      <c r="AE924" s="1416"/>
      <c r="AF924" s="1417"/>
      <c r="AG924" s="1417"/>
      <c r="AH924" s="1417"/>
      <c r="AI924" s="1417"/>
      <c r="AJ924" s="1417"/>
      <c r="AK924" s="141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3"/>
      <c r="N929" s="1224"/>
      <c r="O929" s="1224"/>
      <c r="P929" s="1224"/>
      <c r="Q929" s="1224"/>
      <c r="R929" s="1224"/>
      <c r="S929" s="1225"/>
      <c r="T929" s="103" t="s">
        <v>872</v>
      </c>
      <c r="U929" s="77"/>
      <c r="V929" s="77"/>
      <c r="W929" s="77"/>
      <c r="X929" s="77"/>
      <c r="Y929" s="77"/>
      <c r="Z929" s="78"/>
      <c r="AA929" s="1223"/>
      <c r="AB929" s="1224"/>
      <c r="AC929" s="1224"/>
      <c r="AD929" s="1224"/>
      <c r="AE929" s="1224"/>
      <c r="AF929" s="1224"/>
      <c r="AG929" s="122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3"/>
      <c r="N930" s="1224"/>
      <c r="O930" s="1224"/>
      <c r="P930" s="1224"/>
      <c r="Q930" s="1224"/>
      <c r="R930" s="1224"/>
      <c r="S930" s="1225"/>
      <c r="T930" s="103" t="s">
        <v>871</v>
      </c>
      <c r="U930" s="77"/>
      <c r="V930" s="77"/>
      <c r="W930" s="77"/>
      <c r="X930" s="77"/>
      <c r="Y930" s="77"/>
      <c r="Z930" s="78"/>
      <c r="AA930" s="1223"/>
      <c r="AB930" s="1224"/>
      <c r="AC930" s="1224"/>
      <c r="AD930" s="1224"/>
      <c r="AE930" s="1224"/>
      <c r="AF930" s="1224"/>
      <c r="AG930" s="122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2" t="s">
        <v>642</v>
      </c>
      <c r="N931" s="1373"/>
      <c r="O931" s="1373"/>
      <c r="P931" s="1373"/>
      <c r="Q931" s="1373"/>
      <c r="R931" s="1373"/>
      <c r="S931" s="1374"/>
      <c r="T931" s="76" t="s">
        <v>360</v>
      </c>
      <c r="U931" s="77"/>
      <c r="V931" s="77"/>
      <c r="W931" s="77"/>
      <c r="X931" s="77"/>
      <c r="Y931" s="77"/>
      <c r="Z931" s="78"/>
      <c r="AA931" s="1223"/>
      <c r="AB931" s="1224"/>
      <c r="AC931" s="1224"/>
      <c r="AD931" s="1224"/>
      <c r="AE931" s="1224"/>
      <c r="AF931" s="1224"/>
      <c r="AG931" s="122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3"/>
      <c r="N932" s="1224"/>
      <c r="O932" s="1224"/>
      <c r="P932" s="1224"/>
      <c r="Q932" s="1224"/>
      <c r="R932" s="1224"/>
      <c r="S932" s="1225"/>
      <c r="T932" s="76" t="s">
        <v>361</v>
      </c>
      <c r="U932" s="77"/>
      <c r="V932" s="77"/>
      <c r="W932" s="77"/>
      <c r="X932" s="77"/>
      <c r="Y932" s="77"/>
      <c r="Z932" s="78"/>
      <c r="AA932" s="1223"/>
      <c r="AB932" s="1224"/>
      <c r="AC932" s="1224"/>
      <c r="AD932" s="1224"/>
      <c r="AE932" s="1224"/>
      <c r="AF932" s="1224"/>
      <c r="AG932" s="122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3"/>
      <c r="N933" s="1224"/>
      <c r="O933" s="1224"/>
      <c r="P933" s="1224"/>
      <c r="Q933" s="1224"/>
      <c r="R933" s="1224"/>
      <c r="S933" s="1225"/>
      <c r="T933" s="76" t="s">
        <v>408</v>
      </c>
      <c r="U933" s="77"/>
      <c r="V933" s="77"/>
      <c r="W933" s="77"/>
      <c r="X933" s="77"/>
      <c r="Y933" s="77"/>
      <c r="Z933" s="78"/>
      <c r="AA933" s="1223"/>
      <c r="AB933" s="1224"/>
      <c r="AC933" s="1224"/>
      <c r="AD933" s="1224"/>
      <c r="AE933" s="1224"/>
      <c r="AF933" s="1224"/>
      <c r="AG933" s="122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1" t="s">
        <v>329</v>
      </c>
      <c r="N934" s="1362"/>
      <c r="O934" s="1362"/>
      <c r="P934" s="1362"/>
      <c r="Q934" s="1362"/>
      <c r="R934" s="1362"/>
      <c r="S934" s="1363"/>
      <c r="T934" s="1337"/>
      <c r="U934" s="1338"/>
      <c r="V934" s="1338"/>
      <c r="W934" s="1338"/>
      <c r="X934" s="1338"/>
      <c r="Y934" s="1338"/>
      <c r="Z934" s="1339"/>
      <c r="AA934" s="1223"/>
      <c r="AB934" s="1224"/>
      <c r="AC934" s="1224"/>
      <c r="AD934" s="1224"/>
      <c r="AE934" s="1224"/>
      <c r="AF934" s="1224"/>
      <c r="AG934" s="122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3"/>
      <c r="N935" s="1224"/>
      <c r="O935" s="1224"/>
      <c r="P935" s="1224"/>
      <c r="Q935" s="1224"/>
      <c r="R935" s="1224"/>
      <c r="S935" s="1225"/>
      <c r="T935" s="1337"/>
      <c r="U935" s="1338"/>
      <c r="V935" s="1338"/>
      <c r="W935" s="1338"/>
      <c r="X935" s="1338"/>
      <c r="Y935" s="1338"/>
      <c r="Z935" s="1339"/>
      <c r="AA935" s="1223"/>
      <c r="AB935" s="1224"/>
      <c r="AC935" s="1224"/>
      <c r="AD935" s="1224"/>
      <c r="AE935" s="1224"/>
      <c r="AF935" s="1224"/>
      <c r="AG935" s="122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1" t="s">
        <v>723</v>
      </c>
      <c r="P936" s="1312"/>
      <c r="Q936" s="142"/>
      <c r="R936" s="142"/>
      <c r="S936" s="143"/>
      <c r="T936" s="71" t="s">
        <v>177</v>
      </c>
      <c r="U936" s="72"/>
      <c r="V936" s="72"/>
      <c r="W936" s="1406" t="s">
        <v>357</v>
      </c>
      <c r="X936" s="1179"/>
      <c r="Y936" s="1179"/>
      <c r="Z936" s="1179"/>
      <c r="AA936" s="1179"/>
      <c r="AB936" s="1179"/>
      <c r="AC936" s="1179"/>
      <c r="AD936" s="1179"/>
      <c r="AE936" s="1179"/>
      <c r="AF936" s="1179"/>
      <c r="AG936" s="118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3" t="s">
        <v>36</v>
      </c>
      <c r="G937" s="1314"/>
      <c r="H937" s="1314"/>
      <c r="I937" s="1314"/>
      <c r="J937" s="1314"/>
      <c r="K937" s="1314"/>
      <c r="L937" s="1314"/>
      <c r="M937" s="1223"/>
      <c r="N937" s="1224"/>
      <c r="O937" s="1224"/>
      <c r="P937" s="1224"/>
      <c r="Q937" s="1224"/>
      <c r="R937" s="1224"/>
      <c r="S937" s="1225"/>
      <c r="T937" s="79"/>
      <c r="U937" s="80"/>
      <c r="V937" s="80"/>
      <c r="W937" s="80"/>
      <c r="X937" s="80"/>
      <c r="Y937" s="80"/>
      <c r="Z937" s="196" t="s">
        <v>141</v>
      </c>
      <c r="AA937" s="1410"/>
      <c r="AB937" s="1411"/>
      <c r="AC937" s="1411"/>
      <c r="AD937" s="1411"/>
      <c r="AE937" s="1411"/>
      <c r="AF937" s="1411"/>
      <c r="AG937" s="141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6" t="s">
        <v>595</v>
      </c>
      <c r="B941" s="1276"/>
      <c r="C941" s="1276"/>
      <c r="D941" s="1276"/>
      <c r="E941" s="1276"/>
      <c r="F941" s="1276"/>
      <c r="G941" s="1276"/>
      <c r="H941" s="1276"/>
      <c r="I941" s="1276"/>
      <c r="J941" s="1276"/>
      <c r="K941" s="1276"/>
      <c r="L941" s="1276"/>
      <c r="M941" s="1276"/>
      <c r="N941" s="1276"/>
      <c r="O941" s="1276"/>
      <c r="P941" s="1276"/>
      <c r="Q941" s="1276"/>
      <c r="R941" s="1276"/>
      <c r="S941" s="1276"/>
      <c r="T941" s="1276"/>
      <c r="U941" s="1276"/>
      <c r="V941" s="1276"/>
      <c r="W941" s="1276"/>
      <c r="X941" s="1276"/>
      <c r="Y941" s="1276"/>
      <c r="Z941" s="1276"/>
      <c r="AA941" s="1276"/>
      <c r="AB941" s="1276"/>
      <c r="AC941" s="1276"/>
      <c r="AD941" s="1276"/>
      <c r="AE941" s="1276"/>
      <c r="AF941" s="1276"/>
      <c r="AG941" s="1276"/>
      <c r="AH941" s="1276"/>
      <c r="AI941" s="1276"/>
      <c r="AJ941" s="1276"/>
      <c r="AK941" s="1276"/>
      <c r="AL941" s="1276"/>
      <c r="AM941" s="52"/>
      <c r="AN941" s="52"/>
      <c r="AO941" s="21"/>
      <c r="AP941" s="21"/>
      <c r="AQ941" s="21"/>
      <c r="AR941" s="21"/>
      <c r="AS941" s="21"/>
      <c r="AT941" s="1154"/>
      <c r="AU941" s="1154"/>
      <c r="AV941" s="1154"/>
      <c r="AW941" s="1154"/>
      <c r="AX941" s="1154"/>
      <c r="AY941" s="11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7"/>
      <c r="B942" s="1277"/>
      <c r="C942" s="1277"/>
      <c r="D942" s="1277"/>
      <c r="E942" s="1277"/>
      <c r="F942" s="1277"/>
      <c r="G942" s="1277"/>
      <c r="H942" s="1277"/>
      <c r="I942" s="1277"/>
      <c r="J942" s="1277"/>
      <c r="K942" s="1277"/>
      <c r="L942" s="1277"/>
      <c r="M942" s="1277"/>
      <c r="N942" s="1277"/>
      <c r="O942" s="1277"/>
      <c r="P942" s="1277"/>
      <c r="Q942" s="1277"/>
      <c r="R942" s="1277"/>
      <c r="S942" s="1277"/>
      <c r="T942" s="1277"/>
      <c r="U942" s="1277"/>
      <c r="V942" s="1277"/>
      <c r="W942" s="1277"/>
      <c r="X942" s="1277"/>
      <c r="Y942" s="1277"/>
      <c r="Z942" s="1277"/>
      <c r="AA942" s="1277"/>
      <c r="AB942" s="1277"/>
      <c r="AC942" s="1277"/>
      <c r="AD942" s="1277"/>
      <c r="AE942" s="1277"/>
      <c r="AF942" s="1277"/>
      <c r="AG942" s="1277"/>
      <c r="AH942" s="1277"/>
      <c r="AI942" s="1277"/>
      <c r="AJ942" s="1277"/>
      <c r="AK942" s="1277"/>
      <c r="AL942" s="127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0" t="s">
        <v>689</v>
      </c>
      <c r="C946" s="1370"/>
      <c r="D946" s="1370"/>
      <c r="E946" s="1370"/>
      <c r="F946" s="1370"/>
      <c r="G946" s="1370"/>
      <c r="H946" s="1370"/>
      <c r="I946" s="1370"/>
      <c r="J946" s="1370"/>
      <c r="K946" s="1370"/>
      <c r="L946" s="1370" t="s">
        <v>690</v>
      </c>
      <c r="M946" s="1370"/>
      <c r="N946" s="1370"/>
      <c r="O946" s="1370"/>
      <c r="P946" s="1370"/>
      <c r="Q946" s="1370"/>
      <c r="R946" s="1370"/>
      <c r="S946" s="1370"/>
      <c r="T946" s="1370"/>
      <c r="U946" s="1370"/>
      <c r="V946" s="1370" t="s">
        <v>691</v>
      </c>
      <c r="W946" s="1370"/>
      <c r="X946" s="1370"/>
      <c r="Y946" s="1370"/>
      <c r="Z946" s="1370"/>
      <c r="AA946" s="1370"/>
      <c r="AB946" s="1370"/>
      <c r="AC946" s="1370"/>
      <c r="AD946" s="1381" t="s">
        <v>692</v>
      </c>
      <c r="AE946" s="1382"/>
      <c r="AF946" s="1382"/>
      <c r="AG946" s="1382"/>
      <c r="AH946" s="1382"/>
      <c r="AI946" s="1382"/>
      <c r="AJ946" s="1382"/>
      <c r="AK946" s="138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1" t="s">
        <v>684</v>
      </c>
      <c r="C947" s="1222"/>
      <c r="D947" s="1222"/>
      <c r="E947" s="1222"/>
      <c r="F947" s="1222"/>
      <c r="G947" s="1222"/>
      <c r="H947" s="1222"/>
      <c r="I947" s="1222"/>
      <c r="J947" s="1222"/>
      <c r="K947" s="1222"/>
      <c r="L947" s="1351">
        <f>IF(ISNA(IF($BA$779="4%",(INDEX($BC$789:$BG$846,MATCH($BO$779,$BB$789:$BB$846,0),MATCH(B947,$BC$788:$BG$788,0))),(INDEX($BJ$789:$BN$846,MATCH($BO$779,$BI$789:$BI$846,0),MATCH(B947,$BJ$788:$BN$788,0))))),0,IF($BA$779="4%",(INDEX($BC$789:$BG$846,MATCH($BO$779,$BB$789:$BB$846,0),MATCH(B947,$BC$788:$BG$788,0))),(INDEX($BJ$789:$BN$846,MATCH($BO$779,$BI$789:$BI$846,0),MATCH(B947,$BJ$788:$BN$788,0)))))</f>
        <v>261141</v>
      </c>
      <c r="M947" s="1352"/>
      <c r="N947" s="1352"/>
      <c r="O947" s="1352"/>
      <c r="P947" s="1352"/>
      <c r="Q947" s="1352"/>
      <c r="R947" s="1352"/>
      <c r="S947" s="1352"/>
      <c r="T947" s="1352"/>
      <c r="U947" s="1353"/>
      <c r="V947" s="1377">
        <f>BA635</f>
        <v>0</v>
      </c>
      <c r="W947" s="1377"/>
      <c r="X947" s="1377"/>
      <c r="Y947" s="1377"/>
      <c r="Z947" s="1377"/>
      <c r="AA947" s="1377"/>
      <c r="AB947" s="1377"/>
      <c r="AC947" s="1377"/>
      <c r="AD947" s="1299">
        <f>IF(ISERROR((L947*V947)),0,(L947*V947))</f>
        <v>0</v>
      </c>
      <c r="AE947" s="1300"/>
      <c r="AF947" s="1300"/>
      <c r="AG947" s="1300"/>
      <c r="AH947" s="1300"/>
      <c r="AI947" s="1300"/>
      <c r="AJ947" s="1300"/>
      <c r="AK947" s="130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1" t="s">
        <v>348</v>
      </c>
      <c r="C948" s="1221"/>
      <c r="D948" s="1221"/>
      <c r="E948" s="1221"/>
      <c r="F948" s="1221"/>
      <c r="G948" s="1221"/>
      <c r="H948" s="1221"/>
      <c r="I948" s="1221"/>
      <c r="J948" s="1221"/>
      <c r="K948" s="1221"/>
      <c r="L948" s="1351">
        <f>IF(ISNA(IF($BA$779="4%",(INDEX($BC$789:$BG$846,MATCH($BO$779,$BB$789:$BB$846,0),MATCH(B948,$BC$788:$BG$788,0))),(INDEX($BJ$789:$BN$846,MATCH($BO$779,$BI$789:$BI$846,0),MATCH(B948,$BJ$788:$BN$788,0))))),0,IF($BA$779="4%",(INDEX($BC$789:$BG$846,MATCH($BO$779,$BB$789:$BB$846,0),MATCH(B948,$BC$788:$BG$788,0))),(INDEX($BJ$789:$BN$846,MATCH($BO$779,$BI$789:$BI$846,0),MATCH(B948,$BJ$788:$BN$788,0)))))</f>
        <v>301093</v>
      </c>
      <c r="M948" s="1352"/>
      <c r="N948" s="1352"/>
      <c r="O948" s="1352"/>
      <c r="P948" s="1352"/>
      <c r="Q948" s="1352"/>
      <c r="R948" s="1352"/>
      <c r="S948" s="1352"/>
      <c r="T948" s="1352"/>
      <c r="U948" s="1353"/>
      <c r="V948" s="1377">
        <f>BF635</f>
        <v>50</v>
      </c>
      <c r="W948" s="1377"/>
      <c r="X948" s="1377"/>
      <c r="Y948" s="1377"/>
      <c r="Z948" s="1377"/>
      <c r="AA948" s="1377"/>
      <c r="AB948" s="1377"/>
      <c r="AC948" s="1377"/>
      <c r="AD948" s="1299">
        <f>IF(ISERROR((L948*V948)),0,(L948*V948))</f>
        <v>15054650</v>
      </c>
      <c r="AE948" s="1300"/>
      <c r="AF948" s="1300"/>
      <c r="AG948" s="1300"/>
      <c r="AH948" s="1300"/>
      <c r="AI948" s="1300"/>
      <c r="AJ948" s="1300"/>
      <c r="AK948" s="130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1" t="s">
        <v>170</v>
      </c>
      <c r="C949" s="1221"/>
      <c r="D949" s="1221"/>
      <c r="E949" s="1221"/>
      <c r="F949" s="1221"/>
      <c r="G949" s="1221"/>
      <c r="H949" s="1221"/>
      <c r="I949" s="1221"/>
      <c r="J949" s="1221"/>
      <c r="K949" s="1221"/>
      <c r="L949" s="1351">
        <f>IF(ISNA(IF($BA$779="4%",(INDEX($BC$789:$BG$846,MATCH($BO$779,$BB$789:$BB$846,0),MATCH(B949,$BC$788:$BG$788,0))),(INDEX($BJ$789:$BN$846,MATCH($BO$779,$BI$789:$BI$846,0),MATCH(B949,$BJ$788:$BN$788,0))))),0,IF($BA$779="4%",(INDEX($BC$789:$BG$846,MATCH($BO$779,$BB$789:$BB$846,0),MATCH(B949,$BC$788:$BG$788,0))),(INDEX($BJ$789:$BN$846,MATCH($BO$779,$BI$789:$BI$846,0),MATCH(B949,$BJ$788:$BN$788,0)))))</f>
        <v>363200</v>
      </c>
      <c r="M949" s="1352"/>
      <c r="N949" s="1352"/>
      <c r="O949" s="1352"/>
      <c r="P949" s="1352"/>
      <c r="Q949" s="1352"/>
      <c r="R949" s="1352"/>
      <c r="S949" s="1352"/>
      <c r="T949" s="1352"/>
      <c r="U949" s="1353"/>
      <c r="V949" s="1377">
        <f>BK635</f>
        <v>28</v>
      </c>
      <c r="W949" s="1377"/>
      <c r="X949" s="1377"/>
      <c r="Y949" s="1377"/>
      <c r="Z949" s="1377"/>
      <c r="AA949" s="1377"/>
      <c r="AB949" s="1377"/>
      <c r="AC949" s="1377"/>
      <c r="AD949" s="1299">
        <f>IF(ISERROR((L949*V949)),0,(L949*V949))</f>
        <v>10169600</v>
      </c>
      <c r="AE949" s="1300"/>
      <c r="AF949" s="1300"/>
      <c r="AG949" s="1300"/>
      <c r="AH949" s="1300"/>
      <c r="AI949" s="1300"/>
      <c r="AJ949" s="1300"/>
      <c r="AK949" s="130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1" t="s">
        <v>171</v>
      </c>
      <c r="C950" s="1221"/>
      <c r="D950" s="1221"/>
      <c r="E950" s="1221"/>
      <c r="F950" s="1221"/>
      <c r="G950" s="1221"/>
      <c r="H950" s="1221"/>
      <c r="I950" s="1221"/>
      <c r="J950" s="1221"/>
      <c r="K950" s="1221"/>
      <c r="L950" s="1351">
        <f>IF(ISNA(IF($BA$779="4%",(INDEX($BC$789:$BG$846,MATCH($BO$779,$BB$789:$BB$846,0),MATCH(B950,$BC$788:$BG$788,0))),(INDEX($BJ$789:$BN$846,MATCH($BO$779,$BI$789:$BI$846,0),MATCH(B950,$BJ$788:$BN$788,0))))),0,IF($BA$779="4%",(INDEX($BC$789:$BG$846,MATCH($BO$779,$BB$789:$BB$846,0),MATCH(B950,$BC$788:$BG$788,0))),(INDEX($BJ$789:$BN$846,MATCH($BO$779,$BI$789:$BI$846,0),MATCH(B950,$BJ$788:$BN$788,0)))))</f>
        <v>464896</v>
      </c>
      <c r="M950" s="1352"/>
      <c r="N950" s="1352"/>
      <c r="O950" s="1352"/>
      <c r="P950" s="1352"/>
      <c r="Q950" s="1352"/>
      <c r="R950" s="1352"/>
      <c r="S950" s="1352"/>
      <c r="T950" s="1352"/>
      <c r="U950" s="1353"/>
      <c r="V950" s="1377">
        <f>BP635</f>
        <v>27</v>
      </c>
      <c r="W950" s="1377"/>
      <c r="X950" s="1377"/>
      <c r="Y950" s="1377"/>
      <c r="Z950" s="1377"/>
      <c r="AA950" s="1377"/>
      <c r="AB950" s="1377"/>
      <c r="AC950" s="1377"/>
      <c r="AD950" s="1299">
        <f>IF(ISERROR((L950*V950)),0,(L950*V950))</f>
        <v>12552192</v>
      </c>
      <c r="AE950" s="1300"/>
      <c r="AF950" s="1300"/>
      <c r="AG950" s="1300"/>
      <c r="AH950" s="1300"/>
      <c r="AI950" s="1300"/>
      <c r="AJ950" s="1300"/>
      <c r="AK950" s="130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21" t="s">
        <v>507</v>
      </c>
      <c r="C951" s="1221"/>
      <c r="D951" s="1221"/>
      <c r="E951" s="1221"/>
      <c r="F951" s="1221"/>
      <c r="G951" s="1221"/>
      <c r="H951" s="1221"/>
      <c r="I951" s="1221"/>
      <c r="J951" s="1221"/>
      <c r="K951" s="1221"/>
      <c r="L951" s="1351">
        <f>IF(ISNA(IF($BA$779="4%",(INDEX($BC$789:$BG$846,MATCH($BO$779,$BB$789:$BB$846,0),MATCH(B951,$BC$788:$BG$788,0))),(INDEX($BJ$789:$BN$846,MATCH($BO$779,$BI$789:$BI$846,0),MATCH(B951,$BJ$788:$BN$788,0))))),0,IF($BA$779="4%",(INDEX($BC$789:$BG$846,MATCH($BO$779,$BB$789:$BB$846,0),MATCH(B951,$BC$788:$BG$788,0))),(INDEX($BJ$789:$BN$846,MATCH($BO$779,$BI$789:$BI$846,0),MATCH(B951,$BJ$788:$BN$788,0)))))</f>
        <v>517923</v>
      </c>
      <c r="M951" s="1352"/>
      <c r="N951" s="1352"/>
      <c r="O951" s="1352"/>
      <c r="P951" s="1352"/>
      <c r="Q951" s="1352"/>
      <c r="R951" s="1352"/>
      <c r="S951" s="1352"/>
      <c r="T951" s="1352"/>
      <c r="U951" s="1353"/>
      <c r="V951" s="1377">
        <f>BZ635+BU635</f>
        <v>0</v>
      </c>
      <c r="W951" s="1377"/>
      <c r="X951" s="1377"/>
      <c r="Y951" s="1377"/>
      <c r="Z951" s="1377"/>
      <c r="AA951" s="1377"/>
      <c r="AB951" s="1377"/>
      <c r="AC951" s="1377"/>
      <c r="AD951" s="1299">
        <f>IF(ISERROR((L951*V951)),0,(L951*V951))</f>
        <v>0</v>
      </c>
      <c r="AE951" s="1300"/>
      <c r="AF951" s="1300"/>
      <c r="AG951" s="1300"/>
      <c r="AH951" s="1300"/>
      <c r="AI951" s="1300"/>
      <c r="AJ951" s="1300"/>
      <c r="AK951" s="130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873</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407">
        <f>SUM(V947:AC951)</f>
        <v>105</v>
      </c>
      <c r="W952" s="1408"/>
      <c r="X952" s="1408"/>
      <c r="Y952" s="1408"/>
      <c r="Z952" s="1408"/>
      <c r="AA952" s="1408"/>
      <c r="AB952" s="1408"/>
      <c r="AC952" s="1409"/>
      <c r="AD952" s="1299"/>
      <c r="AE952" s="1300"/>
      <c r="AF952" s="1300"/>
      <c r="AG952" s="1300"/>
      <c r="AH952" s="1300"/>
      <c r="AI952" s="1300"/>
      <c r="AJ952" s="1300"/>
      <c r="AK952" s="130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8" t="s">
        <v>559</v>
      </c>
      <c r="C953" s="1349"/>
      <c r="D953" s="1349"/>
      <c r="E953" s="1349"/>
      <c r="F953" s="1349"/>
      <c r="G953" s="1349"/>
      <c r="H953" s="1349"/>
      <c r="I953" s="1349"/>
      <c r="J953" s="1349"/>
      <c r="K953" s="1349"/>
      <c r="L953" s="1349"/>
      <c r="M953" s="1349"/>
      <c r="N953" s="1349"/>
      <c r="O953" s="1349"/>
      <c r="P953" s="1349"/>
      <c r="Q953" s="1349"/>
      <c r="R953" s="1349"/>
      <c r="S953" s="1349"/>
      <c r="T953" s="1349"/>
      <c r="U953" s="1349"/>
      <c r="V953" s="1349"/>
      <c r="W953" s="1349"/>
      <c r="X953" s="1349"/>
      <c r="Y953" s="1349"/>
      <c r="Z953" s="1349"/>
      <c r="AA953" s="1349"/>
      <c r="AB953" s="1349"/>
      <c r="AC953" s="1350"/>
      <c r="AD953" s="1279">
        <f>SUM(AD947:AK951)</f>
        <v>37776442</v>
      </c>
      <c r="AE953" s="1280"/>
      <c r="AF953" s="1280"/>
      <c r="AG953" s="1280"/>
      <c r="AH953" s="1280"/>
      <c r="AI953" s="1280"/>
      <c r="AJ953" s="1280"/>
      <c r="AK953" s="128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2" t="s">
        <v>720</v>
      </c>
      <c r="AA954" s="1563"/>
      <c r="AB954" s="1563"/>
      <c r="AC954" s="156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5" t="s">
        <v>1482</v>
      </c>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7"/>
      <c r="Z955" s="115"/>
      <c r="AA955" s="1375" t="s">
        <v>723</v>
      </c>
      <c r="AB955" s="1376"/>
      <c r="AC955" s="128"/>
      <c r="AD955" s="1193">
        <f>ROUND(IF(AND(AA955="yes",D957&gt;0),AD953*0.2,0),0)</f>
        <v>0</v>
      </c>
      <c r="AE955" s="1193"/>
      <c r="AF955" s="1193"/>
      <c r="AG955" s="1193"/>
      <c r="AH955" s="1193"/>
      <c r="AI955" s="1193"/>
      <c r="AJ955" s="1193"/>
      <c r="AK955" s="119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8" t="s">
        <v>1483</v>
      </c>
      <c r="E956" s="1599"/>
      <c r="F956" s="1599"/>
      <c r="G956" s="1599"/>
      <c r="H956" s="1599"/>
      <c r="I956" s="1599"/>
      <c r="J956" s="1599"/>
      <c r="K956" s="1599"/>
      <c r="L956" s="1599"/>
      <c r="M956" s="1599"/>
      <c r="N956" s="1599"/>
      <c r="O956" s="1599"/>
      <c r="P956" s="1599"/>
      <c r="Q956" s="1599"/>
      <c r="R956" s="1599"/>
      <c r="S956" s="1599"/>
      <c r="T956" s="1599"/>
      <c r="U956" s="1599"/>
      <c r="V956" s="1599"/>
      <c r="W956" s="1599"/>
      <c r="X956" s="1599"/>
      <c r="Y956" s="1600"/>
      <c r="Z956" s="115"/>
      <c r="AA956" s="115"/>
      <c r="AB956" s="115"/>
      <c r="AC956" s="124"/>
      <c r="AD956" s="1196"/>
      <c r="AE956" s="1196"/>
      <c r="AF956" s="1196"/>
      <c r="AG956" s="1196"/>
      <c r="AH956" s="1196"/>
      <c r="AI956" s="1196"/>
      <c r="AJ956" s="1196"/>
      <c r="AK956" s="119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8"/>
      <c r="E957" s="1359"/>
      <c r="F957" s="1359"/>
      <c r="G957" s="1359"/>
      <c r="H957" s="1359"/>
      <c r="I957" s="1359"/>
      <c r="J957" s="1359"/>
      <c r="K957" s="1359"/>
      <c r="L957" s="1359"/>
      <c r="M957" s="1359"/>
      <c r="N957" s="1359"/>
      <c r="O957" s="1359"/>
      <c r="P957" s="1359"/>
      <c r="Q957" s="1359"/>
      <c r="R957" s="1359"/>
      <c r="S957" s="1359"/>
      <c r="T957" s="1359"/>
      <c r="U957" s="1359"/>
      <c r="V957" s="1359"/>
      <c r="W957" s="1359"/>
      <c r="X957" s="1359"/>
      <c r="Y957" s="1360"/>
      <c r="Z957" s="115"/>
      <c r="AA957" s="115"/>
      <c r="AB957" s="115"/>
      <c r="AC957" s="124"/>
      <c r="AD957" s="1196"/>
      <c r="AE957" s="1196"/>
      <c r="AF957" s="1196"/>
      <c r="AG957" s="1196"/>
      <c r="AH957" s="1196"/>
      <c r="AI957" s="1196"/>
      <c r="AJ957" s="1196"/>
      <c r="AK957" s="119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5" t="s">
        <v>1609</v>
      </c>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7"/>
      <c r="Z958" s="127"/>
      <c r="AA958" s="1190" t="s">
        <v>723</v>
      </c>
      <c r="AB958" s="1191"/>
      <c r="AC958" s="128"/>
      <c r="AD958" s="1192">
        <f>ROUND(IF(AA958="yes",AD953*0.05,0),0)</f>
        <v>0</v>
      </c>
      <c r="AE958" s="1193"/>
      <c r="AF958" s="1193"/>
      <c r="AG958" s="1193"/>
      <c r="AH958" s="1193"/>
      <c r="AI958" s="1193"/>
      <c r="AJ958" s="1193"/>
      <c r="AK958" s="119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3" t="s">
        <v>1606</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95"/>
      <c r="AE959" s="1196"/>
      <c r="AF959" s="1196"/>
      <c r="AG959" s="1196"/>
      <c r="AH959" s="1196"/>
      <c r="AI959" s="1196"/>
      <c r="AJ959" s="1196"/>
      <c r="AK959" s="119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95"/>
      <c r="AE960" s="1196"/>
      <c r="AF960" s="1196"/>
      <c r="AG960" s="1196"/>
      <c r="AH960" s="1196"/>
      <c r="AI960" s="1196"/>
      <c r="AJ960" s="1196"/>
      <c r="AK960" s="119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95"/>
      <c r="AE961" s="1196"/>
      <c r="AF961" s="1196"/>
      <c r="AG961" s="1196"/>
      <c r="AH961" s="1196"/>
      <c r="AI961" s="1196"/>
      <c r="AJ961" s="1196"/>
      <c r="AK961" s="119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95"/>
      <c r="AE962" s="1196"/>
      <c r="AF962" s="1196"/>
      <c r="AG962" s="1196"/>
      <c r="AH962" s="1196"/>
      <c r="AI962" s="1196"/>
      <c r="AJ962" s="1196"/>
      <c r="AK962" s="119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95"/>
      <c r="AE963" s="1196"/>
      <c r="AF963" s="1196"/>
      <c r="AG963" s="1196"/>
      <c r="AH963" s="1196"/>
      <c r="AI963" s="1196"/>
      <c r="AJ963" s="1196"/>
      <c r="AK963" s="119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8"/>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259"/>
      <c r="AE964" s="1260"/>
      <c r="AF964" s="1260"/>
      <c r="AG964" s="1260"/>
      <c r="AH964" s="1260"/>
      <c r="AI964" s="1260"/>
      <c r="AJ964" s="1260"/>
      <c r="AK964" s="126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5" t="s">
        <v>1608</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7"/>
      <c r="Z965" s="127"/>
      <c r="AA965" s="1190" t="s">
        <v>723</v>
      </c>
      <c r="AB965" s="1191"/>
      <c r="AC965" s="128"/>
      <c r="AD965" s="1193">
        <f>ROUND(IF(AA965="yes",AD953*0.07,0),0)</f>
        <v>0</v>
      </c>
      <c r="AE965" s="1193"/>
      <c r="AF965" s="1193"/>
      <c r="AG965" s="1193"/>
      <c r="AH965" s="1193"/>
      <c r="AI965" s="1193"/>
      <c r="AJ965" s="1193"/>
      <c r="AK965" s="119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2" t="s">
        <v>1607</v>
      </c>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4"/>
      <c r="Z966" s="115"/>
      <c r="AA966" s="25"/>
      <c r="AB966" s="25"/>
      <c r="AC966" s="124"/>
      <c r="AD966" s="1196"/>
      <c r="AE966" s="1196"/>
      <c r="AF966" s="1196"/>
      <c r="AG966" s="1196"/>
      <c r="AH966" s="1196"/>
      <c r="AI966" s="1196"/>
      <c r="AJ966" s="1196"/>
      <c r="AK966" s="119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4"/>
      <c r="Z967" s="115"/>
      <c r="AA967" s="115"/>
      <c r="AB967" s="115"/>
      <c r="AC967" s="124"/>
      <c r="AD967" s="1196"/>
      <c r="AE967" s="1196"/>
      <c r="AF967" s="1196"/>
      <c r="AG967" s="1196"/>
      <c r="AH967" s="1196"/>
      <c r="AI967" s="1196"/>
      <c r="AJ967" s="1196"/>
      <c r="AK967" s="119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8"/>
      <c r="E968" s="1269"/>
      <c r="F968" s="1269"/>
      <c r="G968" s="1269"/>
      <c r="H968" s="1269"/>
      <c r="I968" s="1269"/>
      <c r="J968" s="1269"/>
      <c r="K968" s="1269"/>
      <c r="L968" s="1269"/>
      <c r="M968" s="1269"/>
      <c r="N968" s="1269"/>
      <c r="O968" s="1269"/>
      <c r="P968" s="1269"/>
      <c r="Q968" s="1269"/>
      <c r="R968" s="1269"/>
      <c r="S968" s="1269"/>
      <c r="T968" s="1269"/>
      <c r="U968" s="1269"/>
      <c r="V968" s="1269"/>
      <c r="W968" s="1269"/>
      <c r="X968" s="1269"/>
      <c r="Y968" s="1270"/>
      <c r="Z968" s="11"/>
      <c r="AA968" s="11"/>
      <c r="AB968" s="11"/>
      <c r="AC968" s="119"/>
      <c r="AD968" s="1260"/>
      <c r="AE968" s="1260"/>
      <c r="AF968" s="1260"/>
      <c r="AG968" s="1260"/>
      <c r="AH968" s="1260"/>
      <c r="AI968" s="1260"/>
      <c r="AJ968" s="1260"/>
      <c r="AK968" s="1261"/>
      <c r="AL968" s="105"/>
      <c r="AO968" s="61"/>
      <c r="AP968" s="61"/>
      <c r="AQ968" s="61"/>
      <c r="AR968" s="61"/>
      <c r="AS968" s="61"/>
    </row>
    <row r="969" spans="1:96" ht="12.75" customHeight="1">
      <c r="A969" s="51"/>
      <c r="B969" s="120"/>
      <c r="C969" s="121" t="s">
        <v>227</v>
      </c>
      <c r="D969" s="1265" t="s">
        <v>1610</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7"/>
      <c r="Z969" s="113"/>
      <c r="AA969" s="1257" t="s">
        <v>723</v>
      </c>
      <c r="AB969" s="1258"/>
      <c r="AC969" s="51"/>
      <c r="AD969" s="1192">
        <f>ROUND(IF(AA969="yes",AD953*0.02,0),0)</f>
        <v>0</v>
      </c>
      <c r="AE969" s="1193"/>
      <c r="AF969" s="1193"/>
      <c r="AG969" s="1193"/>
      <c r="AH969" s="1193"/>
      <c r="AI969" s="1193"/>
      <c r="AJ969" s="1193"/>
      <c r="AK969" s="1194"/>
      <c r="AL969" s="105"/>
      <c r="AO969" s="32"/>
      <c r="AP969" s="32"/>
      <c r="AQ969" s="32"/>
      <c r="AR969" s="32"/>
      <c r="AS969" s="32"/>
    </row>
    <row r="970" spans="1:96" s="743" customFormat="1" ht="12.75" customHeight="1">
      <c r="A970" s="51"/>
      <c r="B970" s="113"/>
      <c r="C970" s="114"/>
      <c r="D970" s="1268" t="s">
        <v>1611</v>
      </c>
      <c r="E970" s="1269"/>
      <c r="F970" s="1269"/>
      <c r="G970" s="1269"/>
      <c r="H970" s="1269"/>
      <c r="I970" s="1269"/>
      <c r="J970" s="1269"/>
      <c r="K970" s="1269"/>
      <c r="L970" s="1269"/>
      <c r="M970" s="1269"/>
      <c r="N970" s="1269"/>
      <c r="O970" s="1269"/>
      <c r="P970" s="1269"/>
      <c r="Q970" s="1269"/>
      <c r="R970" s="1269"/>
      <c r="S970" s="1269"/>
      <c r="T970" s="1269"/>
      <c r="U970" s="1269"/>
      <c r="V970" s="1269"/>
      <c r="W970" s="1269"/>
      <c r="X970" s="1269"/>
      <c r="Y970" s="1270"/>
      <c r="Z970" s="113"/>
      <c r="AA970" s="51"/>
      <c r="AB970" s="51"/>
      <c r="AC970" s="51"/>
      <c r="AD970" s="1195"/>
      <c r="AE970" s="1196"/>
      <c r="AF970" s="1196"/>
      <c r="AG970" s="1196"/>
      <c r="AH970" s="1196"/>
      <c r="AI970" s="1196"/>
      <c r="AJ970" s="1196"/>
      <c r="AK970" s="1197"/>
      <c r="AL970" s="105"/>
      <c r="AO970" s="945"/>
      <c r="AP970" s="945"/>
      <c r="AQ970" s="945"/>
      <c r="AR970" s="945"/>
      <c r="AS970" s="945"/>
    </row>
    <row r="971" spans="1:96" ht="12.75" customHeight="1">
      <c r="A971" s="51"/>
      <c r="B971" s="120"/>
      <c r="C971" s="121" t="s">
        <v>230</v>
      </c>
      <c r="D971" s="1265" t="s">
        <v>1612</v>
      </c>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7"/>
      <c r="Z971" s="120"/>
      <c r="AA971" s="1190" t="s">
        <v>723</v>
      </c>
      <c r="AB971" s="1191"/>
      <c r="AC971" s="120"/>
      <c r="AD971" s="1192">
        <f>ROUND(IF(AA971="yes",AD953*0.02,0),0)</f>
        <v>0</v>
      </c>
      <c r="AE971" s="1193"/>
      <c r="AF971" s="1193"/>
      <c r="AG971" s="1193"/>
      <c r="AH971" s="1193"/>
      <c r="AI971" s="1193"/>
      <c r="AJ971" s="1193"/>
      <c r="AK971" s="1194"/>
      <c r="AL971" s="105"/>
    </row>
    <row r="972" spans="1:96" s="743" customFormat="1" ht="12.75" customHeight="1">
      <c r="A972" s="51"/>
      <c r="B972" s="113"/>
      <c r="C972" s="114"/>
      <c r="D972" s="1262" t="s">
        <v>1613</v>
      </c>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4"/>
      <c r="Z972" s="113"/>
      <c r="AA972" s="25"/>
      <c r="AB972" s="25"/>
      <c r="AC972" s="115"/>
      <c r="AD972" s="1195"/>
      <c r="AE972" s="1196"/>
      <c r="AF972" s="1196"/>
      <c r="AG972" s="1196"/>
      <c r="AH972" s="1196"/>
      <c r="AI972" s="1196"/>
      <c r="AJ972" s="1196"/>
      <c r="AK972" s="1197"/>
      <c r="AL972" s="105"/>
    </row>
    <row r="973" spans="1:96" ht="12.75" customHeight="1">
      <c r="A973" s="51"/>
      <c r="B973" s="116"/>
      <c r="C973" s="117"/>
      <c r="D973" s="1268"/>
      <c r="E973" s="1269"/>
      <c r="F973" s="1269"/>
      <c r="G973" s="1269"/>
      <c r="H973" s="1269"/>
      <c r="I973" s="1269"/>
      <c r="J973" s="1269"/>
      <c r="K973" s="1269"/>
      <c r="L973" s="1269"/>
      <c r="M973" s="1269"/>
      <c r="N973" s="1269"/>
      <c r="O973" s="1269"/>
      <c r="P973" s="1269"/>
      <c r="Q973" s="1269"/>
      <c r="R973" s="1269"/>
      <c r="S973" s="1269"/>
      <c r="T973" s="1269"/>
      <c r="U973" s="1269"/>
      <c r="V973" s="1269"/>
      <c r="W973" s="1269"/>
      <c r="X973" s="1269"/>
      <c r="Y973" s="1270"/>
      <c r="Z973" s="118"/>
      <c r="AA973" s="11"/>
      <c r="AB973" s="11"/>
      <c r="AC973" s="119"/>
      <c r="AD973" s="1259"/>
      <c r="AE973" s="1260"/>
      <c r="AF973" s="1260"/>
      <c r="AG973" s="1260"/>
      <c r="AH973" s="1260"/>
      <c r="AI973" s="1260"/>
      <c r="AJ973" s="1260"/>
      <c r="AK973" s="1261"/>
      <c r="AL973" s="105"/>
    </row>
    <row r="974" spans="1:96" ht="12.75" customHeight="1">
      <c r="A974" s="51"/>
      <c r="B974" s="120"/>
      <c r="C974" s="121" t="s">
        <v>233</v>
      </c>
      <c r="D974" s="1265" t="s">
        <v>1614</v>
      </c>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7"/>
      <c r="Z974" s="120"/>
      <c r="AA974" s="1190" t="s">
        <v>723</v>
      </c>
      <c r="AB974" s="1191"/>
      <c r="AC974" s="128"/>
      <c r="AD974" s="1192">
        <f>IF(AA974="yes",AD953*AN891,0)</f>
        <v>0</v>
      </c>
      <c r="AE974" s="1193"/>
      <c r="AF974" s="1193"/>
      <c r="AG974" s="1193"/>
      <c r="AH974" s="1193"/>
      <c r="AI974" s="1193"/>
      <c r="AJ974" s="1193"/>
      <c r="AK974" s="1194"/>
      <c r="AL974" s="105"/>
    </row>
    <row r="975" spans="1:96" ht="15" customHeight="1">
      <c r="A975" s="51"/>
      <c r="B975" s="113"/>
      <c r="C975" s="114"/>
      <c r="D975" s="1262" t="s">
        <v>1615</v>
      </c>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4"/>
      <c r="Z975" s="113"/>
      <c r="AA975" s="115"/>
      <c r="AB975" s="115"/>
      <c r="AC975" s="124"/>
      <c r="AD975" s="1195"/>
      <c r="AE975" s="1196"/>
      <c r="AF975" s="1196"/>
      <c r="AG975" s="1196"/>
      <c r="AH975" s="1196"/>
      <c r="AI975" s="1196"/>
      <c r="AJ975" s="1196"/>
      <c r="AK975" s="1197"/>
      <c r="AL975" s="105"/>
    </row>
    <row r="976" spans="1:96" s="743" customFormat="1" ht="15" customHeight="1">
      <c r="A976" s="51"/>
      <c r="B976" s="113"/>
      <c r="C976" s="114"/>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4"/>
      <c r="Z976" s="113"/>
      <c r="AA976" s="115"/>
      <c r="AB976" s="115"/>
      <c r="AC976" s="124"/>
      <c r="AD976" s="1195"/>
      <c r="AE976" s="1196"/>
      <c r="AF976" s="1196"/>
      <c r="AG976" s="1196"/>
      <c r="AH976" s="1196"/>
      <c r="AI976" s="1196"/>
      <c r="AJ976" s="1196"/>
      <c r="AK976" s="1197"/>
      <c r="AL976" s="105"/>
    </row>
    <row r="977" spans="1:38" ht="12.75">
      <c r="A977" s="51"/>
      <c r="B977" s="122"/>
      <c r="C977" s="123"/>
      <c r="D977" s="126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4"/>
      <c r="Z977" s="118"/>
      <c r="AA977" s="11"/>
      <c r="AB977" s="11"/>
      <c r="AC977" s="119"/>
      <c r="AD977" s="1259"/>
      <c r="AE977" s="1260"/>
      <c r="AF977" s="1260"/>
      <c r="AG977" s="1260"/>
      <c r="AH977" s="1260"/>
      <c r="AI977" s="1260"/>
      <c r="AJ977" s="1260"/>
      <c r="AK977" s="1261"/>
      <c r="AL977" s="105"/>
    </row>
    <row r="978" spans="1:38" ht="12.75" customHeight="1">
      <c r="A978" s="51"/>
      <c r="B978" s="120"/>
      <c r="C978" s="121" t="s">
        <v>238</v>
      </c>
      <c r="D978" s="1608" t="s">
        <v>1616</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57" t="s">
        <v>723</v>
      </c>
      <c r="AB978" s="1258"/>
      <c r="AC978" s="51"/>
      <c r="AD978" s="1302"/>
      <c r="AE978" s="1303"/>
      <c r="AF978" s="1303"/>
      <c r="AG978" s="1303"/>
      <c r="AH978" s="1303"/>
      <c r="AI978" s="1303"/>
      <c r="AJ978" s="1303"/>
      <c r="AK978" s="1304"/>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24">
        <f>IF(AA978="yes","Please Select Type and Enter Amount:",0)</f>
        <v>0</v>
      </c>
      <c r="AA979" s="1324"/>
      <c r="AB979" s="1324"/>
      <c r="AC979" s="1325"/>
      <c r="AD979" s="1305"/>
      <c r="AE979" s="1306"/>
      <c r="AF979" s="1306"/>
      <c r="AG979" s="1306"/>
      <c r="AH979" s="1306"/>
      <c r="AI979" s="1306"/>
      <c r="AJ979" s="1306"/>
      <c r="AK979" s="1307"/>
      <c r="AL979" s="105"/>
    </row>
    <row r="980" spans="1:38" ht="12.75" customHeight="1">
      <c r="A980" s="51"/>
      <c r="B980" s="122"/>
      <c r="C980" s="125"/>
      <c r="D980" s="1262" t="s">
        <v>1617</v>
      </c>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4"/>
      <c r="Z980" s="1326"/>
      <c r="AA980" s="1324"/>
      <c r="AB980" s="1324"/>
      <c r="AC980" s="1325"/>
      <c r="AD980" s="1305"/>
      <c r="AE980" s="1306"/>
      <c r="AF980" s="1306"/>
      <c r="AG980" s="1306"/>
      <c r="AH980" s="1306"/>
      <c r="AI980" s="1306"/>
      <c r="AJ980" s="1306"/>
      <c r="AK980" s="1307"/>
      <c r="AL980" s="105"/>
    </row>
    <row r="981" spans="1:38" s="743" customFormat="1" ht="12.75">
      <c r="A981" s="51"/>
      <c r="B981" s="122"/>
      <c r="C981" s="125"/>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4"/>
      <c r="Z981" s="1326"/>
      <c r="AA981" s="1324"/>
      <c r="AB981" s="1324"/>
      <c r="AC981" s="1325"/>
      <c r="AD981" s="1305"/>
      <c r="AE981" s="1306"/>
      <c r="AF981" s="1306"/>
      <c r="AG981" s="1306"/>
      <c r="AH981" s="1306"/>
      <c r="AI981" s="1306"/>
      <c r="AJ981" s="1306"/>
      <c r="AK981" s="1307"/>
      <c r="AL981" s="105"/>
    </row>
    <row r="982" spans="1:38" ht="12.75" customHeight="1">
      <c r="A982" s="51"/>
      <c r="B982" s="122"/>
      <c r="C982" s="125"/>
      <c r="D982" s="126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4"/>
      <c r="Z982" s="1326"/>
      <c r="AA982" s="1324"/>
      <c r="AB982" s="1324"/>
      <c r="AC982" s="1325"/>
      <c r="AD982" s="1305"/>
      <c r="AE982" s="1306"/>
      <c r="AF982" s="1306"/>
      <c r="AG982" s="1306"/>
      <c r="AH982" s="1306"/>
      <c r="AI982" s="1306"/>
      <c r="AJ982" s="1306"/>
      <c r="AK982" s="1307"/>
      <c r="AL982" s="105"/>
    </row>
    <row r="983" spans="1:38" ht="12.75" customHeight="1">
      <c r="A983" s="51"/>
      <c r="B983" s="122"/>
      <c r="C983" s="125"/>
      <c r="D983" s="949" t="s">
        <v>383</v>
      </c>
      <c r="E983" s="136"/>
      <c r="F983" s="136"/>
      <c r="G983" s="163"/>
      <c r="H983" s="7"/>
      <c r="J983" s="1321" t="s">
        <v>642</v>
      </c>
      <c r="K983" s="1322"/>
      <c r="L983" s="1322"/>
      <c r="M983" s="1322"/>
      <c r="N983" s="1322"/>
      <c r="O983" s="1322"/>
      <c r="P983" s="1322"/>
      <c r="Q983" s="1323"/>
      <c r="R983" s="7"/>
      <c r="S983" s="7"/>
      <c r="T983" s="164"/>
      <c r="U983" s="7"/>
      <c r="V983" s="1356" t="str">
        <f>IF(AA978="yes",(AD953*0.15),"")</f>
        <v/>
      </c>
      <c r="W983" s="1356"/>
      <c r="X983" s="1356"/>
      <c r="Y983" s="1357"/>
      <c r="Z983" s="1296"/>
      <c r="AA983" s="1297"/>
      <c r="AB983" s="1297"/>
      <c r="AC983" s="1298"/>
      <c r="AD983" s="1308"/>
      <c r="AE983" s="1309"/>
      <c r="AF983" s="1309"/>
      <c r="AG983" s="1309"/>
      <c r="AH983" s="1309"/>
      <c r="AI983" s="1309"/>
      <c r="AJ983" s="1309"/>
      <c r="AK983" s="1310"/>
      <c r="AL983" s="105"/>
    </row>
    <row r="984" spans="1:38" ht="12.75" customHeight="1">
      <c r="A984" s="51"/>
      <c r="B984" s="120"/>
      <c r="C984" s="121" t="s">
        <v>244</v>
      </c>
      <c r="D984" s="1265" t="s">
        <v>1618</v>
      </c>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7"/>
      <c r="Z984" s="113"/>
      <c r="AA984" s="1257" t="s">
        <v>592</v>
      </c>
      <c r="AB984" s="1258"/>
      <c r="AC984" s="51"/>
      <c r="AD984" s="1302">
        <v>1694619.81</v>
      </c>
      <c r="AE984" s="1303"/>
      <c r="AF984" s="1303"/>
      <c r="AG984" s="1303"/>
      <c r="AH984" s="1303"/>
      <c r="AI984" s="1303"/>
      <c r="AJ984" s="1303"/>
      <c r="AK984" s="1304"/>
      <c r="AL984" s="105"/>
    </row>
    <row r="985" spans="1:38" ht="12.75" customHeight="1">
      <c r="A985" s="51"/>
      <c r="B985" s="113"/>
      <c r="C985" s="114"/>
      <c r="D985" s="1262" t="s">
        <v>1619</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4"/>
      <c r="Z985" s="1319" t="str">
        <f>IF(AA984="yes","Please Enter Amount:",0)</f>
        <v>Please Enter Amount:</v>
      </c>
      <c r="AA985" s="1320"/>
      <c r="AB985" s="1320"/>
      <c r="AC985" s="1320"/>
      <c r="AD985" s="1305"/>
      <c r="AE985" s="1306"/>
      <c r="AF985" s="1306"/>
      <c r="AG985" s="1306"/>
      <c r="AH985" s="1306"/>
      <c r="AI985" s="1306"/>
      <c r="AJ985" s="1306"/>
      <c r="AK985" s="1307"/>
      <c r="AL985" s="105"/>
    </row>
    <row r="986" spans="1:38" s="743" customFormat="1" ht="12.75" customHeight="1">
      <c r="A986" s="51"/>
      <c r="B986" s="113"/>
      <c r="C986" s="114"/>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4"/>
      <c r="Z986" s="1319"/>
      <c r="AA986" s="1320"/>
      <c r="AB986" s="1320"/>
      <c r="AC986" s="1320"/>
      <c r="AD986" s="1305"/>
      <c r="AE986" s="1306"/>
      <c r="AF986" s="1306"/>
      <c r="AG986" s="1306"/>
      <c r="AH986" s="1306"/>
      <c r="AI986" s="1306"/>
      <c r="AJ986" s="1306"/>
      <c r="AK986" s="1307"/>
      <c r="AL986" s="105"/>
    </row>
    <row r="987" spans="1:38" ht="12.75" customHeight="1">
      <c r="A987" s="51"/>
      <c r="B987" s="126"/>
      <c r="C987" s="125"/>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70"/>
      <c r="Z987" s="1319"/>
      <c r="AA987" s="1320"/>
      <c r="AB987" s="1320"/>
      <c r="AC987" s="1320"/>
      <c r="AD987" s="1308"/>
      <c r="AE987" s="1309"/>
      <c r="AF987" s="1309"/>
      <c r="AG987" s="1309"/>
      <c r="AH987" s="1309"/>
      <c r="AI987" s="1309"/>
      <c r="AJ987" s="1309"/>
      <c r="AK987" s="1310"/>
      <c r="AL987" s="105"/>
    </row>
    <row r="988" spans="1:38" ht="12.75" customHeight="1">
      <c r="A988" s="51"/>
      <c r="B988" s="120"/>
      <c r="C988" s="121" t="s">
        <v>249</v>
      </c>
      <c r="D988" s="1265" t="s">
        <v>1620</v>
      </c>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7"/>
      <c r="Z988" s="120"/>
      <c r="AA988" s="1190" t="s">
        <v>723</v>
      </c>
      <c r="AB988" s="1191"/>
      <c r="AC988" s="127"/>
      <c r="AD988" s="1192">
        <f>ROUND(IF(AA988="yes",(AD953*0.1),0),0)</f>
        <v>0</v>
      </c>
      <c r="AE988" s="1193"/>
      <c r="AF988" s="1193"/>
      <c r="AG988" s="1193"/>
      <c r="AH988" s="1193"/>
      <c r="AI988" s="1193"/>
      <c r="AJ988" s="1193"/>
      <c r="AK988" s="1194"/>
      <c r="AL988" s="105"/>
    </row>
    <row r="989" spans="1:38" s="743" customFormat="1" ht="12.75" customHeight="1">
      <c r="A989" s="51"/>
      <c r="B989" s="113"/>
      <c r="C989" s="114"/>
      <c r="D989" s="1262" t="s">
        <v>1621</v>
      </c>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4"/>
      <c r="Z989" s="113"/>
      <c r="AA989" s="115"/>
      <c r="AB989" s="115"/>
      <c r="AC989" s="115"/>
      <c r="AD989" s="1195"/>
      <c r="AE989" s="1196"/>
      <c r="AF989" s="1196"/>
      <c r="AG989" s="1196"/>
      <c r="AH989" s="1196"/>
      <c r="AI989" s="1196"/>
      <c r="AJ989" s="1196"/>
      <c r="AK989" s="1197"/>
      <c r="AL989" s="105"/>
    </row>
    <row r="990" spans="1:38" ht="12.75">
      <c r="A990" s="51"/>
      <c r="B990" s="113"/>
      <c r="C990" s="114"/>
      <c r="D990" s="1268"/>
      <c r="E990" s="1269"/>
      <c r="F990" s="1269"/>
      <c r="G990" s="1269"/>
      <c r="H990" s="1269"/>
      <c r="I990" s="1269"/>
      <c r="J990" s="1269"/>
      <c r="K990" s="1269"/>
      <c r="L990" s="1269"/>
      <c r="M990" s="1269"/>
      <c r="N990" s="1269"/>
      <c r="O990" s="1269"/>
      <c r="P990" s="1269"/>
      <c r="Q990" s="1269"/>
      <c r="R990" s="1269"/>
      <c r="S990" s="1269"/>
      <c r="T990" s="1269"/>
      <c r="U990" s="1269"/>
      <c r="V990" s="1269"/>
      <c r="W990" s="1269"/>
      <c r="X990" s="1269"/>
      <c r="Y990" s="1270"/>
      <c r="Z990" s="113"/>
      <c r="AA990" s="115"/>
      <c r="AB990" s="115"/>
      <c r="AC990" s="115"/>
      <c r="AD990" s="1195"/>
      <c r="AE990" s="1196"/>
      <c r="AF990" s="1196"/>
      <c r="AG990" s="1196"/>
      <c r="AH990" s="1196"/>
      <c r="AI990" s="1196"/>
      <c r="AJ990" s="1196"/>
      <c r="AK990" s="1197"/>
      <c r="AL990" s="105"/>
    </row>
    <row r="991" spans="1:38" ht="12.75" customHeight="1">
      <c r="A991" s="51"/>
      <c r="B991" s="120"/>
      <c r="C991" s="555" t="s">
        <v>742</v>
      </c>
      <c r="D991" s="1265" t="s">
        <v>1622</v>
      </c>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7"/>
      <c r="Z991" s="120"/>
      <c r="AA991" s="1190" t="s">
        <v>723</v>
      </c>
      <c r="AB991" s="1191"/>
      <c r="AC991" s="127"/>
      <c r="AD991" s="1192">
        <f>ROUND(IF(AA991="yes",(AD953*0.1),0),0)</f>
        <v>0</v>
      </c>
      <c r="AE991" s="1193"/>
      <c r="AF991" s="1193"/>
      <c r="AG991" s="1193"/>
      <c r="AH991" s="1193"/>
      <c r="AI991" s="1193"/>
      <c r="AJ991" s="1193"/>
      <c r="AK991" s="1194"/>
      <c r="AL991" s="105"/>
    </row>
    <row r="992" spans="1:38" s="706" customFormat="1" ht="12.75" customHeight="1">
      <c r="A992" s="51"/>
      <c r="B992" s="113"/>
      <c r="C992" s="114"/>
      <c r="D992" s="1262" t="s">
        <v>1623</v>
      </c>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4"/>
      <c r="Z992" s="113"/>
      <c r="AA992" s="115"/>
      <c r="AB992" s="115"/>
      <c r="AC992" s="115"/>
      <c r="AD992" s="1195"/>
      <c r="AE992" s="1196"/>
      <c r="AF992" s="1196"/>
      <c r="AG992" s="1196"/>
      <c r="AH992" s="1196"/>
      <c r="AI992" s="1196"/>
      <c r="AJ992" s="1196"/>
      <c r="AK992" s="1197"/>
      <c r="AL992" s="105"/>
    </row>
    <row r="993" spans="1:38" ht="12.75" customHeight="1">
      <c r="A993" s="51"/>
      <c r="B993" s="113"/>
      <c r="C993" s="114"/>
      <c r="D993" s="126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4"/>
      <c r="Z993" s="113"/>
      <c r="AA993" s="115"/>
      <c r="AB993" s="115"/>
      <c r="AC993" s="115"/>
      <c r="AD993" s="552"/>
      <c r="AE993" s="553"/>
      <c r="AF993" s="553"/>
      <c r="AG993" s="553"/>
      <c r="AH993" s="553"/>
      <c r="AI993" s="553"/>
      <c r="AJ993" s="553"/>
      <c r="AK993" s="554"/>
      <c r="AL993" s="105"/>
    </row>
    <row r="994" spans="1:38" ht="12.75" customHeight="1">
      <c r="A994" s="51"/>
      <c r="B994" s="113"/>
      <c r="C994" s="114"/>
      <c r="D994" s="126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4"/>
      <c r="Z994" s="113"/>
      <c r="AA994" s="115"/>
      <c r="AB994" s="115"/>
      <c r="AC994" s="115"/>
      <c r="AD994" s="552"/>
      <c r="AE994" s="553"/>
      <c r="AF994" s="553"/>
      <c r="AG994" s="553"/>
      <c r="AH994" s="553"/>
      <c r="AI994" s="553"/>
      <c r="AJ994" s="553"/>
      <c r="AK994" s="554"/>
      <c r="AL994" s="105"/>
    </row>
    <row r="995" spans="1:38" ht="12.75" customHeight="1">
      <c r="A995" s="51"/>
      <c r="B995" s="113"/>
      <c r="C995" s="114"/>
      <c r="D995" s="1268"/>
      <c r="E995" s="1269"/>
      <c r="F995" s="1269"/>
      <c r="G995" s="1269"/>
      <c r="H995" s="1269"/>
      <c r="I995" s="1269"/>
      <c r="J995" s="1269"/>
      <c r="K995" s="1269"/>
      <c r="L995" s="1269"/>
      <c r="M995" s="1269"/>
      <c r="N995" s="1269"/>
      <c r="O995" s="1269"/>
      <c r="P995" s="1269"/>
      <c r="Q995" s="1269"/>
      <c r="R995" s="1269"/>
      <c r="S995" s="1269"/>
      <c r="T995" s="1269"/>
      <c r="U995" s="1269"/>
      <c r="V995" s="1269"/>
      <c r="W995" s="1269"/>
      <c r="X995" s="1269"/>
      <c r="Y995" s="127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5" t="s">
        <v>1627</v>
      </c>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7"/>
      <c r="Z996" s="120"/>
      <c r="AA996" s="1294" t="str">
        <f>IF(X999&gt;0,"Yes","No")</f>
        <v>Yes</v>
      </c>
      <c r="AB996" s="1295"/>
      <c r="AC996" s="128"/>
      <c r="AD996" s="1285">
        <f>IF((X999=0),"",AO906*AD953)</f>
        <v>29465624.760000002</v>
      </c>
      <c r="AE996" s="1286"/>
      <c r="AF996" s="1286"/>
      <c r="AG996" s="1286"/>
      <c r="AH996" s="1286"/>
      <c r="AI996" s="1286"/>
      <c r="AJ996" s="1286"/>
      <c r="AK996" s="1287"/>
      <c r="AL996" s="105"/>
    </row>
    <row r="997" spans="1:38" s="743" customFormat="1" ht="12.75" customHeight="1">
      <c r="A997" s="51"/>
      <c r="B997" s="113"/>
      <c r="C997" s="726"/>
      <c r="D997" s="1262" t="s">
        <v>1626</v>
      </c>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4"/>
      <c r="Z997" s="113"/>
      <c r="AA997" s="727"/>
      <c r="AB997" s="727"/>
      <c r="AC997" s="124"/>
      <c r="AD997" s="1288"/>
      <c r="AE997" s="1289"/>
      <c r="AF997" s="1289"/>
      <c r="AG997" s="1289"/>
      <c r="AH997" s="1289"/>
      <c r="AI997" s="1289"/>
      <c r="AJ997" s="1289"/>
      <c r="AK997" s="1290"/>
      <c r="AL997" s="105"/>
    </row>
    <row r="998" spans="1:38" ht="12.75" customHeight="1">
      <c r="A998" s="51"/>
      <c r="B998" s="113"/>
      <c r="C998" s="726"/>
      <c r="D998" s="126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4"/>
      <c r="Z998" s="113"/>
      <c r="AA998" s="727"/>
      <c r="AB998" s="727"/>
      <c r="AC998" s="124"/>
      <c r="AD998" s="1288"/>
      <c r="AE998" s="1289"/>
      <c r="AF998" s="1289"/>
      <c r="AG998" s="1289"/>
      <c r="AH998" s="1289"/>
      <c r="AI998" s="1289"/>
      <c r="AJ998" s="1289"/>
      <c r="AK998" s="1290"/>
      <c r="AL998" s="105"/>
    </row>
    <row r="999" spans="1:38" ht="12.75" customHeight="1">
      <c r="A999" s="51"/>
      <c r="B999" s="118"/>
      <c r="C999" s="119"/>
      <c r="D999" s="207" t="s">
        <v>1081</v>
      </c>
      <c r="E999" s="208"/>
      <c r="F999" s="208"/>
      <c r="G999" s="208"/>
      <c r="H999" s="104"/>
      <c r="I999" s="1315">
        <f>AM905</f>
        <v>104</v>
      </c>
      <c r="J999" s="1316"/>
      <c r="K999" s="51"/>
      <c r="L999" s="104"/>
      <c r="M999" s="208"/>
      <c r="N999" s="208"/>
      <c r="O999" s="208"/>
      <c r="P999" s="208"/>
      <c r="Q999" s="208"/>
      <c r="R999" s="208"/>
      <c r="S999" s="208"/>
      <c r="T999" s="208"/>
      <c r="U999" s="208"/>
      <c r="V999" s="104"/>
      <c r="W999" s="209" t="s">
        <v>1082</v>
      </c>
      <c r="X999" s="1317">
        <f>AT614</f>
        <v>82</v>
      </c>
      <c r="Y999" s="1318"/>
      <c r="Z999" s="1296"/>
      <c r="AA999" s="1297"/>
      <c r="AB999" s="1297"/>
      <c r="AC999" s="1298"/>
      <c r="AD999" s="1291"/>
      <c r="AE999" s="1292"/>
      <c r="AF999" s="1292"/>
      <c r="AG999" s="1292"/>
      <c r="AH999" s="1292"/>
      <c r="AI999" s="1292"/>
      <c r="AJ999" s="1292"/>
      <c r="AK999" s="1293"/>
      <c r="AL999" s="105"/>
    </row>
    <row r="1000" spans="1:38" ht="12.75" customHeight="1">
      <c r="A1000" s="51"/>
      <c r="B1000" s="120"/>
      <c r="C1000" s="206" t="s">
        <v>1155</v>
      </c>
      <c r="D1000" s="1265" t="s">
        <v>1625</v>
      </c>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7"/>
      <c r="Z1000" s="113"/>
      <c r="AA1000" s="1294" t="str">
        <f>IF(X1003&gt;0,"Yes","No")</f>
        <v>Yes</v>
      </c>
      <c r="AB1000" s="1295"/>
      <c r="AC1000" s="124"/>
      <c r="AD1000" s="1285">
        <f>IF((X1003=0)," ",(2*AO907)*AD953)</f>
        <v>15866105.639999999</v>
      </c>
      <c r="AE1000" s="1286"/>
      <c r="AF1000" s="1286"/>
      <c r="AG1000" s="1286"/>
      <c r="AH1000" s="1286"/>
      <c r="AI1000" s="1286"/>
      <c r="AJ1000" s="1286"/>
      <c r="AK1000" s="1287"/>
      <c r="AL1000" s="105"/>
    </row>
    <row r="1001" spans="1:38" s="743" customFormat="1" ht="12.75" customHeight="1">
      <c r="A1001" s="51"/>
      <c r="B1001" s="113"/>
      <c r="C1001" s="726"/>
      <c r="D1001" s="1262" t="s">
        <v>1624</v>
      </c>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4"/>
      <c r="Z1001" s="113"/>
      <c r="AA1001" s="727"/>
      <c r="AB1001" s="727"/>
      <c r="AC1001" s="124"/>
      <c r="AD1001" s="1288"/>
      <c r="AE1001" s="1289"/>
      <c r="AF1001" s="1289"/>
      <c r="AG1001" s="1289"/>
      <c r="AH1001" s="1289"/>
      <c r="AI1001" s="1289"/>
      <c r="AJ1001" s="1289"/>
      <c r="AK1001" s="1290"/>
      <c r="AL1001" s="105"/>
    </row>
    <row r="1002" spans="1:38" ht="12.75" customHeight="1">
      <c r="A1002" s="51"/>
      <c r="B1002" s="113"/>
      <c r="C1002" s="124"/>
      <c r="D1002" s="1262"/>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4"/>
      <c r="Z1002" s="1326"/>
      <c r="AA1002" s="1324"/>
      <c r="AB1002" s="1324"/>
      <c r="AC1002" s="1325"/>
      <c r="AD1002" s="1288"/>
      <c r="AE1002" s="1289"/>
      <c r="AF1002" s="1289"/>
      <c r="AG1002" s="1289"/>
      <c r="AH1002" s="1289"/>
      <c r="AI1002" s="1289"/>
      <c r="AJ1002" s="1289"/>
      <c r="AK1002" s="1290"/>
      <c r="AL1002" s="105"/>
    </row>
    <row r="1003" spans="1:38" ht="12.75" customHeight="1">
      <c r="A1003" s="51"/>
      <c r="B1003" s="118"/>
      <c r="C1003" s="119"/>
      <c r="D1003" s="207" t="s">
        <v>1081</v>
      </c>
      <c r="E1003" s="208"/>
      <c r="F1003" s="208"/>
      <c r="G1003" s="208"/>
      <c r="H1003" s="208"/>
      <c r="I1003" s="1315">
        <f>AM905</f>
        <v>104</v>
      </c>
      <c r="J1003" s="1316"/>
      <c r="K1003" s="51"/>
      <c r="L1003" s="208"/>
      <c r="M1003" s="208"/>
      <c r="N1003" s="208"/>
      <c r="O1003" s="208"/>
      <c r="P1003" s="208"/>
      <c r="Q1003" s="208"/>
      <c r="R1003" s="208"/>
      <c r="S1003" s="208"/>
      <c r="T1003" s="208"/>
      <c r="U1003" s="208"/>
      <c r="V1003" s="208"/>
      <c r="W1003" s="209" t="s">
        <v>1083</v>
      </c>
      <c r="X1003" s="1317">
        <f>AX614</f>
        <v>22</v>
      </c>
      <c r="Y1003" s="1318"/>
      <c r="Z1003" s="1296"/>
      <c r="AA1003" s="1297"/>
      <c r="AB1003" s="1297"/>
      <c r="AC1003" s="1298"/>
      <c r="AD1003" s="1291"/>
      <c r="AE1003" s="1292"/>
      <c r="AF1003" s="1292"/>
      <c r="AG1003" s="1292"/>
      <c r="AH1003" s="1292"/>
      <c r="AI1003" s="1292"/>
      <c r="AJ1003" s="1292"/>
      <c r="AK1003" s="1293"/>
      <c r="AL1003" s="105"/>
    </row>
    <row r="1004" spans="1:38" ht="12.75" customHeight="1">
      <c r="A1004" s="51"/>
      <c r="B1004" s="161"/>
      <c r="C1004" s="162"/>
      <c r="D1004" s="1340" t="s">
        <v>560</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79">
        <f>SUM(AD953:AK1003)</f>
        <v>84802792.210000008</v>
      </c>
      <c r="AE1004" s="1280"/>
      <c r="AF1004" s="1280"/>
      <c r="AG1004" s="1280"/>
      <c r="AH1004" s="1280"/>
      <c r="AI1004" s="1280"/>
      <c r="AJ1004" s="1280"/>
      <c r="AK1004" s="128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9"/>
      <c r="Y1007" s="1219"/>
      <c r="Z1007" s="1219"/>
      <c r="AA1007" s="1219"/>
      <c r="AB1007" s="1219"/>
      <c r="AC1007" s="121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0"/>
      <c r="Y1008" s="1220"/>
      <c r="Z1008" s="1220"/>
      <c r="AA1008" s="1220"/>
      <c r="AB1008" s="1220"/>
      <c r="AC1008" s="1220"/>
      <c r="AD1008" s="345"/>
      <c r="AE1008" s="345"/>
      <c r="AF1008" s="345"/>
      <c r="AG1008" s="345"/>
      <c r="AH1008" s="345"/>
      <c r="AI1008" s="345"/>
      <c r="AJ1008" s="345"/>
      <c r="AK1008" s="345"/>
      <c r="AL1008" s="105"/>
    </row>
    <row r="1009" spans="1:38" ht="12.75" customHeight="1">
      <c r="A1009" s="51"/>
      <c r="B1009" s="115"/>
      <c r="C1009" s="348"/>
      <c r="D1009" s="1567"/>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7"/>
      <c r="AF1009" s="1567"/>
      <c r="AG1009" s="1567"/>
      <c r="AH1009" s="1567"/>
      <c r="AI1009" s="1567"/>
      <c r="AJ1009" s="1567"/>
      <c r="AK1009" s="1567"/>
      <c r="AL1009" s="105"/>
    </row>
    <row r="1010" spans="1:38" ht="12.75" customHeight="1">
      <c r="A1010" s="51"/>
      <c r="B1010" s="115"/>
      <c r="C1010" s="348"/>
      <c r="D1010" s="1567"/>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7"/>
      <c r="AF1010" s="1567"/>
      <c r="AG1010" s="1567"/>
      <c r="AH1010" s="1567"/>
      <c r="AI1010" s="1567"/>
      <c r="AJ1010" s="1567"/>
      <c r="AK1010" s="1567"/>
      <c r="AL1010" s="105"/>
    </row>
    <row r="1011" spans="1:38" ht="12.75" customHeight="1">
      <c r="A1011" s="51"/>
      <c r="B1011" s="115"/>
      <c r="C1011" s="348"/>
      <c r="D1011" s="1567"/>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7"/>
      <c r="AF1011" s="1567"/>
      <c r="AG1011" s="1567"/>
      <c r="AH1011" s="1567"/>
      <c r="AI1011" s="1567"/>
      <c r="AJ1011" s="1567"/>
      <c r="AK1011" s="1567"/>
      <c r="AL1011" s="105"/>
    </row>
    <row r="1012" spans="1:38" ht="12.6" customHeight="1">
      <c r="A1012" s="51"/>
      <c r="B1012" s="118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9"/>
      <c r="D1012" s="1189"/>
      <c r="E1012" s="1189"/>
      <c r="F1012" s="1189"/>
      <c r="G1012" s="1189"/>
      <c r="H1012" s="1189"/>
      <c r="I1012" s="1189"/>
      <c r="J1012" s="1189"/>
      <c r="K1012" s="1189"/>
      <c r="L1012" s="1189"/>
      <c r="M1012" s="1189"/>
      <c r="N1012" s="1189"/>
      <c r="O1012" s="1189"/>
      <c r="P1012" s="1189"/>
      <c r="Q1012" s="1189"/>
      <c r="R1012" s="1189"/>
      <c r="S1012" s="1189"/>
      <c r="T1012" s="1189"/>
      <c r="U1012" s="1189"/>
      <c r="V1012" s="1189"/>
      <c r="W1012" s="1189"/>
      <c r="X1012" s="1189"/>
      <c r="Y1012" s="1189"/>
      <c r="Z1012" s="1189"/>
      <c r="AA1012" s="1189"/>
      <c r="AB1012" s="1189"/>
      <c r="AC1012" s="1189"/>
      <c r="AD1012" s="1189"/>
      <c r="AE1012" s="1189"/>
      <c r="AF1012" s="1189"/>
      <c r="AG1012" s="1189"/>
      <c r="AH1012" s="1189"/>
      <c r="AI1012" s="1189"/>
      <c r="AJ1012" s="1189"/>
      <c r="AK1012" s="1189"/>
      <c r="AL1012" s="105"/>
    </row>
    <row r="1013" spans="1:38" ht="12.6" customHeight="1">
      <c r="A1013" s="131"/>
      <c r="B1013" s="1189"/>
      <c r="C1013" s="1189"/>
      <c r="D1013" s="1189"/>
      <c r="E1013" s="1189"/>
      <c r="F1013" s="1189"/>
      <c r="G1013" s="1189"/>
      <c r="H1013" s="1189"/>
      <c r="I1013" s="1189"/>
      <c r="J1013" s="1189"/>
      <c r="K1013" s="1189"/>
      <c r="L1013" s="1189"/>
      <c r="M1013" s="1189"/>
      <c r="N1013" s="1189"/>
      <c r="O1013" s="1189"/>
      <c r="P1013" s="1189"/>
      <c r="Q1013" s="1189"/>
      <c r="R1013" s="1189"/>
      <c r="S1013" s="1189"/>
      <c r="T1013" s="1189"/>
      <c r="U1013" s="1189"/>
      <c r="V1013" s="1189"/>
      <c r="W1013" s="1189"/>
      <c r="X1013" s="1189"/>
      <c r="Y1013" s="1189"/>
      <c r="Z1013" s="1189"/>
      <c r="AA1013" s="1189"/>
      <c r="AB1013" s="1189"/>
      <c r="AC1013" s="1189"/>
      <c r="AD1013" s="1189"/>
      <c r="AE1013" s="1189"/>
      <c r="AF1013" s="1189"/>
      <c r="AG1013" s="1189"/>
      <c r="AH1013" s="1189"/>
      <c r="AI1013" s="1189"/>
      <c r="AJ1013" s="1189"/>
      <c r="AK1013" s="1189"/>
      <c r="AL1013" s="105"/>
    </row>
    <row r="1014" spans="1:38" ht="12.6" customHeight="1">
      <c r="A1014" s="131"/>
      <c r="B1014" s="1188">
        <f>IF(ISNA(IF((AD978&gt;(AD953*0.15)),"(f) cannot be greater than 15% of unadjusted eligible basis.",0)),"",(IF((AD978&gt;(AD953*0.15)),"(f) cannot be greater than 15% of unadjusted eligible basis.",0)))</f>
        <v>0</v>
      </c>
      <c r="C1014" s="1188"/>
      <c r="D1014" s="1188"/>
      <c r="E1014" s="1188"/>
      <c r="F1014" s="1188"/>
      <c r="G1014" s="1188"/>
      <c r="H1014" s="1188"/>
      <c r="I1014" s="1188"/>
      <c r="J1014" s="1188"/>
      <c r="K1014" s="1188"/>
      <c r="L1014" s="1188"/>
      <c r="M1014" s="1188"/>
      <c r="N1014" s="1188"/>
      <c r="O1014" s="1188"/>
      <c r="P1014" s="1188"/>
      <c r="Q1014" s="1188"/>
      <c r="R1014" s="1188"/>
      <c r="S1014" s="1188"/>
      <c r="T1014" s="1188"/>
      <c r="U1014" s="1188"/>
      <c r="V1014" s="1188"/>
      <c r="W1014" s="1188"/>
      <c r="X1014" s="1188"/>
      <c r="Y1014" s="1188"/>
      <c r="Z1014" s="1188"/>
      <c r="AA1014" s="1188"/>
      <c r="AB1014" s="1188"/>
      <c r="AC1014" s="1188"/>
      <c r="AD1014" s="1188"/>
      <c r="AE1014" s="1188"/>
      <c r="AF1014" s="1188"/>
      <c r="AG1014" s="1188"/>
      <c r="AH1014" s="1188"/>
      <c r="AI1014" s="1188"/>
      <c r="AJ1014" s="1188"/>
      <c r="AK1014" s="1188"/>
      <c r="AL1014" s="105"/>
    </row>
    <row r="1015" spans="1:38" ht="12.6" customHeight="1" thickBot="1">
      <c r="A1015" s="1278" t="s">
        <v>876</v>
      </c>
      <c r="B1015" s="1278"/>
      <c r="C1015" s="1278"/>
      <c r="D1015" s="1278"/>
      <c r="E1015" s="1278"/>
      <c r="F1015" s="1278"/>
      <c r="G1015" s="1278"/>
      <c r="H1015" s="1278"/>
      <c r="I1015" s="1278"/>
      <c r="J1015" s="1278"/>
      <c r="K1015" s="1278"/>
      <c r="L1015" s="1278"/>
      <c r="M1015" s="1278"/>
      <c r="N1015" s="1278"/>
      <c r="O1015" s="1278"/>
      <c r="P1015" s="1278"/>
      <c r="Q1015" s="1278"/>
      <c r="R1015" s="1278"/>
      <c r="S1015" s="1278"/>
      <c r="T1015" s="1278"/>
      <c r="U1015" s="1278"/>
      <c r="V1015" s="1278"/>
      <c r="W1015" s="1278"/>
      <c r="X1015" s="1278"/>
      <c r="Y1015" s="1278"/>
      <c r="Z1015" s="1278"/>
      <c r="AA1015" s="1278"/>
      <c r="AB1015" s="1278"/>
      <c r="AC1015" s="1278"/>
      <c r="AD1015" s="1278"/>
      <c r="AE1015" s="1278"/>
      <c r="AF1015" s="1278"/>
      <c r="AG1015" s="1278"/>
      <c r="AH1015" s="1278"/>
      <c r="AI1015" s="1278"/>
      <c r="AJ1015" s="1278"/>
      <c r="AK1015" s="1278"/>
      <c r="AL1015" s="127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592</v>
      </c>
      <c r="B1019" s="1101"/>
      <c r="C1019" s="13">
        <v>1</v>
      </c>
      <c r="D1019" s="1000" t="s">
        <v>1263</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592</v>
      </c>
      <c r="B1025" s="1101"/>
      <c r="C1025" s="13">
        <v>2</v>
      </c>
      <c r="D1025" s="1000" t="s">
        <v>1262</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592</v>
      </c>
      <c r="B1031" s="1101"/>
      <c r="C1031" s="13">
        <v>3</v>
      </c>
      <c r="D1031" s="1000" t="s">
        <v>1605</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642</v>
      </c>
      <c r="B1038" s="1101"/>
      <c r="C1038" s="13">
        <v>4</v>
      </c>
      <c r="D1038" s="1000" t="s">
        <v>1248</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642</v>
      </c>
      <c r="B1041" s="1101"/>
      <c r="C1041" s="13">
        <v>5</v>
      </c>
      <c r="D1041" s="1000" t="s">
        <v>1466</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642</v>
      </c>
      <c r="B1046" s="1101"/>
      <c r="C1046" s="13">
        <v>6</v>
      </c>
      <c r="D1046" s="1000" t="s">
        <v>1249</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642</v>
      </c>
      <c r="B1049" s="1101"/>
      <c r="C1049" s="328">
        <v>7</v>
      </c>
      <c r="D1049" s="1000" t="s">
        <v>1251</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642</v>
      </c>
      <c r="B1053" s="1101"/>
      <c r="C1053" s="328">
        <v>8</v>
      </c>
      <c r="D1053" s="1000" t="s">
        <v>1478</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642</v>
      </c>
      <c r="B1057" s="1101"/>
      <c r="C1057" s="328">
        <v>9</v>
      </c>
      <c r="D1057" s="1000" t="s">
        <v>1250</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kWuC3gb5pdCi5k3HCF3EFjXLn/l0mG2SEzBTNqDymvprn037Zx73LO++JHgjkjKIZ8EuVXWm0uUi1vHgg2Lg4g==" saltValue="m1GnUHrHv4Wx8WCj9tXoz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2">
    <mergeCell ref="AA333:AK333"/>
    <mergeCell ref="Z419:AA419"/>
    <mergeCell ref="AC443:AF443"/>
    <mergeCell ref="P908:T908"/>
    <mergeCell ref="AG389:AJ389"/>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AD472:AH473"/>
    <mergeCell ref="AH513:AK513"/>
    <mergeCell ref="AH523:AK523"/>
    <mergeCell ref="AE546:AK546"/>
    <mergeCell ref="Z552:AD55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AF736:AH736"/>
    <mergeCell ref="AG806:AJ806"/>
    <mergeCell ref="AG805:AJ805"/>
    <mergeCell ref="Z659:AK659"/>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AG434:AJ434"/>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Z585:AK58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G638:L638"/>
    <mergeCell ref="P638:R638"/>
    <mergeCell ref="G635:R635"/>
    <mergeCell ref="Z636:AK636"/>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U709:X709"/>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E863:AB863"/>
    <mergeCell ref="AG807:AJ807"/>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H655:R655"/>
    <mergeCell ref="G720:J720"/>
    <mergeCell ref="K720:O720"/>
    <mergeCell ref="B715:F715"/>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Y780:AC78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pane xSplit="3" ySplit="3" topLeftCell="G39" activePane="bottomRight" state="frozen"/>
      <selection pane="topRight" activeCell="D1" sqref="D1"/>
      <selection pane="bottomLeft" activeCell="A4" sqref="A4"/>
      <selection pane="bottomRight" activeCell="S44" sqref="S4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1)Banner Bank Permanent Loan</v>
      </c>
      <c r="G2" s="217" t="str">
        <f>Application!B619&amp;Application!C619</f>
        <v>2)HCD AHSC Loan</v>
      </c>
      <c r="H2" s="217" t="str">
        <f>Application!B620&amp;Application!C620</f>
        <v>3)Deferred Developer Fee</v>
      </c>
      <c r="I2" s="217" t="str">
        <f>Application!B621&amp;Application!C621</f>
        <v>4)Contributed Developer Fee</v>
      </c>
      <c r="J2" s="217" t="str">
        <f>Application!B622&amp;Application!C622</f>
        <v>5)HOME Loan - County of Riverside</v>
      </c>
      <c r="K2" s="217" t="str">
        <f>Application!B623&amp;Application!C623</f>
        <v>6)City of Coachella</v>
      </c>
      <c r="L2" s="217" t="str">
        <f>Application!B624&amp;Application!C624</f>
        <v>7)California Department of Development Services</v>
      </c>
      <c r="M2" s="217" t="str">
        <f>Application!B625&amp;Application!C625</f>
        <v>8)Deferred Costs and Fees</v>
      </c>
      <c r="N2" s="217" t="str">
        <f>Application!B626&amp;Application!C626</f>
        <v>9)Solar Tax Credit Equity - Richman</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1500000</v>
      </c>
      <c r="C4" s="225">
        <v>1500000</v>
      </c>
      <c r="D4" s="225"/>
      <c r="E4" s="225">
        <v>1500000</v>
      </c>
      <c r="F4" s="225"/>
      <c r="G4" s="225"/>
      <c r="H4" s="225"/>
      <c r="I4" s="225"/>
      <c r="J4" s="225"/>
      <c r="K4" s="225"/>
      <c r="L4" s="225"/>
      <c r="M4" s="225"/>
      <c r="N4" s="225"/>
      <c r="O4" s="225"/>
      <c r="P4" s="225"/>
      <c r="Q4" s="225"/>
      <c r="R4" s="916">
        <f>SUM(E4:Q4)</f>
        <v>1500000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1505000</v>
      </c>
      <c r="C8" s="224">
        <f t="shared" ref="C8:Q8" si="0">SUM(C4:C7)</f>
        <v>1505000</v>
      </c>
      <c r="D8" s="224">
        <f t="shared" si="0"/>
        <v>0</v>
      </c>
      <c r="E8" s="224">
        <f t="shared" si="0"/>
        <v>1505000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1505000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1332270</v>
      </c>
      <c r="C10" s="225">
        <v>1332270</v>
      </c>
      <c r="D10" s="225"/>
      <c r="E10" s="225">
        <v>1332270</v>
      </c>
      <c r="F10" s="225"/>
      <c r="G10" s="225"/>
      <c r="H10" s="225"/>
      <c r="I10" s="225"/>
      <c r="J10" s="225"/>
      <c r="K10" s="225"/>
      <c r="L10" s="225"/>
      <c r="M10" s="225"/>
      <c r="N10" s="225"/>
      <c r="O10" s="225"/>
      <c r="P10" s="225"/>
      <c r="Q10" s="225"/>
      <c r="R10" s="916">
        <f>SUM(E10:Q10)</f>
        <v>1332270</v>
      </c>
      <c r="S10" s="225">
        <v>1332270</v>
      </c>
      <c r="T10" s="225"/>
      <c r="U10" s="221"/>
    </row>
    <row r="11" spans="1:21" s="222" customFormat="1">
      <c r="A11" s="227" t="s">
        <v>647</v>
      </c>
      <c r="B11" s="224">
        <f>SUM(C11:D11)</f>
        <v>1332270</v>
      </c>
      <c r="C11" s="224">
        <f t="shared" ref="C11:Q11" si="1">SUM(C9:C10)</f>
        <v>1332270</v>
      </c>
      <c r="D11" s="224">
        <f t="shared" si="1"/>
        <v>0</v>
      </c>
      <c r="E11" s="224">
        <f t="shared" si="1"/>
        <v>1332270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1332270</v>
      </c>
      <c r="S11" s="226"/>
      <c r="T11" s="228">
        <f>SUM(T9:T10)</f>
        <v>0</v>
      </c>
      <c r="U11" s="221"/>
    </row>
    <row r="12" spans="1:21" s="222" customFormat="1">
      <c r="A12" s="227" t="s">
        <v>91</v>
      </c>
      <c r="B12" s="224">
        <f t="shared" ref="B12:Q12" si="2">SUM(B8+B11)</f>
        <v>2837270</v>
      </c>
      <c r="C12" s="224">
        <f t="shared" si="2"/>
        <v>2837270</v>
      </c>
      <c r="D12" s="224">
        <f t="shared" si="2"/>
        <v>0</v>
      </c>
      <c r="E12" s="224">
        <f t="shared" si="2"/>
        <v>2837270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2837270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2545812</v>
      </c>
      <c r="C28" s="225">
        <v>2545812</v>
      </c>
      <c r="D28" s="225"/>
      <c r="E28" s="225"/>
      <c r="F28" s="225">
        <v>2545812</v>
      </c>
      <c r="G28" s="225"/>
      <c r="H28" s="225"/>
      <c r="I28" s="225"/>
      <c r="J28" s="225"/>
      <c r="K28" s="225"/>
      <c r="L28" s="225"/>
      <c r="M28" s="225"/>
      <c r="N28" s="225"/>
      <c r="O28" s="225"/>
      <c r="P28" s="225"/>
      <c r="Q28" s="225"/>
      <c r="R28" s="916">
        <f t="shared" ref="R28:R35" si="7">SUM(E28:Q28)</f>
        <v>2545812</v>
      </c>
      <c r="S28" s="225">
        <v>2545812</v>
      </c>
      <c r="T28" s="225"/>
      <c r="U28" s="221"/>
    </row>
    <row r="29" spans="1:21" s="222" customFormat="1">
      <c r="A29" s="223" t="s">
        <v>650</v>
      </c>
      <c r="B29" s="224">
        <f t="shared" si="6"/>
        <v>15321385</v>
      </c>
      <c r="C29" s="225">
        <v>14571385</v>
      </c>
      <c r="D29" s="225">
        <v>750000</v>
      </c>
      <c r="E29" s="225">
        <v>1192617.7623040006</v>
      </c>
      <c r="F29" s="225">
        <v>2974188</v>
      </c>
      <c r="G29" s="225">
        <v>8395407</v>
      </c>
      <c r="H29" s="225"/>
      <c r="I29" s="225"/>
      <c r="J29" s="225">
        <v>1000000</v>
      </c>
      <c r="K29" s="225"/>
      <c r="L29" s="225">
        <v>1160000</v>
      </c>
      <c r="M29" s="225">
        <v>325500</v>
      </c>
      <c r="N29" s="225">
        <v>273672.23769600003</v>
      </c>
      <c r="O29" s="225"/>
      <c r="P29" s="225"/>
      <c r="Q29" s="225"/>
      <c r="R29" s="916">
        <f t="shared" si="7"/>
        <v>15321385</v>
      </c>
      <c r="S29" s="225">
        <v>14571385</v>
      </c>
      <c r="T29" s="225"/>
      <c r="U29" s="221"/>
    </row>
    <row r="30" spans="1:21" s="222" customFormat="1">
      <c r="A30" s="223" t="s">
        <v>651</v>
      </c>
      <c r="B30" s="224">
        <f t="shared" si="6"/>
        <v>767978.68</v>
      </c>
      <c r="C30" s="225">
        <v>767978.68</v>
      </c>
      <c r="D30" s="225"/>
      <c r="E30" s="225">
        <v>767978.68</v>
      </c>
      <c r="F30" s="225"/>
      <c r="G30" s="225"/>
      <c r="H30" s="225"/>
      <c r="I30" s="225"/>
      <c r="J30" s="225"/>
      <c r="K30" s="225"/>
      <c r="L30" s="225"/>
      <c r="M30" s="225"/>
      <c r="N30" s="225"/>
      <c r="O30" s="225"/>
      <c r="P30" s="225"/>
      <c r="Q30" s="225"/>
      <c r="R30" s="916">
        <f t="shared" si="7"/>
        <v>767978.68</v>
      </c>
      <c r="S30" s="225">
        <v>767978.68</v>
      </c>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1919946.7000000002</v>
      </c>
      <c r="C32" s="225">
        <v>1919946.7000000002</v>
      </c>
      <c r="D32" s="225"/>
      <c r="E32" s="225">
        <v>1919946.7000000002</v>
      </c>
      <c r="F32" s="225"/>
      <c r="G32" s="225"/>
      <c r="H32" s="225"/>
      <c r="I32" s="225"/>
      <c r="J32" s="225"/>
      <c r="K32" s="225"/>
      <c r="L32" s="225"/>
      <c r="M32" s="225"/>
      <c r="N32" s="225"/>
      <c r="O32" s="225"/>
      <c r="P32" s="225"/>
      <c r="Q32" s="225"/>
      <c r="R32" s="916">
        <f t="shared" si="7"/>
        <v>1919946.7000000002</v>
      </c>
      <c r="S32" s="225">
        <v>1919946.7000000002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20555122.379999999</v>
      </c>
      <c r="C36" s="224">
        <f>SUM(C28:C35)</f>
        <v>19805122.379999999</v>
      </c>
      <c r="D36" s="224">
        <f t="shared" ref="D36:Q36" si="8">SUM(D28:D35)</f>
        <v>750000</v>
      </c>
      <c r="E36" s="224">
        <f t="shared" si="8"/>
        <v>3880543.1423040009</v>
      </c>
      <c r="F36" s="224">
        <f t="shared" si="8"/>
        <v>5520000</v>
      </c>
      <c r="G36" s="224">
        <f t="shared" si="8"/>
        <v>8395407</v>
      </c>
      <c r="H36" s="224">
        <f t="shared" si="8"/>
        <v>0</v>
      </c>
      <c r="I36" s="224">
        <f t="shared" si="8"/>
        <v>0</v>
      </c>
      <c r="J36" s="224">
        <f t="shared" si="8"/>
        <v>1000000</v>
      </c>
      <c r="K36" s="224">
        <f t="shared" si="8"/>
        <v>0</v>
      </c>
      <c r="L36" s="224">
        <f t="shared" si="8"/>
        <v>1160000</v>
      </c>
      <c r="M36" s="224">
        <f t="shared" si="8"/>
        <v>325500</v>
      </c>
      <c r="N36" s="224">
        <f t="shared" si="8"/>
        <v>273672.23769600003</v>
      </c>
      <c r="O36" s="224">
        <f t="shared" si="8"/>
        <v>0</v>
      </c>
      <c r="P36" s="224">
        <f t="shared" si="8"/>
        <v>0</v>
      </c>
      <c r="Q36" s="224">
        <f t="shared" si="8"/>
        <v>0</v>
      </c>
      <c r="R36" s="558">
        <f>SUM(R28:R35)</f>
        <v>20555122.379999999</v>
      </c>
      <c r="S36" s="228">
        <f>SUM(S28:S35)</f>
        <v>19805122.379999999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439500</v>
      </c>
      <c r="C38" s="225">
        <v>439500</v>
      </c>
      <c r="D38" s="225"/>
      <c r="E38" s="225">
        <v>439500</v>
      </c>
      <c r="F38" s="225"/>
      <c r="G38" s="225"/>
      <c r="H38" s="225"/>
      <c r="I38" s="225"/>
      <c r="J38" s="225"/>
      <c r="K38" s="225"/>
      <c r="L38" s="225"/>
      <c r="M38" s="225"/>
      <c r="N38" s="225"/>
      <c r="O38" s="225"/>
      <c r="P38" s="225"/>
      <c r="Q38" s="225"/>
      <c r="R38" s="916">
        <f>SUM(E38:Q38)</f>
        <v>439500</v>
      </c>
      <c r="S38" s="225">
        <v>439500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439500</v>
      </c>
      <c r="C40" s="224">
        <f>SUM(C37:C39)</f>
        <v>439500</v>
      </c>
      <c r="D40" s="224">
        <f>SUM(D37:D39)</f>
        <v>0</v>
      </c>
      <c r="E40" s="224">
        <f t="shared" ref="E40:T40" si="9">SUM(E38:E39)</f>
        <v>439500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439500</v>
      </c>
      <c r="S40" s="228">
        <f t="shared" si="9"/>
        <v>439500</v>
      </c>
      <c r="T40" s="228">
        <f t="shared" si="9"/>
        <v>0</v>
      </c>
      <c r="U40" s="221"/>
    </row>
    <row r="41" spans="1:21" s="222" customFormat="1">
      <c r="A41" s="227" t="s">
        <v>155</v>
      </c>
      <c r="B41" s="224">
        <f>SUM(C41:D41)</f>
        <v>497000</v>
      </c>
      <c r="C41" s="225">
        <v>497000</v>
      </c>
      <c r="D41" s="225"/>
      <c r="E41" s="225">
        <v>497000</v>
      </c>
      <c r="F41" s="225"/>
      <c r="G41" s="225"/>
      <c r="H41" s="225"/>
      <c r="I41" s="225"/>
      <c r="J41" s="225"/>
      <c r="K41" s="225"/>
      <c r="L41" s="225"/>
      <c r="M41" s="225"/>
      <c r="N41" s="225"/>
      <c r="O41" s="225"/>
      <c r="P41" s="225"/>
      <c r="Q41" s="225"/>
      <c r="R41" s="916">
        <f>SUM(E41:Q41)</f>
        <v>497000</v>
      </c>
      <c r="S41" s="225">
        <v>497000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1290122.0828378666</v>
      </c>
      <c r="C43" s="225">
        <v>1290122.0828378666</v>
      </c>
      <c r="D43" s="225"/>
      <c r="E43" s="225">
        <v>1290122.0828378666</v>
      </c>
      <c r="F43" s="225"/>
      <c r="G43" s="225"/>
      <c r="H43" s="225"/>
      <c r="I43" s="225"/>
      <c r="J43" s="225"/>
      <c r="K43" s="225"/>
      <c r="L43" s="225"/>
      <c r="M43" s="225"/>
      <c r="N43" s="225"/>
      <c r="O43" s="225"/>
      <c r="P43" s="225"/>
      <c r="Q43" s="225"/>
      <c r="R43" s="916">
        <f t="shared" ref="R43:R52" si="11">SUM(E43:Q43)</f>
        <v>1290122.0828378666</v>
      </c>
      <c r="S43" s="225">
        <f>677232.57241241+123000</f>
        <v>800232.57241241005</v>
      </c>
      <c r="T43" s="225"/>
      <c r="U43" s="221"/>
    </row>
    <row r="44" spans="1:21" s="222" customFormat="1">
      <c r="A44" s="223" t="s">
        <v>158</v>
      </c>
      <c r="B44" s="224">
        <f t="shared" si="10"/>
        <v>276099.99726080004</v>
      </c>
      <c r="C44" s="225">
        <v>276099.99726080004</v>
      </c>
      <c r="D44" s="225"/>
      <c r="E44" s="225">
        <v>276099.99726080004</v>
      </c>
      <c r="F44" s="225"/>
      <c r="G44" s="225"/>
      <c r="H44" s="225"/>
      <c r="I44" s="225"/>
      <c r="J44" s="225"/>
      <c r="K44" s="225"/>
      <c r="L44" s="225"/>
      <c r="M44" s="225"/>
      <c r="N44" s="225"/>
      <c r="O44" s="225"/>
      <c r="P44" s="225"/>
      <c r="Q44" s="225"/>
      <c r="R44" s="916">
        <f t="shared" si="11"/>
        <v>276099.99726080004</v>
      </c>
      <c r="S44" s="225">
        <f>276099.9972608-123000</f>
        <v>153099.99726079998</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30000</v>
      </c>
      <c r="C48" s="225">
        <v>30000</v>
      </c>
      <c r="D48" s="225"/>
      <c r="E48" s="225">
        <v>30000</v>
      </c>
      <c r="F48" s="225"/>
      <c r="G48" s="225"/>
      <c r="H48" s="225"/>
      <c r="I48" s="225"/>
      <c r="J48" s="225"/>
      <c r="K48" s="225"/>
      <c r="L48" s="225"/>
      <c r="M48" s="225"/>
      <c r="N48" s="225"/>
      <c r="O48" s="225"/>
      <c r="P48" s="225"/>
      <c r="Q48" s="225"/>
      <c r="R48" s="916">
        <f t="shared" si="11"/>
        <v>30000</v>
      </c>
      <c r="S48" s="225">
        <v>30000</v>
      </c>
      <c r="T48" s="225"/>
      <c r="U48" s="221"/>
    </row>
    <row r="49" spans="1:21" s="222" customFormat="1">
      <c r="A49" s="457" t="s">
        <v>161</v>
      </c>
      <c r="B49" s="224">
        <f t="shared" si="10"/>
        <v>2500</v>
      </c>
      <c r="C49" s="225">
        <v>2500</v>
      </c>
      <c r="D49" s="225"/>
      <c r="E49" s="225">
        <v>2500</v>
      </c>
      <c r="F49" s="225"/>
      <c r="G49" s="225"/>
      <c r="H49" s="225"/>
      <c r="I49" s="225"/>
      <c r="J49" s="225"/>
      <c r="K49" s="225"/>
      <c r="L49" s="225"/>
      <c r="M49" s="225"/>
      <c r="N49" s="225"/>
      <c r="O49" s="225"/>
      <c r="P49" s="225"/>
      <c r="Q49" s="225"/>
      <c r="R49" s="916">
        <f t="shared" si="11"/>
        <v>2500</v>
      </c>
      <c r="S49" s="225">
        <v>2500</v>
      </c>
      <c r="T49" s="225"/>
      <c r="U49" s="221"/>
    </row>
    <row r="50" spans="1:21" s="222" customFormat="1">
      <c r="A50" s="223" t="s">
        <v>162</v>
      </c>
      <c r="B50" s="224">
        <f t="shared" si="10"/>
        <v>85000</v>
      </c>
      <c r="C50" s="225">
        <v>85000</v>
      </c>
      <c r="D50" s="225"/>
      <c r="E50" s="225">
        <v>85000</v>
      </c>
      <c r="F50" s="225"/>
      <c r="G50" s="225"/>
      <c r="H50" s="225"/>
      <c r="I50" s="225"/>
      <c r="J50" s="225"/>
      <c r="K50" s="225"/>
      <c r="L50" s="225"/>
      <c r="M50" s="225"/>
      <c r="N50" s="225"/>
      <c r="O50" s="225"/>
      <c r="P50" s="225"/>
      <c r="Q50" s="225"/>
      <c r="R50" s="916">
        <f t="shared" si="11"/>
        <v>85000</v>
      </c>
      <c r="S50" s="225">
        <v>85000</v>
      </c>
      <c r="T50" s="225"/>
      <c r="U50" s="221"/>
    </row>
    <row r="51" spans="1:21" s="222" customFormat="1">
      <c r="A51" s="956" t="s">
        <v>1703</v>
      </c>
      <c r="B51" s="224">
        <f t="shared" si="10"/>
        <v>420875</v>
      </c>
      <c r="C51" s="225">
        <v>420875</v>
      </c>
      <c r="D51" s="225"/>
      <c r="E51" s="225">
        <v>420875</v>
      </c>
      <c r="F51" s="225"/>
      <c r="G51" s="225"/>
      <c r="H51" s="225"/>
      <c r="I51" s="225"/>
      <c r="J51" s="225"/>
      <c r="K51" s="225"/>
      <c r="L51" s="225"/>
      <c r="M51" s="225"/>
      <c r="N51" s="225"/>
      <c r="O51" s="225"/>
      <c r="P51" s="225"/>
      <c r="Q51" s="225"/>
      <c r="R51" s="916">
        <f t="shared" si="11"/>
        <v>420875</v>
      </c>
      <c r="S51" s="225">
        <v>414125</v>
      </c>
      <c r="T51" s="225"/>
      <c r="U51" s="221"/>
    </row>
    <row r="52" spans="1:21" s="222" customFormat="1">
      <c r="A52" s="956" t="s">
        <v>1696</v>
      </c>
      <c r="B52" s="224">
        <f t="shared" si="10"/>
        <v>30000</v>
      </c>
      <c r="C52" s="225">
        <v>30000</v>
      </c>
      <c r="D52" s="225"/>
      <c r="E52" s="225">
        <v>30000</v>
      </c>
      <c r="F52" s="225"/>
      <c r="G52" s="225"/>
      <c r="H52" s="225"/>
      <c r="I52" s="225"/>
      <c r="J52" s="225"/>
      <c r="K52" s="225"/>
      <c r="L52" s="225"/>
      <c r="M52" s="225"/>
      <c r="N52" s="225"/>
      <c r="O52" s="225"/>
      <c r="P52" s="225"/>
      <c r="Q52" s="225"/>
      <c r="R52" s="916">
        <f t="shared" si="11"/>
        <v>30000</v>
      </c>
      <c r="S52" s="225">
        <v>30000</v>
      </c>
      <c r="T52" s="225"/>
      <c r="U52" s="221"/>
    </row>
    <row r="53" spans="1:21" s="232" customFormat="1">
      <c r="A53" s="227" t="s">
        <v>164</v>
      </c>
      <c r="B53" s="228">
        <f>SUM(C53:D53)</f>
        <v>2134597.0800986667</v>
      </c>
      <c r="C53" s="228">
        <f t="shared" ref="C53:T53" si="12">SUM(C43:C52)</f>
        <v>2134597.0800986667</v>
      </c>
      <c r="D53" s="228">
        <f t="shared" si="12"/>
        <v>0</v>
      </c>
      <c r="E53" s="228">
        <f t="shared" si="12"/>
        <v>2134597.0800986667</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2134597.0800986667</v>
      </c>
      <c r="S53" s="228">
        <f t="shared" si="12"/>
        <v>1514957.5696732099</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55200</v>
      </c>
      <c r="C55" s="225">
        <v>55200</v>
      </c>
      <c r="D55" s="225"/>
      <c r="E55" s="225">
        <v>55200</v>
      </c>
      <c r="F55" s="225"/>
      <c r="G55" s="225"/>
      <c r="H55" s="225"/>
      <c r="I55" s="225"/>
      <c r="J55" s="225"/>
      <c r="K55" s="225"/>
      <c r="L55" s="225"/>
      <c r="M55" s="225"/>
      <c r="N55" s="225"/>
      <c r="O55" s="225"/>
      <c r="P55" s="225"/>
      <c r="Q55" s="225"/>
      <c r="R55" s="916">
        <f t="shared" ref="R55:R61" si="14">SUM(E55:Q55)</f>
        <v>55200</v>
      </c>
      <c r="S55" s="226"/>
      <c r="T55" s="226"/>
      <c r="U55" s="221"/>
    </row>
    <row r="56" spans="1:21" s="313" customFormat="1">
      <c r="A56" s="307" t="s">
        <v>159</v>
      </c>
      <c r="B56" s="314">
        <f t="shared" si="13"/>
        <v>0</v>
      </c>
      <c r="C56" s="311"/>
      <c r="D56" s="311"/>
      <c r="E56" s="225">
        <v>0</v>
      </c>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7500</v>
      </c>
      <c r="C57" s="225">
        <v>7500</v>
      </c>
      <c r="D57" s="225"/>
      <c r="E57" s="225">
        <v>7500</v>
      </c>
      <c r="F57" s="225"/>
      <c r="G57" s="225"/>
      <c r="H57" s="225"/>
      <c r="I57" s="225"/>
      <c r="J57" s="225"/>
      <c r="K57" s="225"/>
      <c r="L57" s="225"/>
      <c r="M57" s="225"/>
      <c r="N57" s="225"/>
      <c r="O57" s="225"/>
      <c r="P57" s="225"/>
      <c r="Q57" s="225"/>
      <c r="R57" s="916">
        <f t="shared" si="14"/>
        <v>7500</v>
      </c>
      <c r="S57" s="226"/>
      <c r="T57" s="226"/>
      <c r="U57" s="221"/>
    </row>
    <row r="58" spans="1:21" s="222" customFormat="1">
      <c r="A58" s="457" t="s">
        <v>161</v>
      </c>
      <c r="B58" s="224">
        <f t="shared" si="13"/>
        <v>0</v>
      </c>
      <c r="C58" s="225"/>
      <c r="D58" s="225"/>
      <c r="E58" s="225">
        <v>0</v>
      </c>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v>0</v>
      </c>
      <c r="F59" s="225"/>
      <c r="G59" s="225"/>
      <c r="H59" s="225"/>
      <c r="I59" s="225"/>
      <c r="J59" s="225"/>
      <c r="K59" s="225"/>
      <c r="L59" s="225"/>
      <c r="M59" s="225"/>
      <c r="N59" s="225"/>
      <c r="O59" s="225"/>
      <c r="P59" s="225"/>
      <c r="Q59" s="225"/>
      <c r="R59" s="916">
        <f t="shared" si="14"/>
        <v>0</v>
      </c>
      <c r="S59" s="226"/>
      <c r="T59" s="226"/>
      <c r="U59" s="221"/>
    </row>
    <row r="60" spans="1:21" s="222" customFormat="1">
      <c r="A60" s="956" t="s">
        <v>1697</v>
      </c>
      <c r="B60" s="224">
        <f t="shared" si="13"/>
        <v>103537.49897280001</v>
      </c>
      <c r="C60" s="225">
        <v>103537.49897280001</v>
      </c>
      <c r="D60" s="225"/>
      <c r="E60" s="225">
        <v>103537.49897280001</v>
      </c>
      <c r="F60" s="225"/>
      <c r="G60" s="225"/>
      <c r="H60" s="225"/>
      <c r="I60" s="225"/>
      <c r="J60" s="225"/>
      <c r="K60" s="225"/>
      <c r="L60" s="225"/>
      <c r="M60" s="225"/>
      <c r="N60" s="225"/>
      <c r="O60" s="225"/>
      <c r="P60" s="225"/>
      <c r="Q60" s="225"/>
      <c r="R60" s="916">
        <f t="shared" si="14"/>
        <v>103537.49897280001</v>
      </c>
      <c r="S60" s="226"/>
      <c r="T60" s="226"/>
      <c r="U60" s="221"/>
    </row>
    <row r="61" spans="1:21" s="222" customFormat="1">
      <c r="A61" s="230" t="s">
        <v>37</v>
      </c>
      <c r="B61" s="224">
        <f t="shared" si="13"/>
        <v>0</v>
      </c>
      <c r="C61" s="225"/>
      <c r="D61" s="225"/>
      <c r="E61" s="225">
        <f t="shared" ref="E61" si="15">C61</f>
        <v>0</v>
      </c>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166237.49897280001</v>
      </c>
      <c r="C62" s="224">
        <f t="shared" ref="C62:Q62" si="16">SUM(C55:C61)</f>
        <v>166237.49897280001</v>
      </c>
      <c r="D62" s="224">
        <f t="shared" si="16"/>
        <v>0</v>
      </c>
      <c r="E62" s="224">
        <f t="shared" si="16"/>
        <v>166237.49897280001</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166237.49897280001</v>
      </c>
      <c r="S62" s="226"/>
      <c r="T62" s="226"/>
      <c r="U62" s="221"/>
    </row>
    <row r="63" spans="1:21" s="222" customFormat="1">
      <c r="A63" s="233" t="s">
        <v>321</v>
      </c>
      <c r="B63" s="224">
        <f>SUM(B8+B11+B13+B14+B15+B25+B26+B36+B40+B41+B53+B62)</f>
        <v>26629726.959071465</v>
      </c>
      <c r="C63" s="224">
        <f t="shared" ref="C63:Q63" si="17">SUM(C8+C11+C13+C14+C15+C25+C26+C36+C40+C41+C53+C62)</f>
        <v>25879726.959071465</v>
      </c>
      <c r="D63" s="224">
        <f t="shared" si="17"/>
        <v>750000</v>
      </c>
      <c r="E63" s="224">
        <f t="shared" si="17"/>
        <v>9955147.7213754673</v>
      </c>
      <c r="F63" s="224">
        <f t="shared" si="17"/>
        <v>5520000</v>
      </c>
      <c r="G63" s="224">
        <f t="shared" si="17"/>
        <v>8395407</v>
      </c>
      <c r="H63" s="224">
        <f t="shared" si="17"/>
        <v>0</v>
      </c>
      <c r="I63" s="224">
        <f t="shared" si="17"/>
        <v>0</v>
      </c>
      <c r="J63" s="224">
        <f t="shared" si="17"/>
        <v>1000000</v>
      </c>
      <c r="K63" s="224">
        <f t="shared" si="17"/>
        <v>0</v>
      </c>
      <c r="L63" s="224">
        <f t="shared" si="17"/>
        <v>1160000</v>
      </c>
      <c r="M63" s="224">
        <f t="shared" si="17"/>
        <v>325500</v>
      </c>
      <c r="N63" s="224">
        <f t="shared" si="17"/>
        <v>273672.23769600003</v>
      </c>
      <c r="O63" s="224">
        <f t="shared" si="17"/>
        <v>0</v>
      </c>
      <c r="P63" s="224">
        <f t="shared" si="17"/>
        <v>0</v>
      </c>
      <c r="Q63" s="224">
        <f t="shared" si="17"/>
        <v>0</v>
      </c>
      <c r="R63" s="558">
        <f>SUM(R8+R11+R13+R14+R15+R25+R26+R36+R40+R41+R53+R62)</f>
        <v>26629726.959071465</v>
      </c>
      <c r="S63" s="224">
        <f>SUM(S10+S13+S14+S15+S25+S26+S36+S40+S41+S53)</f>
        <v>23588849.949673209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v>50000</v>
      </c>
      <c r="F65" s="225"/>
      <c r="G65" s="225"/>
      <c r="H65" s="225"/>
      <c r="I65" s="225"/>
      <c r="J65" s="225"/>
      <c r="K65" s="225"/>
      <c r="L65" s="225"/>
      <c r="M65" s="225"/>
      <c r="N65" s="225"/>
      <c r="O65" s="225"/>
      <c r="P65" s="225"/>
      <c r="Q65" s="225"/>
      <c r="R65" s="916">
        <f>SUM(E65:Q65)</f>
        <v>50000</v>
      </c>
      <c r="S65" s="225">
        <v>50000</v>
      </c>
      <c r="T65" s="225"/>
      <c r="U65" s="221"/>
    </row>
    <row r="66" spans="1:21" s="222" customFormat="1">
      <c r="A66" s="956" t="s">
        <v>1698</v>
      </c>
      <c r="B66" s="224">
        <f>SUM(C66+D66)</f>
        <v>182500</v>
      </c>
      <c r="C66" s="225">
        <v>182500</v>
      </c>
      <c r="D66" s="225"/>
      <c r="E66" s="225">
        <v>182500</v>
      </c>
      <c r="F66" s="225"/>
      <c r="G66" s="225"/>
      <c r="H66" s="225"/>
      <c r="I66" s="225"/>
      <c r="J66" s="225"/>
      <c r="K66" s="225"/>
      <c r="L66" s="225"/>
      <c r="M66" s="225"/>
      <c r="N66" s="225"/>
      <c r="O66" s="225"/>
      <c r="P66" s="225"/>
      <c r="Q66" s="225"/>
      <c r="R66" s="916">
        <f>SUM(E66:Q66)</f>
        <v>182500</v>
      </c>
      <c r="S66" s="225">
        <v>75000</v>
      </c>
      <c r="T66" s="225"/>
      <c r="U66" s="221"/>
    </row>
    <row r="67" spans="1:21" s="222" customFormat="1">
      <c r="A67" s="227" t="s">
        <v>652</v>
      </c>
      <c r="B67" s="224">
        <f>SUM(C67:D67)</f>
        <v>232500</v>
      </c>
      <c r="C67" s="224">
        <f>SUM(C64:C66)</f>
        <v>232500</v>
      </c>
      <c r="D67" s="224">
        <f>SUM(D64:D66)</f>
        <v>0</v>
      </c>
      <c r="E67" s="224">
        <f t="shared" ref="E67:T67" si="18">SUM(E65:E66)</f>
        <v>232500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232500</v>
      </c>
      <c r="S67" s="228">
        <f>SUM(S65:S66)</f>
        <v>125000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225812.99238340609</v>
      </c>
      <c r="C72" s="225">
        <v>225812.99238340609</v>
      </c>
      <c r="D72" s="225"/>
      <c r="E72" s="225">
        <v>225812.99238340609</v>
      </c>
      <c r="F72" s="225"/>
      <c r="G72" s="225"/>
      <c r="H72" s="225"/>
      <c r="I72" s="225"/>
      <c r="J72" s="225"/>
      <c r="K72" s="225"/>
      <c r="L72" s="225"/>
      <c r="M72" s="225"/>
      <c r="N72" s="225"/>
      <c r="O72" s="225"/>
      <c r="P72" s="225"/>
      <c r="Q72" s="225"/>
      <c r="R72" s="916">
        <f>SUM(E72:Q72)</f>
        <v>225812.99238340609</v>
      </c>
      <c r="S72" s="226"/>
      <c r="T72" s="226"/>
      <c r="U72" s="221"/>
    </row>
    <row r="73" spans="1:21" s="222" customFormat="1">
      <c r="A73" s="956" t="s">
        <v>1699</v>
      </c>
      <c r="B73" s="224">
        <f>SUM(C73+D73)</f>
        <v>553664</v>
      </c>
      <c r="C73" s="225">
        <v>553664</v>
      </c>
      <c r="D73" s="225"/>
      <c r="E73" s="225">
        <v>553664</v>
      </c>
      <c r="F73" s="225"/>
      <c r="G73" s="225"/>
      <c r="H73" s="225"/>
      <c r="I73" s="225"/>
      <c r="J73" s="225"/>
      <c r="K73" s="225"/>
      <c r="L73" s="225"/>
      <c r="M73" s="225"/>
      <c r="N73" s="225"/>
      <c r="O73" s="225"/>
      <c r="P73" s="225"/>
      <c r="Q73" s="225"/>
      <c r="R73" s="916">
        <f>SUM(E73:Q73)</f>
        <v>553664</v>
      </c>
      <c r="S73" s="226"/>
      <c r="T73" s="226"/>
      <c r="U73" s="221"/>
    </row>
    <row r="74" spans="1:21" s="222" customFormat="1">
      <c r="A74" s="227" t="s">
        <v>657</v>
      </c>
      <c r="B74" s="224">
        <f>SUM(C74:D74)</f>
        <v>779476.99238340603</v>
      </c>
      <c r="C74" s="224">
        <f>SUM(C69:C73)</f>
        <v>779476.99238340603</v>
      </c>
      <c r="D74" s="224">
        <f>SUM(D69:D73)</f>
        <v>0</v>
      </c>
      <c r="E74" s="224">
        <f t="shared" ref="E74:Q74" si="19">SUM(E69:E73)</f>
        <v>779476.99238340603</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779476.99238340603</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1094369.6190000002</v>
      </c>
      <c r="C76" s="225">
        <v>1094369.6190000002</v>
      </c>
      <c r="D76" s="225"/>
      <c r="E76" s="225">
        <v>1094369.6190000002</v>
      </c>
      <c r="F76" s="225"/>
      <c r="G76" s="225"/>
      <c r="H76" s="225"/>
      <c r="I76" s="225"/>
      <c r="J76" s="225"/>
      <c r="K76" s="225"/>
      <c r="L76" s="225"/>
      <c r="M76" s="225"/>
      <c r="N76" s="225"/>
      <c r="O76" s="225"/>
      <c r="P76" s="225"/>
      <c r="Q76" s="225"/>
      <c r="R76" s="916">
        <f>SUM(E76:Q76)</f>
        <v>1094369.6190000002</v>
      </c>
      <c r="S76" s="225">
        <v>1094369.6190000002</v>
      </c>
      <c r="T76" s="225"/>
      <c r="U76" s="221"/>
    </row>
    <row r="77" spans="1:21" s="222" customFormat="1">
      <c r="A77" s="457" t="s">
        <v>63</v>
      </c>
      <c r="B77" s="224">
        <f>SUM(C77:D77)</f>
        <v>439708.24709019624</v>
      </c>
      <c r="C77" s="225">
        <v>439708.24709019624</v>
      </c>
      <c r="D77" s="225"/>
      <c r="E77" s="225">
        <v>439708.24709019624</v>
      </c>
      <c r="F77" s="225"/>
      <c r="G77" s="225"/>
      <c r="H77" s="225"/>
      <c r="I77" s="225"/>
      <c r="J77" s="225"/>
      <c r="K77" s="225"/>
      <c r="L77" s="225"/>
      <c r="M77" s="225"/>
      <c r="N77" s="225"/>
      <c r="O77" s="225"/>
      <c r="P77" s="225"/>
      <c r="Q77" s="225"/>
      <c r="R77" s="916">
        <f>SUM(E77:Q77)</f>
        <v>439708.24709019624</v>
      </c>
      <c r="S77" s="225">
        <v>439708.24709019624</v>
      </c>
      <c r="T77" s="225"/>
      <c r="U77" s="221"/>
    </row>
    <row r="78" spans="1:21" s="222" customFormat="1">
      <c r="A78" s="227" t="s">
        <v>1468</v>
      </c>
      <c r="B78" s="224">
        <f>SUM(C78:D78)</f>
        <v>1534077.8660901964</v>
      </c>
      <c r="C78" s="890">
        <f>SUM(C76:C77)</f>
        <v>1534077.8660901964</v>
      </c>
      <c r="D78" s="890">
        <f t="shared" ref="D78:T78" si="20">SUM(D76:D77)</f>
        <v>0</v>
      </c>
      <c r="E78" s="890">
        <f t="shared" si="20"/>
        <v>1534077.8660901964</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1534077.8660901964</v>
      </c>
      <c r="S78" s="890">
        <f t="shared" si="20"/>
        <v>1534077.8660901964</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71357.216667948844</v>
      </c>
      <c r="C80" s="225">
        <v>71357.216667948844</v>
      </c>
      <c r="D80" s="225"/>
      <c r="E80" s="225">
        <v>71357.216667948844</v>
      </c>
      <c r="F80" s="225"/>
      <c r="G80" s="225"/>
      <c r="H80" s="225"/>
      <c r="I80" s="225"/>
      <c r="J80" s="225"/>
      <c r="K80" s="225"/>
      <c r="L80" s="225"/>
      <c r="M80" s="225"/>
      <c r="N80" s="225"/>
      <c r="O80" s="225"/>
      <c r="P80" s="225"/>
      <c r="Q80" s="225"/>
      <c r="R80" s="916">
        <f t="shared" ref="R80:R94" si="22">SUM(E80:Q80)</f>
        <v>71357.216667948844</v>
      </c>
      <c r="S80" s="226"/>
      <c r="T80" s="226"/>
      <c r="U80" s="221"/>
    </row>
    <row r="81" spans="1:21" s="222" customFormat="1">
      <c r="A81" s="223" t="s">
        <v>846</v>
      </c>
      <c r="B81" s="224">
        <f t="shared" si="21"/>
        <v>25000</v>
      </c>
      <c r="C81" s="225">
        <v>25000</v>
      </c>
      <c r="D81" s="225"/>
      <c r="E81" s="225">
        <v>25000</v>
      </c>
      <c r="F81" s="225"/>
      <c r="G81" s="225"/>
      <c r="H81" s="225"/>
      <c r="I81" s="225"/>
      <c r="J81" s="225"/>
      <c r="K81" s="225"/>
      <c r="L81" s="225"/>
      <c r="M81" s="225"/>
      <c r="N81" s="225"/>
      <c r="O81" s="225"/>
      <c r="P81" s="225"/>
      <c r="Q81" s="225"/>
      <c r="R81" s="916">
        <f t="shared" si="22"/>
        <v>25000</v>
      </c>
      <c r="S81" s="225">
        <v>25000</v>
      </c>
      <c r="T81" s="225"/>
      <c r="U81" s="221"/>
    </row>
    <row r="82" spans="1:21" s="222" customFormat="1">
      <c r="A82" s="223" t="s">
        <v>847</v>
      </c>
      <c r="B82" s="224">
        <f t="shared" si="21"/>
        <v>1694619.81</v>
      </c>
      <c r="C82" s="225">
        <v>1694619.81</v>
      </c>
      <c r="D82" s="225"/>
      <c r="E82" s="225">
        <v>1694619.81</v>
      </c>
      <c r="F82" s="225"/>
      <c r="G82" s="225"/>
      <c r="H82" s="225"/>
      <c r="I82" s="225"/>
      <c r="J82" s="225"/>
      <c r="K82" s="225"/>
      <c r="L82" s="225"/>
      <c r="M82" s="225"/>
      <c r="N82" s="225"/>
      <c r="O82" s="225"/>
      <c r="P82" s="225"/>
      <c r="Q82" s="225"/>
      <c r="R82" s="916">
        <f t="shared" si="22"/>
        <v>1694619.81</v>
      </c>
      <c r="S82" s="225">
        <v>1694619.81</v>
      </c>
      <c r="T82" s="225"/>
      <c r="U82" s="221"/>
    </row>
    <row r="83" spans="1:21" s="222" customFormat="1">
      <c r="A83" s="223" t="s">
        <v>848</v>
      </c>
      <c r="B83" s="224">
        <f t="shared" si="21"/>
        <v>702144.19</v>
      </c>
      <c r="C83" s="225">
        <v>702144.19</v>
      </c>
      <c r="D83" s="225"/>
      <c r="E83" s="225">
        <v>702144.19</v>
      </c>
      <c r="F83" s="225"/>
      <c r="G83" s="225"/>
      <c r="H83" s="225"/>
      <c r="I83" s="225"/>
      <c r="J83" s="225"/>
      <c r="K83" s="225"/>
      <c r="L83" s="225"/>
      <c r="M83" s="225"/>
      <c r="N83" s="225"/>
      <c r="O83" s="225"/>
      <c r="P83" s="225"/>
      <c r="Q83" s="225"/>
      <c r="R83" s="916">
        <f t="shared" si="22"/>
        <v>702144.19</v>
      </c>
      <c r="S83" s="225">
        <v>702144.19</v>
      </c>
      <c r="T83" s="225"/>
      <c r="U83" s="221"/>
    </row>
    <row r="84" spans="1:21" s="222" customFormat="1">
      <c r="A84" s="223" t="s">
        <v>849</v>
      </c>
      <c r="B84" s="224">
        <f t="shared" si="21"/>
        <v>0</v>
      </c>
      <c r="C84" s="225"/>
      <c r="D84" s="225"/>
      <c r="E84" s="225">
        <v>0</v>
      </c>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38000</v>
      </c>
      <c r="C85" s="225">
        <v>38000</v>
      </c>
      <c r="D85" s="225"/>
      <c r="E85" s="225">
        <v>38000</v>
      </c>
      <c r="F85" s="225"/>
      <c r="G85" s="225"/>
      <c r="H85" s="225"/>
      <c r="I85" s="225"/>
      <c r="J85" s="225"/>
      <c r="K85" s="225"/>
      <c r="L85" s="225"/>
      <c r="M85" s="225"/>
      <c r="N85" s="225"/>
      <c r="O85" s="225"/>
      <c r="P85" s="225"/>
      <c r="Q85" s="225"/>
      <c r="R85" s="916">
        <f t="shared" si="22"/>
        <v>38000</v>
      </c>
      <c r="S85" s="226"/>
      <c r="T85" s="226"/>
      <c r="U85" s="221"/>
    </row>
    <row r="86" spans="1:21" s="222" customFormat="1">
      <c r="A86" s="223" t="s">
        <v>851</v>
      </c>
      <c r="B86" s="224">
        <f t="shared" si="21"/>
        <v>25000</v>
      </c>
      <c r="C86" s="225">
        <v>25000</v>
      </c>
      <c r="D86" s="225"/>
      <c r="E86" s="225">
        <v>25000</v>
      </c>
      <c r="F86" s="225"/>
      <c r="G86" s="225"/>
      <c r="H86" s="225"/>
      <c r="I86" s="225"/>
      <c r="J86" s="225"/>
      <c r="K86" s="225"/>
      <c r="L86" s="225"/>
      <c r="M86" s="225"/>
      <c r="N86" s="225"/>
      <c r="O86" s="225"/>
      <c r="P86" s="225"/>
      <c r="Q86" s="225"/>
      <c r="R86" s="916">
        <f t="shared" si="22"/>
        <v>25000</v>
      </c>
      <c r="S86" s="225">
        <v>25000</v>
      </c>
      <c r="T86" s="225"/>
      <c r="U86" s="221"/>
    </row>
    <row r="87" spans="1:21" s="222" customFormat="1">
      <c r="A87" s="223" t="s">
        <v>852</v>
      </c>
      <c r="B87" s="224">
        <f t="shared" si="21"/>
        <v>6850</v>
      </c>
      <c r="C87" s="225">
        <v>6850</v>
      </c>
      <c r="D87" s="225"/>
      <c r="E87" s="225">
        <v>6850</v>
      </c>
      <c r="F87" s="225"/>
      <c r="G87" s="225"/>
      <c r="H87" s="225"/>
      <c r="I87" s="225"/>
      <c r="J87" s="225"/>
      <c r="K87" s="225"/>
      <c r="L87" s="225"/>
      <c r="M87" s="225"/>
      <c r="N87" s="225"/>
      <c r="O87" s="225"/>
      <c r="P87" s="225"/>
      <c r="Q87" s="225"/>
      <c r="R87" s="916">
        <f t="shared" si="22"/>
        <v>6850</v>
      </c>
      <c r="S87" s="225">
        <v>6850</v>
      </c>
      <c r="T87" s="225"/>
      <c r="U87" s="221"/>
    </row>
    <row r="88" spans="1:21" s="222" customFormat="1">
      <c r="A88" s="234" t="s">
        <v>404</v>
      </c>
      <c r="B88" s="224">
        <f t="shared" si="21"/>
        <v>80000</v>
      </c>
      <c r="C88" s="225">
        <v>80000</v>
      </c>
      <c r="D88" s="225"/>
      <c r="E88" s="225">
        <v>80000</v>
      </c>
      <c r="F88" s="225"/>
      <c r="G88" s="225"/>
      <c r="H88" s="225"/>
      <c r="I88" s="225"/>
      <c r="J88" s="225"/>
      <c r="K88" s="225"/>
      <c r="L88" s="225"/>
      <c r="M88" s="225"/>
      <c r="N88" s="225"/>
      <c r="O88" s="225"/>
      <c r="P88" s="225"/>
      <c r="Q88" s="225"/>
      <c r="R88" s="916">
        <f t="shared" si="22"/>
        <v>80000</v>
      </c>
      <c r="S88" s="225">
        <v>80000</v>
      </c>
      <c r="T88" s="225"/>
      <c r="U88" s="221"/>
    </row>
    <row r="89" spans="1:21" s="222" customFormat="1">
      <c r="A89" s="889" t="s">
        <v>1470</v>
      </c>
      <c r="B89" s="224">
        <f t="shared" si="21"/>
        <v>7600</v>
      </c>
      <c r="C89" s="225">
        <v>7600</v>
      </c>
      <c r="D89" s="225"/>
      <c r="E89" s="225">
        <v>7600</v>
      </c>
      <c r="F89" s="225"/>
      <c r="G89" s="225"/>
      <c r="H89" s="225"/>
      <c r="I89" s="225"/>
      <c r="J89" s="225"/>
      <c r="K89" s="225"/>
      <c r="L89" s="225"/>
      <c r="M89" s="225"/>
      <c r="N89" s="225"/>
      <c r="O89" s="225"/>
      <c r="P89" s="225"/>
      <c r="Q89" s="225"/>
      <c r="R89" s="916">
        <f t="shared" si="22"/>
        <v>7600</v>
      </c>
      <c r="S89" s="225">
        <v>7600</v>
      </c>
      <c r="T89" s="225"/>
      <c r="U89" s="221"/>
    </row>
    <row r="90" spans="1:21" s="222" customFormat="1" ht="24">
      <c r="A90" s="956" t="s">
        <v>1700</v>
      </c>
      <c r="B90" s="224">
        <f t="shared" si="21"/>
        <v>34406</v>
      </c>
      <c r="C90" s="225">
        <v>34406</v>
      </c>
      <c r="D90" s="225"/>
      <c r="E90" s="225">
        <v>34406</v>
      </c>
      <c r="F90" s="225"/>
      <c r="G90" s="225"/>
      <c r="H90" s="225"/>
      <c r="I90" s="225"/>
      <c r="J90" s="225"/>
      <c r="K90" s="225"/>
      <c r="L90" s="225"/>
      <c r="M90" s="225"/>
      <c r="N90" s="225"/>
      <c r="O90" s="225"/>
      <c r="P90" s="225"/>
      <c r="Q90" s="225"/>
      <c r="R90" s="916">
        <f t="shared" si="22"/>
        <v>34406</v>
      </c>
      <c r="S90" s="225">
        <v>34406</v>
      </c>
      <c r="T90" s="225"/>
      <c r="U90" s="221"/>
    </row>
    <row r="91" spans="1:21" s="222" customFormat="1">
      <c r="A91" s="956" t="s">
        <v>1701</v>
      </c>
      <c r="B91" s="224">
        <f t="shared" si="21"/>
        <v>13911</v>
      </c>
      <c r="C91" s="225">
        <v>13911</v>
      </c>
      <c r="D91" s="225"/>
      <c r="E91" s="225">
        <v>13911</v>
      </c>
      <c r="F91" s="225"/>
      <c r="G91" s="225"/>
      <c r="H91" s="225"/>
      <c r="I91" s="225"/>
      <c r="J91" s="225"/>
      <c r="K91" s="225"/>
      <c r="L91" s="225"/>
      <c r="M91" s="225"/>
      <c r="N91" s="225"/>
      <c r="O91" s="225"/>
      <c r="P91" s="225"/>
      <c r="Q91" s="225"/>
      <c r="R91" s="916">
        <f t="shared" si="22"/>
        <v>13911</v>
      </c>
      <c r="S91" s="225">
        <v>13911</v>
      </c>
      <c r="T91" s="225"/>
      <c r="U91" s="221"/>
    </row>
    <row r="92" spans="1:21" s="222" customFormat="1">
      <c r="A92" s="956" t="s">
        <v>1702</v>
      </c>
      <c r="B92" s="224">
        <f t="shared" si="21"/>
        <v>25000</v>
      </c>
      <c r="C92" s="225">
        <v>25000</v>
      </c>
      <c r="D92" s="225"/>
      <c r="E92" s="225">
        <v>25000</v>
      </c>
      <c r="F92" s="225"/>
      <c r="G92" s="225"/>
      <c r="H92" s="225"/>
      <c r="I92" s="225"/>
      <c r="J92" s="225"/>
      <c r="K92" s="225"/>
      <c r="L92" s="225"/>
      <c r="M92" s="225"/>
      <c r="N92" s="225"/>
      <c r="O92" s="225"/>
      <c r="P92" s="225"/>
      <c r="Q92" s="225"/>
      <c r="R92" s="916">
        <f t="shared" si="22"/>
        <v>25000</v>
      </c>
      <c r="S92" s="225">
        <v>25000</v>
      </c>
      <c r="T92" s="225"/>
      <c r="U92" s="221"/>
    </row>
    <row r="93" spans="1:21" s="222" customFormat="1">
      <c r="A93" s="956" t="s">
        <v>1704</v>
      </c>
      <c r="B93" s="224">
        <f t="shared" si="21"/>
        <v>25000</v>
      </c>
      <c r="C93" s="225">
        <v>25000</v>
      </c>
      <c r="D93" s="225"/>
      <c r="E93" s="225">
        <v>25000</v>
      </c>
      <c r="F93" s="225"/>
      <c r="G93" s="225"/>
      <c r="H93" s="225"/>
      <c r="I93" s="225"/>
      <c r="J93" s="225"/>
      <c r="K93" s="225"/>
      <c r="L93" s="225"/>
      <c r="M93" s="225"/>
      <c r="N93" s="225"/>
      <c r="O93" s="225"/>
      <c r="P93" s="225"/>
      <c r="Q93" s="225"/>
      <c r="R93" s="916">
        <f t="shared" si="22"/>
        <v>25000</v>
      </c>
      <c r="S93" s="225">
        <v>25000</v>
      </c>
      <c r="T93" s="225"/>
      <c r="U93" s="221"/>
    </row>
    <row r="94" spans="1:21" s="222" customFormat="1">
      <c r="A94" s="956" t="s">
        <v>1705</v>
      </c>
      <c r="B94" s="224">
        <f t="shared" si="21"/>
        <v>9855000</v>
      </c>
      <c r="C94" s="225">
        <v>9855000</v>
      </c>
      <c r="D94" s="225"/>
      <c r="E94" s="225">
        <v>615000</v>
      </c>
      <c r="F94" s="225"/>
      <c r="G94" s="225"/>
      <c r="H94" s="225"/>
      <c r="I94" s="225"/>
      <c r="J94" s="225"/>
      <c r="K94" s="225">
        <v>9240000</v>
      </c>
      <c r="L94" s="225"/>
      <c r="M94" s="225"/>
      <c r="N94" s="225"/>
      <c r="O94" s="225"/>
      <c r="P94" s="225"/>
      <c r="Q94" s="225"/>
      <c r="R94" s="916">
        <f t="shared" si="22"/>
        <v>9855000</v>
      </c>
      <c r="S94" s="225">
        <v>9855000</v>
      </c>
      <c r="T94" s="225"/>
      <c r="U94" s="221"/>
    </row>
    <row r="95" spans="1:21" s="222" customFormat="1">
      <c r="A95" s="227" t="s">
        <v>853</v>
      </c>
      <c r="B95" s="224">
        <f>SUM(C95:D95)</f>
        <v>12603888.216667948</v>
      </c>
      <c r="C95" s="224">
        <f t="shared" ref="C95:Q95" si="23">SUM(C80:C94)</f>
        <v>12603888.216667948</v>
      </c>
      <c r="D95" s="224">
        <f t="shared" si="23"/>
        <v>0</v>
      </c>
      <c r="E95" s="224">
        <f t="shared" si="23"/>
        <v>3363888.2166679488</v>
      </c>
      <c r="F95" s="224">
        <f t="shared" si="23"/>
        <v>0</v>
      </c>
      <c r="G95" s="224">
        <f t="shared" si="23"/>
        <v>0</v>
      </c>
      <c r="H95" s="224">
        <f t="shared" si="23"/>
        <v>0</v>
      </c>
      <c r="I95" s="224">
        <f t="shared" si="23"/>
        <v>0</v>
      </c>
      <c r="J95" s="224">
        <f t="shared" si="23"/>
        <v>0</v>
      </c>
      <c r="K95" s="224">
        <f t="shared" si="23"/>
        <v>9240000</v>
      </c>
      <c r="L95" s="224">
        <f t="shared" si="23"/>
        <v>0</v>
      </c>
      <c r="M95" s="224">
        <f t="shared" si="23"/>
        <v>0</v>
      </c>
      <c r="N95" s="224">
        <f t="shared" si="23"/>
        <v>0</v>
      </c>
      <c r="O95" s="224">
        <f t="shared" si="23"/>
        <v>0</v>
      </c>
      <c r="P95" s="224">
        <f t="shared" si="23"/>
        <v>0</v>
      </c>
      <c r="Q95" s="224">
        <f t="shared" si="23"/>
        <v>0</v>
      </c>
      <c r="R95" s="558">
        <f>SUM(R80:R94)</f>
        <v>12603888.216667948</v>
      </c>
      <c r="S95" s="228">
        <f>SUM(S81:S84,S86:S94)</f>
        <v>12494531</v>
      </c>
      <c r="T95" s="224">
        <f>SUM(T81:T84,T86:T94)</f>
        <v>0</v>
      </c>
      <c r="U95" s="221"/>
    </row>
    <row r="96" spans="1:21" s="222" customFormat="1">
      <c r="A96" s="227" t="s">
        <v>854</v>
      </c>
      <c r="B96" s="224">
        <f>SUM(C96:D96)</f>
        <v>41779670.034213014</v>
      </c>
      <c r="C96" s="224">
        <f>SUM(C63+C67+C74+C78+C95)</f>
        <v>41029670.034213014</v>
      </c>
      <c r="D96" s="224">
        <f t="shared" ref="D96:R96" si="24">SUM(D63+D67+D74+D78+D95)</f>
        <v>750000</v>
      </c>
      <c r="E96" s="224">
        <f t="shared" si="24"/>
        <v>15865090.796517018</v>
      </c>
      <c r="F96" s="224">
        <f t="shared" si="24"/>
        <v>5520000</v>
      </c>
      <c r="G96" s="224">
        <f t="shared" si="24"/>
        <v>8395407</v>
      </c>
      <c r="H96" s="224">
        <f t="shared" si="24"/>
        <v>0</v>
      </c>
      <c r="I96" s="224">
        <f t="shared" si="24"/>
        <v>0</v>
      </c>
      <c r="J96" s="224">
        <f t="shared" si="24"/>
        <v>1000000</v>
      </c>
      <c r="K96" s="224">
        <f t="shared" si="24"/>
        <v>9240000</v>
      </c>
      <c r="L96" s="224">
        <f t="shared" si="24"/>
        <v>1160000</v>
      </c>
      <c r="M96" s="224">
        <f t="shared" si="24"/>
        <v>325500</v>
      </c>
      <c r="N96" s="224">
        <f t="shared" si="24"/>
        <v>273672.23769600003</v>
      </c>
      <c r="O96" s="224">
        <f t="shared" si="24"/>
        <v>0</v>
      </c>
      <c r="P96" s="224">
        <f t="shared" si="24"/>
        <v>0</v>
      </c>
      <c r="Q96" s="224">
        <f t="shared" si="24"/>
        <v>0</v>
      </c>
      <c r="R96" s="224">
        <f t="shared" si="24"/>
        <v>41779670.034213014</v>
      </c>
      <c r="S96" s="224">
        <f>SUM(S63+S67+S78+S95)</f>
        <v>37742458.815763406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5196481.9401280601</v>
      </c>
      <c r="C98" s="225">
        <v>5196481.9401280601</v>
      </c>
      <c r="D98" s="225"/>
      <c r="E98" s="225">
        <v>2181931.3084803745</v>
      </c>
      <c r="F98" s="225"/>
      <c r="G98" s="225"/>
      <c r="H98" s="225">
        <v>1318068.6915196255</v>
      </c>
      <c r="I98" s="225">
        <v>1696481.9401280601</v>
      </c>
      <c r="J98" s="225"/>
      <c r="K98" s="225"/>
      <c r="L98" s="225"/>
      <c r="M98" s="225"/>
      <c r="N98" s="225"/>
      <c r="O98" s="225"/>
      <c r="P98" s="225"/>
      <c r="Q98" s="225"/>
      <c r="R98" s="916">
        <f t="shared" ref="R98:R103" si="26">SUM(E98:Q98)</f>
        <v>5196481.9401280601</v>
      </c>
      <c r="S98" s="225">
        <v>5196481.9401280601</v>
      </c>
      <c r="T98" s="225"/>
      <c r="U98" s="221"/>
    </row>
    <row r="99" spans="1:21" s="222" customFormat="1">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1128</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5196481.9401280601</v>
      </c>
      <c r="C104" s="224">
        <f t="shared" ref="C104:T104" si="27">SUM(C98:C103)</f>
        <v>5196481.9401280601</v>
      </c>
      <c r="D104" s="224">
        <f t="shared" si="27"/>
        <v>0</v>
      </c>
      <c r="E104" s="224">
        <f t="shared" si="27"/>
        <v>2181931.3084803745</v>
      </c>
      <c r="F104" s="224">
        <f t="shared" si="27"/>
        <v>0</v>
      </c>
      <c r="G104" s="224">
        <f t="shared" si="27"/>
        <v>0</v>
      </c>
      <c r="H104" s="224">
        <f t="shared" si="27"/>
        <v>1318068.6915196255</v>
      </c>
      <c r="I104" s="224">
        <f t="shared" si="27"/>
        <v>1696481.9401280601</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5196481.9401280601</v>
      </c>
      <c r="S104" s="228">
        <f t="shared" si="27"/>
        <v>5196481.9401280601</v>
      </c>
      <c r="T104" s="228">
        <f t="shared" si="27"/>
        <v>0</v>
      </c>
      <c r="U104" s="221"/>
    </row>
    <row r="105" spans="1:21" s="222" customFormat="1">
      <c r="A105" s="227" t="s">
        <v>862</v>
      </c>
      <c r="B105" s="228">
        <f>SUM(C105:D105)</f>
        <v>46976151.974341072</v>
      </c>
      <c r="C105" s="228">
        <f t="shared" ref="C105:R105" si="28">SUM(C96+C104)</f>
        <v>46226151.974341072</v>
      </c>
      <c r="D105" s="228">
        <f t="shared" si="28"/>
        <v>750000</v>
      </c>
      <c r="E105" s="228">
        <f t="shared" si="28"/>
        <v>18047022.104997393</v>
      </c>
      <c r="F105" s="228">
        <f t="shared" si="28"/>
        <v>5520000</v>
      </c>
      <c r="G105" s="228">
        <f t="shared" si="28"/>
        <v>8395407</v>
      </c>
      <c r="H105" s="228">
        <f t="shared" si="28"/>
        <v>1318068.6915196255</v>
      </c>
      <c r="I105" s="228">
        <f t="shared" si="28"/>
        <v>1696481.9401280601</v>
      </c>
      <c r="J105" s="228">
        <f t="shared" si="28"/>
        <v>1000000</v>
      </c>
      <c r="K105" s="228">
        <f t="shared" si="28"/>
        <v>9240000</v>
      </c>
      <c r="L105" s="228">
        <f t="shared" si="28"/>
        <v>1160000</v>
      </c>
      <c r="M105" s="228">
        <f t="shared" si="28"/>
        <v>325500</v>
      </c>
      <c r="N105" s="228">
        <f t="shared" si="28"/>
        <v>273672.23769600003</v>
      </c>
      <c r="O105" s="228">
        <f t="shared" si="28"/>
        <v>0</v>
      </c>
      <c r="P105" s="228">
        <f t="shared" si="28"/>
        <v>0</v>
      </c>
      <c r="Q105" s="228">
        <f t="shared" si="28"/>
        <v>0</v>
      </c>
      <c r="R105" s="558">
        <f t="shared" si="28"/>
        <v>46976151.974341072</v>
      </c>
      <c r="S105" s="228">
        <f>S96+S104</f>
        <v>42938940.755891465</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42938940.755891465</v>
      </c>
      <c r="T107" s="242">
        <f>T105+T106</f>
        <v>0</v>
      </c>
    </row>
    <row r="108" spans="1:21" s="310" customFormat="1">
      <c r="A108" s="241" t="s">
        <v>974</v>
      </c>
      <c r="B108" s="236"/>
      <c r="C108" s="236"/>
      <c r="D108" s="236"/>
      <c r="E108" s="481">
        <f>Application!AG631</f>
        <v>18047022.104997396</v>
      </c>
      <c r="F108" s="481">
        <f>Application!AG618</f>
        <v>5520000</v>
      </c>
      <c r="G108" s="481">
        <f>Application!AG619</f>
        <v>8395407</v>
      </c>
      <c r="H108" s="481">
        <f>Application!AG620</f>
        <v>1318068.6915196255</v>
      </c>
      <c r="I108" s="481">
        <f>Application!AG621</f>
        <v>1696481.9401280601</v>
      </c>
      <c r="J108" s="481">
        <f>Application!AG622</f>
        <v>1000000</v>
      </c>
      <c r="K108" s="481">
        <f>Application!AG623</f>
        <v>9240000</v>
      </c>
      <c r="L108" s="481">
        <f>Application!AG624</f>
        <v>1160000</v>
      </c>
      <c r="M108" s="481">
        <f>Application!AG625</f>
        <v>325500</v>
      </c>
      <c r="N108" s="481">
        <f>Application!AG626</f>
        <v>273672.23769600003</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0" t="s">
        <v>1134</v>
      </c>
      <c r="E122" s="1620"/>
      <c r="F122" s="162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3" t="s">
        <v>1491</v>
      </c>
      <c r="E123" s="1624"/>
      <c r="F123" s="1624"/>
      <c r="G123" s="1624"/>
      <c r="H123" s="1624"/>
      <c r="I123" s="1624"/>
      <c r="J123" s="1624"/>
      <c r="K123" s="1624"/>
      <c r="L123" s="1624"/>
      <c r="M123" s="1624"/>
      <c r="N123" s="1624"/>
      <c r="O123" s="1624"/>
      <c r="P123" s="1624"/>
      <c r="Q123" s="1624"/>
      <c r="R123" s="1624"/>
      <c r="S123" s="1624"/>
      <c r="T123" s="535"/>
      <c r="U123" s="537"/>
    </row>
    <row r="124" spans="1:21" ht="12.75">
      <c r="A124" s="534" t="s">
        <v>1136</v>
      </c>
      <c r="B124" s="544"/>
      <c r="C124" s="534"/>
      <c r="D124" s="1624"/>
      <c r="E124" s="1624"/>
      <c r="F124" s="1624"/>
      <c r="G124" s="1624"/>
      <c r="H124" s="1624"/>
      <c r="I124" s="1624"/>
      <c r="J124" s="1624"/>
      <c r="K124" s="1624"/>
      <c r="L124" s="1624"/>
      <c r="M124" s="1624"/>
      <c r="N124" s="1624"/>
      <c r="O124" s="1624"/>
      <c r="P124" s="1624"/>
      <c r="Q124" s="1624"/>
      <c r="R124" s="1624"/>
      <c r="S124" s="1624"/>
      <c r="T124" s="535"/>
      <c r="U124" s="537"/>
    </row>
    <row r="125" spans="1:21" ht="12.75">
      <c r="A125" s="534" t="s">
        <v>1137</v>
      </c>
      <c r="B125" s="544"/>
      <c r="C125" s="534"/>
      <c r="D125" s="1624"/>
      <c r="E125" s="1624"/>
      <c r="F125" s="1624"/>
      <c r="G125" s="1624"/>
      <c r="H125" s="1624"/>
      <c r="I125" s="1624"/>
      <c r="J125" s="1624"/>
      <c r="K125" s="1624"/>
      <c r="L125" s="1624"/>
      <c r="M125" s="1624"/>
      <c r="N125" s="1624"/>
      <c r="O125" s="1624"/>
      <c r="P125" s="1624"/>
      <c r="Q125" s="1624"/>
      <c r="R125" s="1624"/>
      <c r="S125" s="1624"/>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7"/>
      <c r="E128" s="1617"/>
      <c r="F128" s="1617"/>
      <c r="G128" s="1617"/>
      <c r="H128" s="1617"/>
      <c r="I128" s="534"/>
      <c r="J128" s="1618"/>
      <c r="K128" s="1618"/>
      <c r="L128" s="534"/>
      <c r="M128" s="534"/>
      <c r="N128" s="534"/>
      <c r="O128" s="534"/>
      <c r="P128" s="534"/>
      <c r="Q128" s="534"/>
      <c r="R128" s="534"/>
      <c r="S128" s="534"/>
      <c r="T128" s="535"/>
      <c r="U128" s="537"/>
    </row>
    <row r="129" spans="1:21" ht="12.75">
      <c r="A129" s="534" t="s">
        <v>319</v>
      </c>
      <c r="B129" s="544"/>
      <c r="C129" s="534"/>
      <c r="D129" s="1619" t="s">
        <v>1141</v>
      </c>
      <c r="E129" s="1619"/>
      <c r="F129" s="1619"/>
      <c r="G129" s="1619"/>
      <c r="H129" s="161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96"/>
      <c r="E131" s="1596"/>
      <c r="F131" s="1596"/>
      <c r="G131" s="1596"/>
      <c r="H131" s="1596"/>
      <c r="I131" s="534"/>
      <c r="J131" s="1596"/>
      <c r="K131" s="1596"/>
      <c r="L131" s="1596"/>
      <c r="M131" s="1596"/>
      <c r="N131" s="534"/>
      <c r="O131" s="534"/>
      <c r="P131" s="534"/>
      <c r="Q131" s="534"/>
      <c r="R131" s="534"/>
      <c r="S131" s="534"/>
      <c r="T131" s="535"/>
      <c r="U131" s="537"/>
    </row>
    <row r="132" spans="1:21" ht="12" customHeight="1">
      <c r="A132" s="548"/>
      <c r="B132" s="534"/>
      <c r="C132" s="534"/>
      <c r="D132" s="1625" t="s">
        <v>1144</v>
      </c>
      <c r="E132" s="1625"/>
      <c r="F132" s="1625"/>
      <c r="G132" s="1625"/>
      <c r="H132" s="1625"/>
      <c r="I132" s="534"/>
      <c r="J132" s="1625" t="s">
        <v>1145</v>
      </c>
      <c r="K132" s="1625"/>
      <c r="L132" s="1625"/>
      <c r="M132" s="162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6"/>
      <c r="B138" s="1627"/>
      <c r="C138" s="1627"/>
      <c r="D138" s="539"/>
      <c r="E138" s="1618"/>
      <c r="F138" s="1618"/>
      <c r="G138" s="534"/>
      <c r="H138" s="534"/>
      <c r="I138" s="534"/>
      <c r="J138" s="534"/>
      <c r="K138" s="534"/>
      <c r="L138" s="534"/>
      <c r="M138" s="534"/>
      <c r="N138" s="534"/>
      <c r="O138" s="534"/>
      <c r="P138" s="534"/>
      <c r="Q138" s="534"/>
      <c r="R138" s="534"/>
      <c r="S138" s="534"/>
      <c r="T138" s="541"/>
      <c r="U138" s="542"/>
    </row>
    <row r="139" spans="1:21" ht="12.75">
      <c r="A139" s="1621" t="s">
        <v>1148</v>
      </c>
      <c r="B139" s="1622"/>
      <c r="C139" s="1622"/>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5">
    <cfRule type="cellIs" dxfId="138" priority="229" stopIfTrue="1" operator="notEqual">
      <formula>$B25</formula>
    </cfRule>
    <cfRule type="cellIs" priority="230" stopIfTrue="1" operator="notEqual">
      <formula>$B25</formula>
    </cfRule>
  </conditionalFormatting>
  <conditionalFormatting sqref="R17:R24">
    <cfRule type="cellIs" dxfId="137" priority="228" stopIfTrue="1" operator="notEqual">
      <formula>$B17</formula>
    </cfRule>
  </conditionalFormatting>
  <conditionalFormatting sqref="R26">
    <cfRule type="cellIs" dxfId="136" priority="227" stopIfTrue="1" operator="notEqual">
      <formula>$B26</formula>
    </cfRule>
  </conditionalFormatting>
  <conditionalFormatting sqref="R36">
    <cfRule type="cellIs" dxfId="135" priority="225" stopIfTrue="1" operator="notEqual">
      <formula>$B36</formula>
    </cfRule>
    <cfRule type="cellIs" priority="226" stopIfTrue="1" operator="notEqual">
      <formula>$B36</formula>
    </cfRule>
  </conditionalFormatting>
  <conditionalFormatting sqref="R28:R35">
    <cfRule type="cellIs" dxfId="134" priority="224" stopIfTrue="1" operator="notEqual">
      <formula>$B28</formula>
    </cfRule>
  </conditionalFormatting>
  <conditionalFormatting sqref="R40">
    <cfRule type="cellIs" dxfId="133" priority="222" stopIfTrue="1" operator="notEqual">
      <formula>$B40</formula>
    </cfRule>
    <cfRule type="cellIs" priority="223" stopIfTrue="1" operator="notEqual">
      <formula>$B40</formula>
    </cfRule>
  </conditionalFormatting>
  <conditionalFormatting sqref="R38:R39">
    <cfRule type="cellIs" dxfId="132" priority="221" stopIfTrue="1" operator="notEqual">
      <formula>$B38</formula>
    </cfRule>
  </conditionalFormatting>
  <conditionalFormatting sqref="R41">
    <cfRule type="cellIs" dxfId="131" priority="220" stopIfTrue="1" operator="notEqual">
      <formula>$B41</formula>
    </cfRule>
  </conditionalFormatting>
  <conditionalFormatting sqref="R53">
    <cfRule type="cellIs" dxfId="130" priority="218" stopIfTrue="1" operator="notEqual">
      <formula>$B53</formula>
    </cfRule>
    <cfRule type="cellIs" priority="219" stopIfTrue="1" operator="notEqual">
      <formula>$B53</formula>
    </cfRule>
  </conditionalFormatting>
  <conditionalFormatting sqref="R43:R52">
    <cfRule type="cellIs" dxfId="129" priority="217" stopIfTrue="1" operator="notEqual">
      <formula>$B43</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55:R61">
    <cfRule type="cellIs" dxfId="127" priority="214" stopIfTrue="1" operator="notEqual">
      <formula>$B55</formula>
    </cfRule>
  </conditionalFormatting>
  <conditionalFormatting sqref="R67">
    <cfRule type="cellIs" dxfId="126" priority="212" stopIfTrue="1" operator="notEqual">
      <formula>$B67</formula>
    </cfRule>
    <cfRule type="cellIs" priority="213" stopIfTrue="1" operator="notEqual">
      <formula>$B67</formula>
    </cfRule>
  </conditionalFormatting>
  <conditionalFormatting sqref="R65:R66">
    <cfRule type="cellIs" dxfId="125" priority="211" stopIfTrue="1" operator="notEqual">
      <formula>$B65</formula>
    </cfRule>
  </conditionalFormatting>
  <conditionalFormatting sqref="R74">
    <cfRule type="cellIs" dxfId="124" priority="209" stopIfTrue="1" operator="notEqual">
      <formula>$B74</formula>
    </cfRule>
    <cfRule type="cellIs" priority="210" stopIfTrue="1" operator="notEqual">
      <formula>$B74</formula>
    </cfRule>
  </conditionalFormatting>
  <conditionalFormatting sqref="R95">
    <cfRule type="cellIs" dxfId="123" priority="207" stopIfTrue="1" operator="notEqual">
      <formula>$B95</formula>
    </cfRule>
    <cfRule type="cellIs" priority="208" stopIfTrue="1" operator="notEqual">
      <formula>$B95</formula>
    </cfRule>
  </conditionalFormatting>
  <conditionalFormatting sqref="R69:R73">
    <cfRule type="cellIs" dxfId="122" priority="206" stopIfTrue="1" operator="notEqual">
      <formula>$B69</formula>
    </cfRule>
  </conditionalFormatting>
  <conditionalFormatting sqref="R76:R77">
    <cfRule type="cellIs" dxfId="121" priority="205" stopIfTrue="1" operator="notEqual">
      <formula>$B76</formula>
    </cfRule>
  </conditionalFormatting>
  <conditionalFormatting sqref="R80:R94">
    <cfRule type="cellIs" dxfId="120" priority="204" stopIfTrue="1" operator="notEqual">
      <formula>$B80</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R98:R103">
    <cfRule type="cellIs" dxfId="118" priority="201" stopIfTrue="1" operator="notEqual">
      <formula>$B98</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
    <cfRule type="expression" dxfId="108" priority="179" stopIfTrue="1">
      <formula>(S23+T23)&gt;C23</formula>
    </cfRule>
  </conditionalFormatting>
  <conditionalFormatting sqref="S24">
    <cfRule type="expression" dxfId="107" priority="178" stopIfTrue="1">
      <formula>(S24+T24)&gt;C24</formula>
    </cfRule>
  </conditionalFormatting>
  <conditionalFormatting sqref="S26">
    <cfRule type="expression" dxfId="106" priority="171" stopIfTrue="1">
      <formula>(S26+T26)&gt;C26</formula>
    </cfRule>
  </conditionalFormatting>
  <conditionalFormatting sqref="S28">
    <cfRule type="expression" dxfId="105" priority="169" stopIfTrue="1">
      <formula>(S28+T28)&gt;C28</formula>
    </cfRule>
  </conditionalFormatting>
  <conditionalFormatting sqref="S29">
    <cfRule type="expression" dxfId="104" priority="167" stopIfTrue="1">
      <formula>(S29+T29)&gt;C29</formula>
    </cfRule>
  </conditionalFormatting>
  <conditionalFormatting sqref="S30">
    <cfRule type="expression" dxfId="103" priority="166" stopIfTrue="1">
      <formula>(S30+T30)&gt;C30</formula>
    </cfRule>
  </conditionalFormatting>
  <conditionalFormatting sqref="S31">
    <cfRule type="expression" dxfId="102" priority="165" stopIfTrue="1">
      <formula>(S31+T31)&gt;C31</formula>
    </cfRule>
  </conditionalFormatting>
  <conditionalFormatting sqref="S32">
    <cfRule type="expression" dxfId="101" priority="164" stopIfTrue="1">
      <formula>(S32+T32)&gt;C32</formula>
    </cfRule>
  </conditionalFormatting>
  <conditionalFormatting sqref="S33">
    <cfRule type="expression" dxfId="100" priority="163" stopIfTrue="1">
      <formula>(S33+T33)&gt;C33</formula>
    </cfRule>
  </conditionalFormatting>
  <conditionalFormatting sqref="S34">
    <cfRule type="expression" dxfId="99" priority="162" stopIfTrue="1">
      <formula>(S34+T34)&gt;C34</formula>
    </cfRule>
  </conditionalFormatting>
  <conditionalFormatting sqref="S35">
    <cfRule type="expression" dxfId="98" priority="161" stopIfTrue="1">
      <formula>(S35+T35)&gt;C35</formula>
    </cfRule>
  </conditionalFormatting>
  <conditionalFormatting sqref="S38">
    <cfRule type="expression" dxfId="97" priority="153" stopIfTrue="1">
      <formula>(S38+T38)&gt;C38</formula>
    </cfRule>
  </conditionalFormatting>
  <conditionalFormatting sqref="S39">
    <cfRule type="expression" dxfId="96" priority="152" stopIfTrue="1">
      <formula>(S39+T39)&gt;C39</formula>
    </cfRule>
  </conditionalFormatting>
  <conditionalFormatting sqref="S41">
    <cfRule type="expression" dxfId="95" priority="149" stopIfTrue="1">
      <formula>(S41+T41)&gt;C41</formula>
    </cfRule>
  </conditionalFormatting>
  <conditionalFormatting sqref="S43">
    <cfRule type="expression" dxfId="94" priority="147" stopIfTrue="1">
      <formula>(S43+T43)&gt;C43</formula>
    </cfRule>
  </conditionalFormatting>
  <conditionalFormatting sqref="S44">
    <cfRule type="expression" dxfId="93" priority="142" stopIfTrue="1">
      <formula>(S44+T44)&gt;C44</formula>
    </cfRule>
  </conditionalFormatting>
  <conditionalFormatting sqref="S45">
    <cfRule type="expression" dxfId="92" priority="141" stopIfTrue="1">
      <formula>(S45+T45)&gt;C45</formula>
    </cfRule>
  </conditionalFormatting>
  <conditionalFormatting sqref="S46">
    <cfRule type="expression" dxfId="91" priority="140" stopIfTrue="1">
      <formula>(S46+T46)&gt;C46</formula>
    </cfRule>
  </conditionalFormatting>
  <conditionalFormatting sqref="S47">
    <cfRule type="expression" dxfId="90" priority="139" stopIfTrue="1">
      <formula>(S47+T47)&gt;C47</formula>
    </cfRule>
  </conditionalFormatting>
  <conditionalFormatting sqref="S48">
    <cfRule type="expression" dxfId="89" priority="138" stopIfTrue="1">
      <formula>(S48+T48)&gt;C48</formula>
    </cfRule>
  </conditionalFormatting>
  <conditionalFormatting sqref="S49">
    <cfRule type="expression" dxfId="88" priority="137" stopIfTrue="1">
      <formula>(S49+T49)&gt;C49</formula>
    </cfRule>
  </conditionalFormatting>
  <conditionalFormatting sqref="S50">
    <cfRule type="expression" dxfId="87" priority="136" stopIfTrue="1">
      <formula>(S50+T50)&gt;C50</formula>
    </cfRule>
  </conditionalFormatting>
  <conditionalFormatting sqref="S51">
    <cfRule type="expression" dxfId="86" priority="135" stopIfTrue="1">
      <formula>(S51+T51)&gt;C51</formula>
    </cfRule>
  </conditionalFormatting>
  <conditionalFormatting sqref="S52">
    <cfRule type="expression" dxfId="85" priority="134" stopIfTrue="1">
      <formula>(S52+T52)&gt;C52</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
    <cfRule type="expression" dxfId="79" priority="115" stopIfTrue="1">
      <formula>(S82+T82)&gt;C82</formula>
    </cfRule>
  </conditionalFormatting>
  <conditionalFormatting sqref="S83">
    <cfRule type="expression" dxfId="78" priority="114" stopIfTrue="1">
      <formula>(S83+T83)&gt;C83</formula>
    </cfRule>
  </conditionalFormatting>
  <conditionalFormatting sqref="S84">
    <cfRule type="expression" dxfId="77" priority="113" stopIfTrue="1">
      <formula>(S84+T84)&gt;C84</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
    <cfRule type="expression" dxfId="73" priority="105" stopIfTrue="1">
      <formula>(S89+T89)&gt;C89</formula>
    </cfRule>
  </conditionalFormatting>
  <conditionalFormatting sqref="S90">
    <cfRule type="expression" dxfId="72" priority="104" stopIfTrue="1">
      <formula>(S90+T90)&gt;C90</formula>
    </cfRule>
  </conditionalFormatting>
  <conditionalFormatting sqref="S91">
    <cfRule type="expression" dxfId="71" priority="103" stopIfTrue="1">
      <formula>(S91+T91)&gt;C91</formula>
    </cfRule>
  </conditionalFormatting>
  <conditionalFormatting sqref="S92">
    <cfRule type="expression" dxfId="70" priority="102" stopIfTrue="1">
      <formula>(S92+T92)&gt;C92</formula>
    </cfRule>
  </conditionalFormatting>
  <conditionalFormatting sqref="S93:S94">
    <cfRule type="expression" dxfId="69" priority="101" stopIfTrue="1">
      <formula>(S93+T93)&gt;C93</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22" zoomScaleNormal="100" zoomScaleSheetLayoutView="100" workbookViewId="0">
      <selection activeCell="C17" sqref="C1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4" t="s">
        <v>1494</v>
      </c>
      <c r="B1" s="1635"/>
      <c r="C1" s="1635"/>
      <c r="D1" s="1635"/>
      <c r="E1" s="1635"/>
      <c r="F1" s="1635"/>
      <c r="G1" s="1635"/>
      <c r="H1" s="1635"/>
      <c r="I1" s="1635"/>
      <c r="J1" s="1636"/>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1505000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1332270</v>
      </c>
      <c r="C10" s="590"/>
      <c r="D10" s="590"/>
      <c r="E10" s="589">
        <f>'Sources and Uses Budget'!S10</f>
        <v>1332270</v>
      </c>
      <c r="F10" s="590"/>
      <c r="G10" s="590"/>
      <c r="H10" s="589">
        <f>'Sources and Uses Budget'!T10</f>
        <v>0</v>
      </c>
      <c r="I10" s="590"/>
      <c r="J10" s="590"/>
      <c r="K10" s="587"/>
    </row>
    <row r="11" spans="1:11" s="588" customFormat="1">
      <c r="A11" s="593" t="s">
        <v>647</v>
      </c>
      <c r="B11" s="589">
        <f>'Sources and Uses Budget'!C11</f>
        <v>1332270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2837270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2545812</v>
      </c>
      <c r="C28" s="590"/>
      <c r="D28" s="590"/>
      <c r="E28" s="589">
        <f>'Sources and Uses Budget'!S28</f>
        <v>2545812</v>
      </c>
      <c r="F28" s="590"/>
      <c r="G28" s="590"/>
      <c r="H28" s="589">
        <f>'Sources and Uses Budget'!T28</f>
        <v>0</v>
      </c>
      <c r="I28" s="590"/>
      <c r="J28" s="590"/>
      <c r="K28" s="587"/>
    </row>
    <row r="29" spans="1:11" s="588" customFormat="1">
      <c r="A29" s="223" t="s">
        <v>650</v>
      </c>
      <c r="B29" s="589">
        <f>'Sources and Uses Budget'!C29</f>
        <v>14571385</v>
      </c>
      <c r="C29" s="590"/>
      <c r="D29" s="590"/>
      <c r="E29" s="589">
        <f>'Sources and Uses Budget'!S29</f>
        <v>14571385</v>
      </c>
      <c r="F29" s="590"/>
      <c r="G29" s="590"/>
      <c r="H29" s="589">
        <f>'Sources and Uses Budget'!T29</f>
        <v>0</v>
      </c>
      <c r="I29" s="590"/>
      <c r="J29" s="590"/>
      <c r="K29" s="587"/>
    </row>
    <row r="30" spans="1:11" s="588" customFormat="1">
      <c r="A30" s="223" t="s">
        <v>651</v>
      </c>
      <c r="B30" s="589">
        <f>'Sources and Uses Budget'!C30</f>
        <v>767978.68</v>
      </c>
      <c r="C30" s="590"/>
      <c r="D30" s="590"/>
      <c r="E30" s="589">
        <f>'Sources and Uses Budget'!S30</f>
        <v>767978.68</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1919946.7000000002</v>
      </c>
      <c r="C32" s="590"/>
      <c r="D32" s="590"/>
      <c r="E32" s="589">
        <f>'Sources and Uses Budget'!S32</f>
        <v>1919946.7000000002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19805122.379999999</v>
      </c>
      <c r="C36" s="589">
        <f>SUM(C28:C35)</f>
        <v>0</v>
      </c>
      <c r="D36" s="589">
        <f>SUM(D28:D35)</f>
        <v>0</v>
      </c>
      <c r="E36" s="589">
        <f>'Sources and Uses Budget'!S36</f>
        <v>19805122.379999999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439500</v>
      </c>
      <c r="C38" s="590"/>
      <c r="D38" s="590"/>
      <c r="E38" s="589">
        <f>'Sources and Uses Budget'!S38</f>
        <v>439500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439500</v>
      </c>
      <c r="C40" s="589">
        <f>SUM(C37:C39)</f>
        <v>0</v>
      </c>
      <c r="D40" s="589">
        <f>SUM(D37:D39)</f>
        <v>0</v>
      </c>
      <c r="E40" s="589">
        <f>'Sources and Uses Budget'!S40</f>
        <v>439500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497000</v>
      </c>
      <c r="C41" s="590"/>
      <c r="D41" s="590"/>
      <c r="E41" s="589">
        <f>'Sources and Uses Budget'!S41</f>
        <v>497000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1290122.0828378666</v>
      </c>
      <c r="C43" s="590"/>
      <c r="D43" s="590"/>
      <c r="E43" s="589">
        <f>'Sources and Uses Budget'!S43</f>
        <v>800232.57241241005</v>
      </c>
      <c r="F43" s="590"/>
      <c r="G43" s="590"/>
      <c r="H43" s="589">
        <f>'Sources and Uses Budget'!T43</f>
        <v>0</v>
      </c>
      <c r="I43" s="590"/>
      <c r="J43" s="590"/>
      <c r="K43" s="587"/>
    </row>
    <row r="44" spans="1:11" s="588" customFormat="1">
      <c r="A44" s="592" t="s">
        <v>158</v>
      </c>
      <c r="B44" s="589">
        <f>'Sources and Uses Budget'!C44</f>
        <v>276099.99726080004</v>
      </c>
      <c r="C44" s="590"/>
      <c r="D44" s="590"/>
      <c r="E44" s="589">
        <f>'Sources and Uses Budget'!S44</f>
        <v>153099.99726079998</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c r="A49" s="592" t="s">
        <v>161</v>
      </c>
      <c r="B49" s="589">
        <f>'Sources and Uses Budget'!C49</f>
        <v>2500</v>
      </c>
      <c r="C49" s="590"/>
      <c r="D49" s="590"/>
      <c r="E49" s="589">
        <f>'Sources and Uses Budget'!S49</f>
        <v>2500</v>
      </c>
      <c r="F49" s="590"/>
      <c r="G49" s="590"/>
      <c r="H49" s="589">
        <f>'Sources and Uses Budget'!T49</f>
        <v>0</v>
      </c>
      <c r="I49" s="590"/>
      <c r="J49" s="590"/>
      <c r="K49" s="587"/>
    </row>
    <row r="50" spans="1:11" s="588" customFormat="1">
      <c r="A50" s="592" t="s">
        <v>162</v>
      </c>
      <c r="B50" s="589">
        <f>'Sources and Uses Budget'!C50</f>
        <v>85000</v>
      </c>
      <c r="C50" s="590"/>
      <c r="D50" s="590"/>
      <c r="E50" s="589">
        <f>'Sources and Uses Budget'!S50</f>
        <v>85000</v>
      </c>
      <c r="F50" s="590"/>
      <c r="G50" s="590"/>
      <c r="H50" s="589">
        <f>'Sources and Uses Budget'!T50</f>
        <v>0</v>
      </c>
      <c r="I50" s="590"/>
      <c r="J50" s="590"/>
      <c r="K50" s="587"/>
    </row>
    <row r="51" spans="1:11" s="588" customFormat="1">
      <c r="A51" s="595" t="str">
        <f>'Sources and Uses Budget'!$A60</f>
        <v>Other: Issuer Fee</v>
      </c>
      <c r="B51" s="589">
        <f>'Sources and Uses Budget'!C51</f>
        <v>420875</v>
      </c>
      <c r="C51" s="590"/>
      <c r="D51" s="590"/>
      <c r="E51" s="589">
        <f>'Sources and Uses Budget'!S51</f>
        <v>414125</v>
      </c>
      <c r="F51" s="590"/>
      <c r="G51" s="590"/>
      <c r="H51" s="589">
        <f>'Sources and Uses Budget'!T51</f>
        <v>0</v>
      </c>
      <c r="I51" s="590"/>
      <c r="J51" s="590"/>
      <c r="K51" s="587"/>
    </row>
    <row r="52" spans="1:11" s="588" customFormat="1">
      <c r="A52" s="595" t="str">
        <f>'Sources and Uses Budget'!$A61</f>
        <v>Other: (Specify)</v>
      </c>
      <c r="B52" s="589">
        <f>'Sources and Uses Budget'!C52</f>
        <v>30000</v>
      </c>
      <c r="C52" s="590"/>
      <c r="D52" s="590"/>
      <c r="E52" s="589">
        <f>'Sources and Uses Budget'!S52</f>
        <v>30000</v>
      </c>
      <c r="F52" s="590"/>
      <c r="G52" s="590"/>
      <c r="H52" s="589">
        <f>'Sources and Uses Budget'!T52</f>
        <v>0</v>
      </c>
      <c r="I52" s="590"/>
      <c r="J52" s="590"/>
      <c r="K52" s="587"/>
    </row>
    <row r="53" spans="1:11" s="599" customFormat="1">
      <c r="A53" s="593" t="s">
        <v>164</v>
      </c>
      <c r="B53" s="589">
        <f>'Sources and Uses Budget'!C53</f>
        <v>2134597.0800986667</v>
      </c>
      <c r="C53" s="596">
        <f>SUM(C43:C52)</f>
        <v>0</v>
      </c>
      <c r="D53" s="596">
        <f>SUM(D43:D52)</f>
        <v>0</v>
      </c>
      <c r="E53" s="589">
        <f>'Sources and Uses Budget'!S53</f>
        <v>1514957.5696732099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55200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7500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Issuer Fee</v>
      </c>
      <c r="B60" s="589">
        <f>'Sources and Uses Budget'!C60</f>
        <v>103537.49897280001</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166237.49897280001</v>
      </c>
      <c r="C62" s="589">
        <f>SUM(C55:C61)</f>
        <v>0</v>
      </c>
      <c r="D62" s="589">
        <f>SUM(D55:D61)</f>
        <v>0</v>
      </c>
      <c r="E62" s="591"/>
      <c r="F62" s="591"/>
      <c r="G62" s="591"/>
      <c r="H62" s="591"/>
      <c r="I62" s="591"/>
      <c r="J62" s="591"/>
      <c r="K62" s="587"/>
    </row>
    <row r="63" spans="1:11" s="588" customFormat="1">
      <c r="A63" s="600" t="s">
        <v>321</v>
      </c>
      <c r="B63" s="589">
        <f>'Sources and Uses Budget'!C63</f>
        <v>25879726.959071465</v>
      </c>
      <c r="C63" s="589">
        <f>SUM(C8+C11+C13+C14+C15+C25+C26+C36+C40+C41+C53+C62)</f>
        <v>0</v>
      </c>
      <c r="D63" s="589">
        <f>SUM(D8+D11+D13+D14+D15+D25+D26+D36+D40+D41+D53+D62)</f>
        <v>0</v>
      </c>
      <c r="E63" s="589">
        <f>'Sources and Uses Budget'!S63</f>
        <v>23588849.949673209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Transition, Passes</v>
      </c>
      <c r="B66" s="589">
        <f>'Sources and Uses Budget'!C66</f>
        <v>182500</v>
      </c>
      <c r="C66" s="590"/>
      <c r="D66" s="590"/>
      <c r="E66" s="589">
        <f>'Sources and Uses Budget'!S66</f>
        <v>75000</v>
      </c>
      <c r="F66" s="590"/>
      <c r="G66" s="590"/>
      <c r="H66" s="589">
        <f>'Sources and Uses Budget'!T66</f>
        <v>0</v>
      </c>
      <c r="I66" s="590"/>
      <c r="J66" s="590"/>
      <c r="K66" s="587"/>
    </row>
    <row r="67" spans="1:11" s="588" customFormat="1">
      <c r="A67" s="593" t="s">
        <v>652</v>
      </c>
      <c r="B67" s="589">
        <f>'Sources and Uses Budget'!C67</f>
        <v>232500</v>
      </c>
      <c r="C67" s="589">
        <f>SUM(C64:C66)</f>
        <v>0</v>
      </c>
      <c r="D67" s="589">
        <f>SUM(D64:D66)</f>
        <v>0</v>
      </c>
      <c r="E67" s="589">
        <f>'Sources and Uses Budget'!S67</f>
        <v>125000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225812.99238340609</v>
      </c>
      <c r="C72" s="590"/>
      <c r="D72" s="590"/>
      <c r="E72" s="591"/>
      <c r="F72" s="591"/>
      <c r="G72" s="591"/>
      <c r="H72" s="591"/>
      <c r="I72" s="591"/>
      <c r="J72" s="591"/>
      <c r="K72" s="587"/>
    </row>
    <row r="73" spans="1:11" s="588" customFormat="1">
      <c r="A73" s="595" t="str">
        <f>'Sources and Uses Budget'!$A73</f>
        <v>Other: Transition, Passes</v>
      </c>
      <c r="B73" s="589">
        <f>'Sources and Uses Budget'!C73</f>
        <v>553664</v>
      </c>
      <c r="C73" s="590"/>
      <c r="D73" s="590"/>
      <c r="E73" s="591"/>
      <c r="F73" s="591"/>
      <c r="G73" s="591"/>
      <c r="H73" s="591"/>
      <c r="I73" s="591"/>
      <c r="J73" s="591"/>
      <c r="K73" s="587"/>
    </row>
    <row r="74" spans="1:11" s="588" customFormat="1">
      <c r="A74" s="593" t="s">
        <v>657</v>
      </c>
      <c r="B74" s="589">
        <f>'Sources and Uses Budget'!C74</f>
        <v>779476.99238340603</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1094369.6190000002</v>
      </c>
      <c r="C76" s="590"/>
      <c r="D76" s="590"/>
      <c r="E76" s="589">
        <f>'Sources and Uses Budget'!S76</f>
        <v>1094369.6190000002</v>
      </c>
      <c r="F76" s="590"/>
      <c r="G76" s="590"/>
      <c r="H76" s="589">
        <f>'Sources and Uses Budget'!T76</f>
        <v>0</v>
      </c>
      <c r="I76" s="590"/>
      <c r="J76" s="590"/>
      <c r="K76" s="587"/>
    </row>
    <row r="77" spans="1:11" s="588" customFormat="1">
      <c r="A77" s="592" t="s">
        <v>63</v>
      </c>
      <c r="B77" s="589">
        <f>'Sources and Uses Budget'!C77</f>
        <v>439708.24709019624</v>
      </c>
      <c r="C77" s="590"/>
      <c r="D77" s="590"/>
      <c r="E77" s="589">
        <f>'Sources and Uses Budget'!S77</f>
        <v>439708.24709019624</v>
      </c>
      <c r="F77" s="590"/>
      <c r="G77" s="590"/>
      <c r="H77" s="589">
        <f>'Sources and Uses Budget'!T77</f>
        <v>0</v>
      </c>
      <c r="I77" s="590"/>
      <c r="J77" s="590"/>
      <c r="K77" s="587"/>
    </row>
    <row r="78" spans="1:11" s="588" customFormat="1">
      <c r="A78" s="593" t="s">
        <v>1468</v>
      </c>
      <c r="B78" s="589">
        <f>'Sources and Uses Budget'!C78</f>
        <v>1534077.8660901964</v>
      </c>
      <c r="C78" s="589">
        <f>SUM(C76:C77)</f>
        <v>0</v>
      </c>
      <c r="D78" s="589">
        <f>SUM(D76:D77)</f>
        <v>0</v>
      </c>
      <c r="E78" s="589">
        <f>'Sources and Uses Budget'!S78</f>
        <v>1534077.8660901964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71357.216667948844</v>
      </c>
      <c r="C80" s="590"/>
      <c r="D80" s="590"/>
      <c r="E80" s="591"/>
      <c r="F80" s="591"/>
      <c r="G80" s="591"/>
      <c r="H80" s="591"/>
      <c r="I80" s="591"/>
      <c r="J80" s="591"/>
      <c r="K80" s="587"/>
    </row>
    <row r="81" spans="1:11" s="588" customFormat="1">
      <c r="A81" s="223" t="s">
        <v>846</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847</v>
      </c>
      <c r="B82" s="589">
        <f>'Sources and Uses Budget'!C82</f>
        <v>1694619.81</v>
      </c>
      <c r="C82" s="590"/>
      <c r="D82" s="590"/>
      <c r="E82" s="589">
        <f>'Sources and Uses Budget'!S82</f>
        <v>1694619.81</v>
      </c>
      <c r="F82" s="590"/>
      <c r="G82" s="590"/>
      <c r="H82" s="589">
        <f>'Sources and Uses Budget'!T82</f>
        <v>0</v>
      </c>
      <c r="I82" s="590"/>
      <c r="J82" s="590"/>
      <c r="K82" s="587"/>
    </row>
    <row r="83" spans="1:11" s="588" customFormat="1">
      <c r="A83" s="223" t="s">
        <v>848</v>
      </c>
      <c r="B83" s="589">
        <f>'Sources and Uses Budget'!C83</f>
        <v>702144.19</v>
      </c>
      <c r="C83" s="590"/>
      <c r="D83" s="590"/>
      <c r="E83" s="589">
        <f>'Sources and Uses Budget'!S83</f>
        <v>702144.19</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38000</v>
      </c>
      <c r="C85" s="590"/>
      <c r="D85" s="590"/>
      <c r="E85" s="591"/>
      <c r="F85" s="591"/>
      <c r="G85" s="591"/>
      <c r="H85" s="591"/>
      <c r="I85" s="591"/>
      <c r="J85" s="591"/>
      <c r="K85" s="587"/>
    </row>
    <row r="86" spans="1:11" s="588" customFormat="1">
      <c r="A86" s="223" t="s">
        <v>851</v>
      </c>
      <c r="B86" s="589">
        <f>'Sources and Uses Budget'!C86</f>
        <v>25000</v>
      </c>
      <c r="C86" s="590"/>
      <c r="D86" s="590"/>
      <c r="E86" s="589">
        <f>'Sources and Uses Budget'!S86</f>
        <v>25000</v>
      </c>
      <c r="F86" s="590"/>
      <c r="G86" s="590"/>
      <c r="H86" s="589">
        <f>'Sources and Uses Budget'!T86</f>
        <v>0</v>
      </c>
      <c r="I86" s="590"/>
      <c r="J86" s="590"/>
      <c r="K86" s="587"/>
    </row>
    <row r="87" spans="1:11" s="588" customFormat="1">
      <c r="A87" s="223" t="s">
        <v>852</v>
      </c>
      <c r="B87" s="589">
        <f>'Sources and Uses Budget'!C87</f>
        <v>6850</v>
      </c>
      <c r="C87" s="590"/>
      <c r="D87" s="590"/>
      <c r="E87" s="589">
        <f>'Sources and Uses Budget'!S87</f>
        <v>6850</v>
      </c>
      <c r="F87" s="590"/>
      <c r="G87" s="590"/>
      <c r="H87" s="589">
        <f>'Sources and Uses Budget'!T87</f>
        <v>0</v>
      </c>
      <c r="I87" s="590"/>
      <c r="J87" s="590"/>
      <c r="K87" s="587"/>
    </row>
    <row r="88" spans="1:11" s="588" customFormat="1">
      <c r="A88" s="234" t="s">
        <v>404</v>
      </c>
      <c r="B88" s="589">
        <f>'Sources and Uses Budget'!C88</f>
        <v>80000</v>
      </c>
      <c r="C88" s="590"/>
      <c r="D88" s="590"/>
      <c r="E88" s="589">
        <f>'Sources and Uses Budget'!S88</f>
        <v>80000</v>
      </c>
      <c r="F88" s="590"/>
      <c r="G88" s="590"/>
      <c r="H88" s="589">
        <f>'Sources and Uses Budget'!T88</f>
        <v>0</v>
      </c>
      <c r="I88" s="590"/>
      <c r="J88" s="590"/>
      <c r="K88" s="587"/>
    </row>
    <row r="89" spans="1:11" s="588" customFormat="1">
      <c r="A89" s="889" t="s">
        <v>1470</v>
      </c>
      <c r="B89" s="589">
        <f>'Sources and Uses Budget'!C89</f>
        <v>7600</v>
      </c>
      <c r="C89" s="590"/>
      <c r="D89" s="590"/>
      <c r="E89" s="589">
        <f>'Sources and Uses Budget'!S89</f>
        <v>7600</v>
      </c>
      <c r="F89" s="590"/>
      <c r="G89" s="590"/>
      <c r="H89" s="589">
        <f>'Sources and Uses Budget'!T89</f>
        <v>0</v>
      </c>
      <c r="I89" s="590"/>
      <c r="J89" s="590"/>
      <c r="K89" s="587"/>
    </row>
    <row r="90" spans="1:11" s="588" customFormat="1" ht="24">
      <c r="A90" s="595" t="str">
        <f>'Sources and Uses Budget'!$A90</f>
        <v>Other: Legal/Finance Review, AHSC consultant</v>
      </c>
      <c r="B90" s="589">
        <f>'Sources and Uses Budget'!C90</f>
        <v>34406</v>
      </c>
      <c r="C90" s="590"/>
      <c r="D90" s="590"/>
      <c r="E90" s="589">
        <f>'Sources and Uses Budget'!S90</f>
        <v>34406</v>
      </c>
      <c r="F90" s="590"/>
      <c r="G90" s="590"/>
      <c r="H90" s="589">
        <f>'Sources and Uses Budget'!T90</f>
        <v>0</v>
      </c>
      <c r="I90" s="590"/>
      <c r="J90" s="590"/>
      <c r="K90" s="587"/>
    </row>
    <row r="91" spans="1:11" s="588" customFormat="1">
      <c r="A91" s="595" t="str">
        <f>'Sources and Uses Budget'!$A91</f>
        <v>Other: Misc Studies</v>
      </c>
      <c r="B91" s="589">
        <f>'Sources and Uses Budget'!C91</f>
        <v>13911</v>
      </c>
      <c r="C91" s="590"/>
      <c r="D91" s="590"/>
      <c r="E91" s="589">
        <f>'Sources and Uses Budget'!S91</f>
        <v>13911</v>
      </c>
      <c r="F91" s="590"/>
      <c r="G91" s="590"/>
      <c r="H91" s="589">
        <f>'Sources and Uses Budget'!T91</f>
        <v>0</v>
      </c>
      <c r="I91" s="590"/>
      <c r="J91" s="590"/>
      <c r="K91" s="587"/>
    </row>
    <row r="92" spans="1:11" s="588" customFormat="1">
      <c r="A92" s="595" t="str">
        <f>'Sources and Uses Budget'!$A92</f>
        <v>Other: MGP Services Fee</v>
      </c>
      <c r="B92" s="589">
        <f>'Sources and Uses Budget'!C92</f>
        <v>25000</v>
      </c>
      <c r="C92" s="590"/>
      <c r="D92" s="590"/>
      <c r="E92" s="589">
        <f>'Sources and Uses Budget'!S92</f>
        <v>25000</v>
      </c>
      <c r="F92" s="590"/>
      <c r="G92" s="590"/>
      <c r="H92" s="589">
        <f>'Sources and Uses Budget'!T92</f>
        <v>0</v>
      </c>
      <c r="I92" s="590"/>
      <c r="J92" s="590"/>
      <c r="K92" s="587"/>
    </row>
    <row r="93" spans="1:11" s="588" customFormat="1">
      <c r="A93" s="595" t="str">
        <f>'Sources and Uses Budget'!$A93</f>
        <v>Other: Lender Deposit</v>
      </c>
      <c r="B93" s="589">
        <f>'Sources and Uses Budget'!C93</f>
        <v>25000</v>
      </c>
      <c r="C93" s="590"/>
      <c r="D93" s="590"/>
      <c r="E93" s="589">
        <f>'Sources and Uses Budget'!S93</f>
        <v>25000</v>
      </c>
      <c r="F93" s="590"/>
      <c r="G93" s="590"/>
      <c r="H93" s="589">
        <f>'Sources and Uses Budget'!T93</f>
        <v>0</v>
      </c>
      <c r="I93" s="590"/>
      <c r="J93" s="590"/>
      <c r="K93" s="587"/>
    </row>
    <row r="94" spans="1:11" s="588" customFormat="1">
      <c r="A94" s="595" t="str">
        <f>'Sources and Uses Budget'!$A94</f>
        <v>Other: CFD Fees</v>
      </c>
      <c r="B94" s="589">
        <f>'Sources and Uses Budget'!C94</f>
        <v>9855000</v>
      </c>
      <c r="C94" s="590"/>
      <c r="D94" s="590"/>
      <c r="E94" s="589">
        <f>'Sources and Uses Budget'!S94</f>
        <v>9855000</v>
      </c>
      <c r="F94" s="590"/>
      <c r="G94" s="590"/>
      <c r="H94" s="589">
        <f>'Sources and Uses Budget'!T94</f>
        <v>0</v>
      </c>
      <c r="I94" s="590"/>
      <c r="J94" s="590"/>
      <c r="K94" s="587"/>
    </row>
    <row r="95" spans="1:11" s="588" customFormat="1">
      <c r="A95" s="593" t="s">
        <v>853</v>
      </c>
      <c r="B95" s="589">
        <f>'Sources and Uses Budget'!C95</f>
        <v>12603888.216667948</v>
      </c>
      <c r="C95" s="589">
        <f>SUM(C80:C94)</f>
        <v>0</v>
      </c>
      <c r="D95" s="589">
        <f>SUM(D80:D94)</f>
        <v>0</v>
      </c>
      <c r="E95" s="589">
        <f>'Sources and Uses Budget'!S95</f>
        <v>12494531</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41029670.034213014</v>
      </c>
      <c r="C96" s="589">
        <f>SUM(C63+C67+C74+C78+C95)</f>
        <v>0</v>
      </c>
      <c r="D96" s="589">
        <f>SUM(D63+D67+D74+D78+D95)</f>
        <v>0</v>
      </c>
      <c r="E96" s="589">
        <f>'Sources and Uses Budget'!S96</f>
        <v>37742458.815763406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5196481.9401280601</v>
      </c>
      <c r="C98" s="590"/>
      <c r="D98" s="590"/>
      <c r="E98" s="589">
        <f>'Sources and Uses Budget'!S98</f>
        <v>5196481.9401280601</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5196481.9401280601</v>
      </c>
      <c r="C104" s="589">
        <f>SUM(C98:C103)</f>
        <v>0</v>
      </c>
      <c r="D104" s="589">
        <f>SUM(D98:D103)</f>
        <v>0</v>
      </c>
      <c r="E104" s="589">
        <f>'Sources and Uses Budget'!S104</f>
        <v>5196481.9401280601</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46226151.974341072</v>
      </c>
      <c r="C105" s="596">
        <f>SUM(C96+C104)</f>
        <v>0</v>
      </c>
      <c r="D105" s="596">
        <f>SUM(D96+D104)</f>
        <v>0</v>
      </c>
      <c r="E105" s="589">
        <f>'Sources and Uses Budget'!S105</f>
        <v>42938940.755891465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42938940.755891465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8"/>
      <c r="E124" s="1629"/>
      <c r="F124" s="1629"/>
      <c r="G124" s="1629"/>
      <c r="H124" s="1629"/>
      <c r="I124" s="1629"/>
      <c r="J124" s="607"/>
      <c r="K124" s="587"/>
    </row>
    <row r="125" spans="1:11" s="588" customFormat="1" ht="12.75">
      <c r="A125" s="618"/>
      <c r="B125" s="617"/>
      <c r="C125" s="618"/>
      <c r="D125" s="1629"/>
      <c r="E125" s="1629"/>
      <c r="F125" s="1629"/>
      <c r="G125" s="1629"/>
      <c r="H125" s="1629"/>
      <c r="I125" s="1629"/>
      <c r="J125" s="607"/>
      <c r="K125" s="587"/>
    </row>
    <row r="126" spans="1:11" s="588" customFormat="1" ht="12.75">
      <c r="A126" s="618"/>
      <c r="B126" s="617"/>
      <c r="C126" s="618"/>
      <c r="D126" s="1629"/>
      <c r="E126" s="1629"/>
      <c r="F126" s="1629"/>
      <c r="G126" s="1629"/>
      <c r="H126" s="1629"/>
      <c r="I126" s="162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0"/>
      <c r="B139" s="1631"/>
      <c r="C139" s="1631"/>
      <c r="D139" s="630"/>
      <c r="E139" s="618"/>
      <c r="F139" s="618"/>
      <c r="G139" s="618"/>
    </row>
    <row r="140" spans="1:11" ht="12" customHeight="1">
      <c r="A140" s="1632"/>
      <c r="B140" s="1633"/>
      <c r="C140" s="163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1"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3" t="s">
        <v>1599</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4"/>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69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NON-DDA/
NON-QCT Building(s)</v>
      </c>
      <c r="U7" s="1672"/>
      <c r="V7" s="1672"/>
      <c r="W7" s="1672"/>
      <c r="X7" s="1672"/>
      <c r="Y7" s="1672" t="str">
        <f>IF(T25=100%," ",'Sources and Basis Breakdown'!G2)</f>
        <v xml:space="preserve"> </v>
      </c>
      <c r="Z7" s="1672"/>
      <c r="AA7" s="1672"/>
      <c r="AB7" s="1672"/>
      <c r="AC7" s="1672"/>
      <c r="AD7" s="1672" t="str">
        <f xml:space="preserve"> IF(T25=100%, 'Sources and Basis Breakdown'!J2,'Sources and Basis Breakdown'!I2)</f>
        <v>30% PVC for Acquisition
NON-DDA/
NON-QCT Building(s)</v>
      </c>
      <c r="AE7" s="1672"/>
      <c r="AF7" s="1672"/>
      <c r="AG7" s="1672"/>
      <c r="AH7" s="1672"/>
      <c r="AI7" s="1672" t="str">
        <f>IF(T25=100%," ",'Sources and Basis Breakdown'!J2)</f>
        <v xml:space="preserve"> </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76" t="s">
        <v>407</v>
      </c>
      <c r="C11" s="1677"/>
      <c r="D11" s="1677"/>
      <c r="E11" s="1677"/>
      <c r="F11" s="1677"/>
      <c r="G11" s="1677"/>
      <c r="H11" s="1677"/>
      <c r="I11" s="1677"/>
      <c r="J11" s="1677"/>
      <c r="K11" s="1677"/>
      <c r="L11" s="1677"/>
      <c r="M11" s="1677"/>
      <c r="N11" s="1677"/>
      <c r="O11" s="1677"/>
      <c r="P11" s="1677"/>
      <c r="Q11" s="1677"/>
      <c r="R11" s="1677"/>
      <c r="S11" s="1678"/>
      <c r="T11" s="1695">
        <f>IF('Sources and Basis Breakdown'!F107=0,'Sources and Basis Breakdown'!E107,'Sources and Basis Breakdown'!F107)</f>
        <v>42938940.755891465</v>
      </c>
      <c r="U11" s="1696"/>
      <c r="V11" s="1696"/>
      <c r="W11" s="1696"/>
      <c r="X11" s="1696"/>
      <c r="Y11" s="1695">
        <f>IF(Y7=" ",0,IF('Sources and Basis Breakdown'!G107+'Sources and Basis Breakdown'!F107='Sources and Basis Breakdown'!E107,'Sources and Basis Breakdown'!G107,0))</f>
        <v>0</v>
      </c>
      <c r="Z11" s="1696"/>
      <c r="AA11" s="1696"/>
      <c r="AB11" s="1696"/>
      <c r="AC11" s="1696"/>
      <c r="AD11" s="1696">
        <f>IF('Sources and Basis Breakdown'!I107=0,'Sources and Basis Breakdown'!H107,'Sources and Basis Breakdown'!I107)</f>
        <v>0</v>
      </c>
      <c r="AE11" s="1696"/>
      <c r="AF11" s="1696"/>
      <c r="AG11" s="1696"/>
      <c r="AH11" s="1696"/>
      <c r="AI11" s="1696">
        <f>IF(Y7=" ",0,IF('Sources and Basis Breakdown'!I107+'Sources and Basis Breakdown'!J107='Sources and Basis Breakdown'!H107,'Sources and Basis Breakdown'!J107,0))</f>
        <v>0</v>
      </c>
      <c r="AJ11" s="1696"/>
      <c r="AK11" s="1696"/>
      <c r="AL11" s="1696"/>
      <c r="AM11" s="169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9" t="s">
        <v>544</v>
      </c>
      <c r="C12" s="1700"/>
      <c r="D12" s="1700"/>
      <c r="E12" s="1700"/>
      <c r="F12" s="1700"/>
      <c r="G12" s="1700"/>
      <c r="H12" s="1700"/>
      <c r="I12" s="1700"/>
      <c r="J12" s="1700"/>
      <c r="K12" s="1700"/>
      <c r="L12" s="1700"/>
      <c r="M12" s="1700"/>
      <c r="N12" s="1700"/>
      <c r="O12" s="1700"/>
      <c r="P12" s="1700"/>
      <c r="Q12" s="1700"/>
      <c r="R12" s="1700"/>
      <c r="S12" s="1701"/>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2" t="s">
        <v>545</v>
      </c>
      <c r="D13" s="1702"/>
      <c r="E13" s="1702"/>
      <c r="F13" s="1702"/>
      <c r="G13" s="1702"/>
      <c r="H13" s="1702"/>
      <c r="I13" s="1702"/>
      <c r="J13" s="1702"/>
      <c r="K13" s="1702"/>
      <c r="L13" s="1702"/>
      <c r="M13" s="1702"/>
      <c r="N13" s="1702"/>
      <c r="O13" s="1702"/>
      <c r="P13" s="1702"/>
      <c r="Q13" s="1702"/>
      <c r="R13" s="1702"/>
      <c r="S13" s="1703"/>
      <c r="T13" s="1691"/>
      <c r="U13" s="1692"/>
      <c r="V13" s="1692"/>
      <c r="W13" s="1692"/>
      <c r="X13" s="1692"/>
      <c r="Y13" s="1691"/>
      <c r="Z13" s="1692"/>
      <c r="AA13" s="1692"/>
      <c r="AB13" s="1692"/>
      <c r="AC13" s="1692"/>
      <c r="AD13" s="1692"/>
      <c r="AE13" s="1692"/>
      <c r="AF13" s="1692"/>
      <c r="AG13" s="1692"/>
      <c r="AH13" s="1692"/>
      <c r="AI13" s="1692"/>
      <c r="AJ13" s="1692"/>
      <c r="AK13" s="1692"/>
      <c r="AL13" s="1692"/>
      <c r="AM13" s="169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2" t="s">
        <v>546</v>
      </c>
      <c r="D14" s="1702"/>
      <c r="E14" s="1702"/>
      <c r="F14" s="1702"/>
      <c r="G14" s="1702"/>
      <c r="H14" s="1702"/>
      <c r="I14" s="1702"/>
      <c r="J14" s="1702"/>
      <c r="K14" s="1702"/>
      <c r="L14" s="1702"/>
      <c r="M14" s="1702"/>
      <c r="N14" s="1702"/>
      <c r="O14" s="1702"/>
      <c r="P14" s="1702"/>
      <c r="Q14" s="1702"/>
      <c r="R14" s="1702"/>
      <c r="S14" s="1703"/>
      <c r="T14" s="1679"/>
      <c r="U14" s="1680"/>
      <c r="V14" s="1680"/>
      <c r="W14" s="1680"/>
      <c r="X14" s="1680"/>
      <c r="Y14" s="1679"/>
      <c r="Z14" s="1680"/>
      <c r="AA14" s="1680"/>
      <c r="AB14" s="1680"/>
      <c r="AC14" s="1680"/>
      <c r="AD14" s="1680"/>
      <c r="AE14" s="1680"/>
      <c r="AF14" s="1680"/>
      <c r="AG14" s="1680"/>
      <c r="AH14" s="1680"/>
      <c r="AI14" s="1680"/>
      <c r="AJ14" s="1680"/>
      <c r="AK14" s="1680"/>
      <c r="AL14" s="1680"/>
      <c r="AM14" s="168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2" t="s">
        <v>547</v>
      </c>
      <c r="D15" s="1702"/>
      <c r="E15" s="1702"/>
      <c r="F15" s="1702"/>
      <c r="G15" s="1702"/>
      <c r="H15" s="1702"/>
      <c r="I15" s="1702"/>
      <c r="J15" s="1702"/>
      <c r="K15" s="1702"/>
      <c r="L15" s="1702"/>
      <c r="M15" s="1702"/>
      <c r="N15" s="1702"/>
      <c r="O15" s="1702"/>
      <c r="P15" s="1702"/>
      <c r="Q15" s="1702"/>
      <c r="R15" s="1702"/>
      <c r="S15" s="1703"/>
      <c r="T15" s="1679"/>
      <c r="U15" s="1680"/>
      <c r="V15" s="1680"/>
      <c r="W15" s="1680"/>
      <c r="X15" s="1680"/>
      <c r="Y15" s="1679"/>
      <c r="Z15" s="1680"/>
      <c r="AA15" s="1680"/>
      <c r="AB15" s="1680"/>
      <c r="AC15" s="1680"/>
      <c r="AD15" s="1680"/>
      <c r="AE15" s="1680"/>
      <c r="AF15" s="1680"/>
      <c r="AG15" s="1680"/>
      <c r="AH15" s="1680"/>
      <c r="AI15" s="1680"/>
      <c r="AJ15" s="1680"/>
      <c r="AK15" s="1680"/>
      <c r="AL15" s="1680"/>
      <c r="AM15" s="168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2" t="s">
        <v>888</v>
      </c>
      <c r="D16" s="1702"/>
      <c r="E16" s="1702"/>
      <c r="F16" s="1702"/>
      <c r="G16" s="1702"/>
      <c r="H16" s="1702"/>
      <c r="I16" s="1702"/>
      <c r="J16" s="1702"/>
      <c r="K16" s="1702"/>
      <c r="L16" s="1702"/>
      <c r="M16" s="1702"/>
      <c r="N16" s="1702"/>
      <c r="O16" s="1702"/>
      <c r="P16" s="1702"/>
      <c r="Q16" s="1702"/>
      <c r="R16" s="1702"/>
      <c r="S16" s="1703"/>
      <c r="T16" s="1679"/>
      <c r="U16" s="1680"/>
      <c r="V16" s="1680"/>
      <c r="W16" s="1680"/>
      <c r="X16" s="1680"/>
      <c r="Y16" s="1679"/>
      <c r="Z16" s="1680"/>
      <c r="AA16" s="1680"/>
      <c r="AB16" s="1680"/>
      <c r="AC16" s="1680"/>
      <c r="AD16" s="1680"/>
      <c r="AE16" s="1680"/>
      <c r="AF16" s="1680"/>
      <c r="AG16" s="1680"/>
      <c r="AH16" s="1680"/>
      <c r="AI16" s="1680"/>
      <c r="AJ16" s="1680"/>
      <c r="AK16" s="1680"/>
      <c r="AL16" s="1680"/>
      <c r="AM16" s="168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2" t="s">
        <v>548</v>
      </c>
      <c r="D17" s="1702"/>
      <c r="E17" s="1702"/>
      <c r="F17" s="1702"/>
      <c r="G17" s="1702"/>
      <c r="H17" s="1702"/>
      <c r="I17" s="1702"/>
      <c r="J17" s="1702"/>
      <c r="K17" s="1702"/>
      <c r="L17" s="1702"/>
      <c r="M17" s="1702"/>
      <c r="N17" s="1702"/>
      <c r="O17" s="1702"/>
      <c r="P17" s="1702"/>
      <c r="Q17" s="1702"/>
      <c r="R17" s="1702"/>
      <c r="S17" s="1703"/>
      <c r="T17" s="1679"/>
      <c r="U17" s="1680"/>
      <c r="V17" s="1680"/>
      <c r="W17" s="1680"/>
      <c r="X17" s="1680"/>
      <c r="Y17" s="1679"/>
      <c r="Z17" s="1680"/>
      <c r="AA17" s="1680"/>
      <c r="AB17" s="1680"/>
      <c r="AC17" s="1680"/>
      <c r="AD17" s="1680"/>
      <c r="AE17" s="1680"/>
      <c r="AF17" s="1680"/>
      <c r="AG17" s="1680"/>
      <c r="AH17" s="1680"/>
      <c r="AI17" s="1680"/>
      <c r="AJ17" s="1680"/>
      <c r="AK17" s="1680"/>
      <c r="AL17" s="1680"/>
      <c r="AM17" s="168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7" t="s">
        <v>1069</v>
      </c>
      <c r="D18" s="1697"/>
      <c r="E18" s="1697"/>
      <c r="F18" s="1697"/>
      <c r="G18" s="1697"/>
      <c r="H18" s="1697"/>
      <c r="I18" s="1697"/>
      <c r="J18" s="1697"/>
      <c r="K18" s="1697"/>
      <c r="L18" s="1697"/>
      <c r="M18" s="1697"/>
      <c r="N18" s="1697"/>
      <c r="O18" s="1697"/>
      <c r="P18" s="1697"/>
      <c r="Q18" s="1697"/>
      <c r="R18" s="1697"/>
      <c r="S18" s="1698"/>
      <c r="T18" s="1679"/>
      <c r="U18" s="1680"/>
      <c r="V18" s="1680"/>
      <c r="W18" s="1680"/>
      <c r="X18" s="1680"/>
      <c r="Y18" s="1679"/>
      <c r="Z18" s="1680"/>
      <c r="AA18" s="1680"/>
      <c r="AB18" s="1680"/>
      <c r="AC18" s="1680"/>
      <c r="AD18" s="1680"/>
      <c r="AE18" s="1680"/>
      <c r="AF18" s="1680"/>
      <c r="AG18" s="1680"/>
      <c r="AH18" s="1680"/>
      <c r="AI18" s="1680"/>
      <c r="AJ18" s="1680"/>
      <c r="AK18" s="1680"/>
      <c r="AL18" s="1680"/>
      <c r="AM18" s="168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7" t="s">
        <v>1069</v>
      </c>
      <c r="D19" s="1697"/>
      <c r="E19" s="1697"/>
      <c r="F19" s="1697"/>
      <c r="G19" s="1697"/>
      <c r="H19" s="1697"/>
      <c r="I19" s="1697"/>
      <c r="J19" s="1697"/>
      <c r="K19" s="1697"/>
      <c r="L19" s="1697"/>
      <c r="M19" s="1697"/>
      <c r="N19" s="1697"/>
      <c r="O19" s="1697"/>
      <c r="P19" s="1697"/>
      <c r="Q19" s="1697"/>
      <c r="R19" s="1697"/>
      <c r="S19" s="1698"/>
      <c r="T19" s="1679"/>
      <c r="U19" s="1680"/>
      <c r="V19" s="1680"/>
      <c r="W19" s="1680"/>
      <c r="X19" s="1680"/>
      <c r="Y19" s="1679"/>
      <c r="Z19" s="1680"/>
      <c r="AA19" s="1680"/>
      <c r="AB19" s="1680"/>
      <c r="AC19" s="1680"/>
      <c r="AD19" s="1680"/>
      <c r="AE19" s="1680"/>
      <c r="AF19" s="1680"/>
      <c r="AG19" s="1680"/>
      <c r="AH19" s="1680"/>
      <c r="AI19" s="1680"/>
      <c r="AJ19" s="1680"/>
      <c r="AK19" s="1680"/>
      <c r="AL19" s="1680"/>
      <c r="AM19" s="168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76" t="s">
        <v>549</v>
      </c>
      <c r="C20" s="1677"/>
      <c r="D20" s="1677"/>
      <c r="E20" s="1677"/>
      <c r="F20" s="1677"/>
      <c r="G20" s="1677"/>
      <c r="H20" s="1677"/>
      <c r="I20" s="1677"/>
      <c r="J20" s="1677"/>
      <c r="K20" s="1677"/>
      <c r="L20" s="1677"/>
      <c r="M20" s="1677"/>
      <c r="N20" s="1677"/>
      <c r="O20" s="1677"/>
      <c r="P20" s="1677"/>
      <c r="Q20" s="1677"/>
      <c r="R20" s="1677"/>
      <c r="S20" s="1678"/>
      <c r="T20" s="1666">
        <f>SUM(T13:X19)</f>
        <v>0</v>
      </c>
      <c r="U20" s="1665"/>
      <c r="V20" s="1665"/>
      <c r="W20" s="1665"/>
      <c r="X20" s="1665"/>
      <c r="Y20" s="1666">
        <f>SUM(Y13:AC19)</f>
        <v>0</v>
      </c>
      <c r="Z20" s="1665"/>
      <c r="AA20" s="1665"/>
      <c r="AB20" s="1665"/>
      <c r="AC20" s="1665"/>
      <c r="AD20" s="1670">
        <f>SUM(AD13:AH19)</f>
        <v>0</v>
      </c>
      <c r="AE20" s="1671"/>
      <c r="AF20" s="1671"/>
      <c r="AG20" s="1671"/>
      <c r="AH20" s="1666"/>
      <c r="AI20" s="1670">
        <f>SUM(AI13:AM19)</f>
        <v>0</v>
      </c>
      <c r="AJ20" s="1671"/>
      <c r="AK20" s="1671"/>
      <c r="AL20" s="1671"/>
      <c r="AM20" s="166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76" t="s">
        <v>1551</v>
      </c>
      <c r="C21" s="1677"/>
      <c r="D21" s="1677"/>
      <c r="E21" s="1677"/>
      <c r="F21" s="1677"/>
      <c r="G21" s="1677"/>
      <c r="H21" s="1677"/>
      <c r="I21" s="1677"/>
      <c r="J21" s="1677"/>
      <c r="K21" s="1677"/>
      <c r="L21" s="1677"/>
      <c r="M21" s="1677"/>
      <c r="N21" s="1677"/>
      <c r="O21" s="1677"/>
      <c r="P21" s="1677"/>
      <c r="Q21" s="1677"/>
      <c r="R21" s="1677"/>
      <c r="S21" s="1678"/>
      <c r="T21" s="1679"/>
      <c r="U21" s="1680"/>
      <c r="V21" s="1680"/>
      <c r="W21" s="1680"/>
      <c r="X21" s="1680"/>
      <c r="Y21" s="1679"/>
      <c r="Z21" s="1680"/>
      <c r="AA21" s="1680"/>
      <c r="AB21" s="1680"/>
      <c r="AC21" s="1680"/>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76" t="s">
        <v>550</v>
      </c>
      <c r="C22" s="1677"/>
      <c r="D22" s="1677"/>
      <c r="E22" s="1677"/>
      <c r="F22" s="1677"/>
      <c r="G22" s="1677"/>
      <c r="H22" s="1677"/>
      <c r="I22" s="1677"/>
      <c r="J22" s="1677"/>
      <c r="K22" s="1677"/>
      <c r="L22" s="1677"/>
      <c r="M22" s="1677"/>
      <c r="N22" s="1677"/>
      <c r="O22" s="1677"/>
      <c r="P22" s="1677"/>
      <c r="Q22" s="1677"/>
      <c r="R22" s="1677"/>
      <c r="S22" s="1678"/>
      <c r="T22" s="1715">
        <f>(T20+T21)*-1</f>
        <v>0</v>
      </c>
      <c r="U22" s="1716"/>
      <c r="V22" s="1716"/>
      <c r="W22" s="1716"/>
      <c r="X22" s="1716"/>
      <c r="Y22" s="1715">
        <f>(Y20+Y21)*-1</f>
        <v>0</v>
      </c>
      <c r="Z22" s="1716"/>
      <c r="AA22" s="1716"/>
      <c r="AB22" s="1716"/>
      <c r="AC22" s="1716"/>
      <c r="AD22" s="1717">
        <f>(AD20)*-1</f>
        <v>0</v>
      </c>
      <c r="AE22" s="1718"/>
      <c r="AF22" s="1718"/>
      <c r="AG22" s="1718"/>
      <c r="AH22" s="1715"/>
      <c r="AI22" s="1717">
        <f>(AI20)*-1</f>
        <v>0</v>
      </c>
      <c r="AJ22" s="1718"/>
      <c r="AK22" s="1718"/>
      <c r="AL22" s="1718"/>
      <c r="AM22" s="171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5" t="s">
        <v>551</v>
      </c>
      <c r="C23" s="1706"/>
      <c r="D23" s="1706"/>
      <c r="E23" s="1706"/>
      <c r="F23" s="1706"/>
      <c r="G23" s="1706"/>
      <c r="H23" s="1706"/>
      <c r="I23" s="1706"/>
      <c r="J23" s="1706"/>
      <c r="K23" s="1706"/>
      <c r="L23" s="1706"/>
      <c r="M23" s="1706"/>
      <c r="N23" s="1706"/>
      <c r="O23" s="1706"/>
      <c r="P23" s="1706"/>
      <c r="Q23" s="1706"/>
      <c r="R23" s="1706"/>
      <c r="S23" s="1707"/>
      <c r="T23" s="1666">
        <f>T11+T22</f>
        <v>42938940.755891465</v>
      </c>
      <c r="U23" s="1665"/>
      <c r="V23" s="1665"/>
      <c r="W23" s="1665"/>
      <c r="X23" s="1665"/>
      <c r="Y23" s="1666">
        <f>Y11+Y22</f>
        <v>0</v>
      </c>
      <c r="Z23" s="1665"/>
      <c r="AA23" s="1665"/>
      <c r="AB23" s="1665"/>
      <c r="AC23" s="1665"/>
      <c r="AD23" s="1666">
        <f>AD11+AD22</f>
        <v>0</v>
      </c>
      <c r="AE23" s="1665"/>
      <c r="AF23" s="1665"/>
      <c r="AG23" s="1665"/>
      <c r="AH23" s="1665"/>
      <c r="AI23" s="1666">
        <f>AI11+AI22</f>
        <v>0</v>
      </c>
      <c r="AJ23" s="1665"/>
      <c r="AK23" s="1665"/>
      <c r="AL23" s="1665"/>
      <c r="AM23" s="166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76" t="s">
        <v>1070</v>
      </c>
      <c r="C24" s="1677"/>
      <c r="D24" s="1677"/>
      <c r="E24" s="1677"/>
      <c r="F24" s="1677"/>
      <c r="G24" s="1677"/>
      <c r="H24" s="1677"/>
      <c r="I24" s="1677"/>
      <c r="J24" s="1677"/>
      <c r="K24" s="1677"/>
      <c r="L24" s="1677"/>
      <c r="M24" s="1677"/>
      <c r="N24" s="1677"/>
      <c r="O24" s="1677"/>
      <c r="P24" s="1677"/>
      <c r="Q24" s="1677"/>
      <c r="R24" s="1677"/>
      <c r="S24" s="1678"/>
      <c r="T24" s="1670">
        <f>Application!AD1004</f>
        <v>84802792.210000008</v>
      </c>
      <c r="U24" s="1671"/>
      <c r="V24" s="1671"/>
      <c r="W24" s="1671"/>
      <c r="X24" s="1671"/>
      <c r="Y24" s="1671"/>
      <c r="Z24" s="1671"/>
      <c r="AA24" s="1671"/>
      <c r="AB24" s="1671"/>
      <c r="AC24" s="1671"/>
      <c r="AD24" s="1671"/>
      <c r="AE24" s="1671"/>
      <c r="AF24" s="1671"/>
      <c r="AG24" s="1671"/>
      <c r="AH24" s="1671"/>
      <c r="AI24" s="1671"/>
      <c r="AJ24" s="1671"/>
      <c r="AK24" s="1671"/>
      <c r="AL24" s="1671"/>
      <c r="AM24" s="166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9" t="s">
        <v>1552</v>
      </c>
      <c r="C25" s="1710"/>
      <c r="D25" s="1710"/>
      <c r="E25" s="1710"/>
      <c r="F25" s="1710"/>
      <c r="G25" s="1710"/>
      <c r="H25" s="1710"/>
      <c r="I25" s="1710"/>
      <c r="J25" s="1710"/>
      <c r="K25" s="1710"/>
      <c r="L25" s="1710"/>
      <c r="M25" s="1710"/>
      <c r="N25" s="1710"/>
      <c r="O25" s="1710"/>
      <c r="P25" s="1710"/>
      <c r="Q25" s="1710"/>
      <c r="R25" s="1710"/>
      <c r="S25" s="1711"/>
      <c r="T25" s="1686">
        <f>IF(OR(Application!T196="yes",Application!T195="yes"),1.3,1)</f>
        <v>1</v>
      </c>
      <c r="U25" s="1687"/>
      <c r="V25" s="1687"/>
      <c r="W25" s="1687"/>
      <c r="X25" s="1687"/>
      <c r="Y25" s="1686">
        <v>1</v>
      </c>
      <c r="Z25" s="1687"/>
      <c r="AA25" s="1687"/>
      <c r="AB25" s="1687"/>
      <c r="AC25" s="1687"/>
      <c r="AD25" s="1686">
        <v>1</v>
      </c>
      <c r="AE25" s="1687"/>
      <c r="AF25" s="1687"/>
      <c r="AG25" s="1687"/>
      <c r="AH25" s="1688"/>
      <c r="AI25" s="1686">
        <v>1</v>
      </c>
      <c r="AJ25" s="1687"/>
      <c r="AK25" s="1687"/>
      <c r="AL25" s="1687"/>
      <c r="AM25" s="168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76" t="s">
        <v>552</v>
      </c>
      <c r="C26" s="1677"/>
      <c r="D26" s="1677"/>
      <c r="E26" s="1677"/>
      <c r="F26" s="1677"/>
      <c r="G26" s="1677"/>
      <c r="H26" s="1677"/>
      <c r="I26" s="1677"/>
      <c r="J26" s="1677"/>
      <c r="K26" s="1677"/>
      <c r="L26" s="1677"/>
      <c r="M26" s="1677"/>
      <c r="N26" s="1677"/>
      <c r="O26" s="1677"/>
      <c r="P26" s="1677"/>
      <c r="Q26" s="1677"/>
      <c r="R26" s="1677"/>
      <c r="S26" s="1678"/>
      <c r="T26" s="1689">
        <f>T23*T25</f>
        <v>42938940.755891465</v>
      </c>
      <c r="U26" s="1690"/>
      <c r="V26" s="1690"/>
      <c r="W26" s="1690"/>
      <c r="X26" s="1690"/>
      <c r="Y26" s="1689">
        <f>Y23*Y25</f>
        <v>0</v>
      </c>
      <c r="Z26" s="1690"/>
      <c r="AA26" s="1690"/>
      <c r="AB26" s="1690"/>
      <c r="AC26" s="1690"/>
      <c r="AD26" s="1689">
        <f>AD23*AD25</f>
        <v>0</v>
      </c>
      <c r="AE26" s="1690"/>
      <c r="AF26" s="1690"/>
      <c r="AG26" s="1690"/>
      <c r="AH26" s="1690"/>
      <c r="AI26" s="1689">
        <f>AI23*AI25</f>
        <v>0</v>
      </c>
      <c r="AJ26" s="1690"/>
      <c r="AK26" s="1690"/>
      <c r="AL26" s="1690"/>
      <c r="AM26" s="169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2" t="s">
        <v>461</v>
      </c>
      <c r="C27" s="1713"/>
      <c r="D27" s="1713"/>
      <c r="E27" s="1713"/>
      <c r="F27" s="1713"/>
      <c r="G27" s="1713"/>
      <c r="H27" s="1713"/>
      <c r="I27" s="1713"/>
      <c r="J27" s="1713"/>
      <c r="K27" s="1713"/>
      <c r="L27" s="1713"/>
      <c r="M27" s="1713"/>
      <c r="N27" s="1713"/>
      <c r="O27" s="1713"/>
      <c r="P27" s="1713"/>
      <c r="Q27" s="1713"/>
      <c r="R27" s="1713"/>
      <c r="S27" s="1714"/>
      <c r="T27" s="1684">
        <f>Application!$AG$432</f>
        <v>1</v>
      </c>
      <c r="U27" s="1685"/>
      <c r="V27" s="1685"/>
      <c r="W27" s="1685"/>
      <c r="X27" s="1685"/>
      <c r="Y27" s="1684">
        <f>Application!$AG$432</f>
        <v>1</v>
      </c>
      <c r="Z27" s="1685"/>
      <c r="AA27" s="1685"/>
      <c r="AB27" s="1685"/>
      <c r="AC27" s="1685"/>
      <c r="AD27" s="1684">
        <f>Application!$AG$432</f>
        <v>1</v>
      </c>
      <c r="AE27" s="1685"/>
      <c r="AF27" s="1685"/>
      <c r="AG27" s="1685"/>
      <c r="AH27" s="1685"/>
      <c r="AI27" s="1684">
        <f>Application!$AG$432</f>
        <v>1</v>
      </c>
      <c r="AJ27" s="1685"/>
      <c r="AK27" s="1685"/>
      <c r="AL27" s="1685"/>
      <c r="AM27" s="168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76" t="s">
        <v>553</v>
      </c>
      <c r="C28" s="1677"/>
      <c r="D28" s="1677"/>
      <c r="E28" s="1677"/>
      <c r="F28" s="1677"/>
      <c r="G28" s="1677"/>
      <c r="H28" s="1677"/>
      <c r="I28" s="1677"/>
      <c r="J28" s="1677"/>
      <c r="K28" s="1677"/>
      <c r="L28" s="1677"/>
      <c r="M28" s="1677"/>
      <c r="N28" s="1677"/>
      <c r="O28" s="1677"/>
      <c r="P28" s="1677"/>
      <c r="Q28" s="1677"/>
      <c r="R28" s="1677"/>
      <c r="S28" s="1678"/>
      <c r="T28" s="1663">
        <f>IF(ISERROR((T26*T27)),0,(T26*T27))</f>
        <v>42938940.755891465</v>
      </c>
      <c r="U28" s="1664"/>
      <c r="V28" s="1664"/>
      <c r="W28" s="1664"/>
      <c r="X28" s="1664"/>
      <c r="Y28" s="1663">
        <f>IF(ISERROR((Y26*Y27)),0,(Y26*Y27))</f>
        <v>0</v>
      </c>
      <c r="Z28" s="1664"/>
      <c r="AA28" s="1664"/>
      <c r="AB28" s="1664"/>
      <c r="AC28" s="1664"/>
      <c r="AD28" s="1663">
        <f>IF(ISERROR((AD26*AD27)),0,(AD26*AD27))</f>
        <v>0</v>
      </c>
      <c r="AE28" s="1664"/>
      <c r="AF28" s="1664"/>
      <c r="AG28" s="1664"/>
      <c r="AH28" s="1664"/>
      <c r="AI28" s="1663">
        <f>IF(ISERROR((AI26*AI27)),0,(AI26*AI27))</f>
        <v>0</v>
      </c>
      <c r="AJ28" s="1664"/>
      <c r="AK28" s="1664"/>
      <c r="AL28" s="1664"/>
      <c r="AM28" s="166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76" t="s">
        <v>570</v>
      </c>
      <c r="C29" s="1677"/>
      <c r="D29" s="1677"/>
      <c r="E29" s="1677"/>
      <c r="F29" s="1677"/>
      <c r="G29" s="1677"/>
      <c r="H29" s="1677"/>
      <c r="I29" s="1677"/>
      <c r="J29" s="1677"/>
      <c r="K29" s="1677"/>
      <c r="L29" s="1677"/>
      <c r="M29" s="1677"/>
      <c r="N29" s="1677"/>
      <c r="O29" s="1677"/>
      <c r="P29" s="1677"/>
      <c r="Q29" s="1677"/>
      <c r="R29" s="1677"/>
      <c r="S29" s="1678"/>
      <c r="T29" s="1670">
        <f>T28+Y28+AD28+AI28</f>
        <v>42938940.755891465</v>
      </c>
      <c r="U29" s="1671"/>
      <c r="V29" s="1671"/>
      <c r="W29" s="1671"/>
      <c r="X29" s="1671"/>
      <c r="Y29" s="1671"/>
      <c r="Z29" s="1671"/>
      <c r="AA29" s="1671"/>
      <c r="AB29" s="1671"/>
      <c r="AC29" s="1671"/>
      <c r="AD29" s="1671"/>
      <c r="AE29" s="1671"/>
      <c r="AF29" s="1671"/>
      <c r="AG29" s="1671"/>
      <c r="AH29" s="1671"/>
      <c r="AI29" s="1671"/>
      <c r="AJ29" s="1671"/>
      <c r="AK29" s="1671"/>
      <c r="AL29" s="1671"/>
      <c r="AM29" s="166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5" t="s">
        <v>1556</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5" t="s">
        <v>1553</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1386</v>
      </c>
      <c r="Z35" s="1672"/>
      <c r="AA35" s="1672"/>
      <c r="AB35" s="1672"/>
      <c r="AC35" s="1672"/>
      <c r="AD35" s="1673" t="s">
        <v>394</v>
      </c>
      <c r="AE35" s="1673"/>
      <c r="AF35" s="1673"/>
      <c r="AG35" s="1673"/>
      <c r="AH35" s="167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673"/>
      <c r="AE36" s="1673"/>
      <c r="AF36" s="1673"/>
      <c r="AG36" s="1673"/>
      <c r="AH36" s="167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673"/>
      <c r="AE37" s="1673"/>
      <c r="AF37" s="1673"/>
      <c r="AG37" s="1673"/>
      <c r="AH37" s="167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76" t="s">
        <v>553</v>
      </c>
      <c r="C38" s="1677"/>
      <c r="D38" s="1677"/>
      <c r="E38" s="1677"/>
      <c r="F38" s="1677"/>
      <c r="G38" s="1677"/>
      <c r="H38" s="1677"/>
      <c r="I38" s="1677"/>
      <c r="J38" s="1677"/>
      <c r="K38" s="1677"/>
      <c r="L38" s="1677"/>
      <c r="M38" s="1677"/>
      <c r="N38" s="1677"/>
      <c r="O38" s="1677"/>
      <c r="P38" s="1677"/>
      <c r="Q38" s="1677"/>
      <c r="R38" s="1677"/>
      <c r="S38" s="1677"/>
      <c r="T38" s="1677"/>
      <c r="U38" s="1677"/>
      <c r="V38" s="1677"/>
      <c r="W38" s="1677"/>
      <c r="X38" s="1678"/>
      <c r="Y38" s="1665">
        <f>IF(T24&gt;=(T23+Y23+AD23+AI23),T28+Y28,0)</f>
        <v>42938940.755891465</v>
      </c>
      <c r="Z38" s="1665"/>
      <c r="AA38" s="1665"/>
      <c r="AB38" s="1665"/>
      <c r="AC38" s="1665"/>
      <c r="AD38" s="1665">
        <f>IF(T24&gt;=(T23+Y23+AD23+AI23),AD28+AI28,0)</f>
        <v>0</v>
      </c>
      <c r="AE38" s="1665"/>
      <c r="AF38" s="1665"/>
      <c r="AG38" s="1665"/>
      <c r="AH38" s="166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76" t="s">
        <v>1554</v>
      </c>
      <c r="C39" s="1677"/>
      <c r="D39" s="1677"/>
      <c r="E39" s="1677"/>
      <c r="F39" s="1677"/>
      <c r="G39" s="1677"/>
      <c r="H39" s="1677"/>
      <c r="I39" s="1677"/>
      <c r="J39" s="1677"/>
      <c r="K39" s="1677"/>
      <c r="L39" s="1677"/>
      <c r="M39" s="1677"/>
      <c r="N39" s="1677"/>
      <c r="O39" s="1677"/>
      <c r="P39" s="1677"/>
      <c r="Q39" s="1677"/>
      <c r="R39" s="1677"/>
      <c r="S39" s="1677"/>
      <c r="T39" s="1677"/>
      <c r="U39" s="1677"/>
      <c r="V39" s="1677"/>
      <c r="W39" s="1677"/>
      <c r="X39" s="1678"/>
      <c r="Y39" s="1674">
        <v>3.2399999999999998E-2</v>
      </c>
      <c r="Z39" s="1674"/>
      <c r="AA39" s="1674"/>
      <c r="AB39" s="1674"/>
      <c r="AC39" s="1674"/>
      <c r="AD39" s="1674">
        <v>3.2399999999999998E-2</v>
      </c>
      <c r="AE39" s="1674"/>
      <c r="AF39" s="1674"/>
      <c r="AG39" s="1674"/>
      <c r="AH39" s="167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76" t="s">
        <v>693</v>
      </c>
      <c r="C40" s="1677"/>
      <c r="D40" s="1677"/>
      <c r="E40" s="1677"/>
      <c r="F40" s="1677"/>
      <c r="G40" s="1677"/>
      <c r="H40" s="1677"/>
      <c r="I40" s="1677"/>
      <c r="J40" s="1677"/>
      <c r="K40" s="1677"/>
      <c r="L40" s="1677"/>
      <c r="M40" s="1677"/>
      <c r="N40" s="1677"/>
      <c r="O40" s="1677"/>
      <c r="P40" s="1677"/>
      <c r="Q40" s="1677"/>
      <c r="R40" s="1677"/>
      <c r="S40" s="1677"/>
      <c r="T40" s="1677"/>
      <c r="U40" s="1677"/>
      <c r="V40" s="1677"/>
      <c r="W40" s="1677"/>
      <c r="X40" s="1678"/>
      <c r="Y40" s="1665">
        <f>ROUND(Y38*Y39,0)</f>
        <v>1391222</v>
      </c>
      <c r="Z40" s="1665"/>
      <c r="AA40" s="1665"/>
      <c r="AB40" s="1665"/>
      <c r="AC40" s="1665"/>
      <c r="AD40" s="1666">
        <f>ROUND(AD38*AD39,0)</f>
        <v>0</v>
      </c>
      <c r="AE40" s="1665"/>
      <c r="AF40" s="1665"/>
      <c r="AG40" s="1665"/>
      <c r="AH40" s="166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76" t="s">
        <v>694</v>
      </c>
      <c r="C41" s="1677"/>
      <c r="D41" s="1677"/>
      <c r="E41" s="1677"/>
      <c r="F41" s="1677"/>
      <c r="G41" s="1677"/>
      <c r="H41" s="1677"/>
      <c r="I41" s="1677"/>
      <c r="J41" s="1677"/>
      <c r="K41" s="1677"/>
      <c r="L41" s="1677"/>
      <c r="M41" s="1677"/>
      <c r="N41" s="1677"/>
      <c r="O41" s="1677"/>
      <c r="P41" s="1677"/>
      <c r="Q41" s="1677"/>
      <c r="R41" s="1677"/>
      <c r="S41" s="1677"/>
      <c r="T41" s="1677"/>
      <c r="U41" s="1677"/>
      <c r="V41" s="1677"/>
      <c r="W41" s="1677"/>
      <c r="X41" s="1678"/>
      <c r="Y41" s="1667">
        <f>Y40+AD40</f>
        <v>1391222</v>
      </c>
      <c r="Z41" s="1668"/>
      <c r="AA41" s="1668"/>
      <c r="AB41" s="1668"/>
      <c r="AC41" s="1668"/>
      <c r="AD41" s="1668"/>
      <c r="AE41" s="1668"/>
      <c r="AF41" s="1668"/>
      <c r="AG41" s="1668"/>
      <c r="AH41" s="166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8" t="s">
        <v>1555</v>
      </c>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2" t="s">
        <v>1586</v>
      </c>
      <c r="B44" s="1662"/>
      <c r="C44" s="1662"/>
      <c r="D44" s="1662"/>
      <c r="E44" s="1662"/>
      <c r="F44" s="1662"/>
      <c r="G44" s="1662"/>
      <c r="H44" s="1662"/>
      <c r="I44" s="1662"/>
      <c r="J44" s="1662"/>
      <c r="K44" s="1662"/>
      <c r="L44" s="1662"/>
      <c r="M44" s="1662"/>
      <c r="N44" s="1662"/>
      <c r="O44" s="1662"/>
      <c r="P44" s="1662"/>
      <c r="Q44" s="1662"/>
      <c r="R44" s="1662"/>
      <c r="S44" s="1662"/>
      <c r="T44" s="1662"/>
      <c r="U44" s="1662"/>
      <c r="V44" s="1662"/>
      <c r="W44" s="1662"/>
      <c r="X44" s="1662"/>
      <c r="Y44" s="1662"/>
      <c r="Z44" s="1662"/>
      <c r="AA44" s="1662"/>
      <c r="AB44" s="1662"/>
      <c r="AC44" s="1662"/>
      <c r="AD44" s="1662"/>
      <c r="AE44" s="1662"/>
      <c r="AF44" s="1662"/>
      <c r="AG44" s="1662"/>
      <c r="AH44" s="1662"/>
      <c r="AI44" s="1662"/>
      <c r="AJ44" s="1662"/>
      <c r="AK44" s="1662"/>
      <c r="AL44" s="1662"/>
      <c r="AM44" s="1662"/>
      <c r="AN44" s="1662"/>
      <c r="AO44" s="1662"/>
      <c r="AP44" s="1662"/>
      <c r="AQ44" s="1662"/>
      <c r="AR44" s="1662"/>
      <c r="AS44" s="1662"/>
      <c r="AT44" s="1662"/>
      <c r="AU44" s="1662"/>
      <c r="AV44" s="1662"/>
      <c r="AW44" s="1662"/>
      <c r="AX44" s="1662"/>
      <c r="AY44" s="1662"/>
      <c r="AZ44" s="1662"/>
      <c r="BA44" s="1662"/>
      <c r="BB44" s="1662"/>
      <c r="BC44" s="1662"/>
      <c r="BD44" s="1662"/>
      <c r="BE44" s="1662"/>
      <c r="BF44" s="1662"/>
      <c r="BG44" s="1662"/>
      <c r="BH44" s="1662"/>
      <c r="BI44" s="1662"/>
      <c r="BJ44" s="1662"/>
      <c r="BK44" s="1662"/>
      <c r="BL44" s="1662"/>
      <c r="BM44" s="1662"/>
      <c r="BN44" s="1662"/>
      <c r="BO44" s="1662"/>
      <c r="BP44" s="1662"/>
      <c r="BQ44" s="1662"/>
      <c r="BR44" s="1662"/>
      <c r="BS44" s="1662"/>
      <c r="BT44" s="1662"/>
      <c r="BU44" s="1662"/>
      <c r="BV44" s="1662"/>
      <c r="BW44" s="1662"/>
      <c r="BX44" s="166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6">
        <f>'Sources and Uses Budget'!B105-'Sources and Uses Budget'!B15</f>
        <v>46976151.974341072</v>
      </c>
      <c r="AC47" s="1657"/>
      <c r="AD47" s="1657"/>
      <c r="AE47" s="1657"/>
      <c r="AF47" s="165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6">
        <f>Application!AG630-MIN('Sources and Uses Budget'!B15,Application!AG390)</f>
        <v>28929129.869343683</v>
      </c>
      <c r="AC48" s="1657"/>
      <c r="AD48" s="1657"/>
      <c r="AE48" s="1657"/>
      <c r="AF48" s="165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6">
        <f>AB47-AB48</f>
        <v>18047022.104997389</v>
      </c>
      <c r="AC49" s="1657"/>
      <c r="AD49" s="1657"/>
      <c r="AE49" s="1657"/>
      <c r="AF49" s="165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6">
        <v>0.94</v>
      </c>
      <c r="AC50" s="1647"/>
      <c r="AD50" s="1647"/>
      <c r="AE50" s="1647"/>
      <c r="AF50" s="164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5" t="s">
        <v>1182</v>
      </c>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5"/>
      <c r="F52" s="1655"/>
      <c r="G52" s="1655"/>
      <c r="H52" s="1655"/>
      <c r="I52" s="1655"/>
      <c r="J52" s="1655"/>
      <c r="K52" s="1655"/>
      <c r="L52" s="1655"/>
      <c r="M52" s="1655"/>
      <c r="N52" s="1655"/>
      <c r="O52" s="1655"/>
      <c r="P52" s="1655"/>
      <c r="Q52" s="1655"/>
      <c r="R52" s="1655"/>
      <c r="S52" s="1655"/>
      <c r="T52" s="1655"/>
      <c r="U52" s="1655"/>
      <c r="V52" s="1655"/>
      <c r="W52" s="1655"/>
      <c r="X52" s="1655"/>
      <c r="Y52" s="1655"/>
      <c r="Z52" s="165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6">
        <f>ROUND(IF(ISERROR((AB49/AB50)),0,(AB49/AB50)),0)</f>
        <v>19198960</v>
      </c>
      <c r="AC54" s="1657"/>
      <c r="AD54" s="1657"/>
      <c r="AE54" s="1657"/>
      <c r="AF54" s="165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6">
        <f>(AB54/10)</f>
        <v>1919896</v>
      </c>
      <c r="AC55" s="1657"/>
      <c r="AD55" s="1657"/>
      <c r="AE55" s="1657"/>
      <c r="AF55" s="165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9">
        <f>(IF((Y41&lt;AB55),Y41,AB55))</f>
        <v>1391222</v>
      </c>
      <c r="AC56" s="1660"/>
      <c r="AD56" s="1660"/>
      <c r="AE56" s="1660"/>
      <c r="AF56" s="166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6">
        <f>ROUND((10*AB56*AB50),0)</f>
        <v>13077487</v>
      </c>
      <c r="AC57" s="1657"/>
      <c r="AD57" s="1657"/>
      <c r="AE57" s="1657"/>
      <c r="AF57" s="165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2">
        <f>AB49-AB57</f>
        <v>4969535.104997389</v>
      </c>
      <c r="AC59" s="1642"/>
      <c r="AD59" s="1642"/>
      <c r="AE59" s="1642"/>
      <c r="AF59" s="164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2" t="str">
        <f>IF(Application!AF204="yes","Farmworker State Credit", "$500M State Credit" )</f>
        <v>$500M State Credit</v>
      </c>
      <c r="B61" s="1662"/>
      <c r="C61" s="1662"/>
      <c r="D61" s="1662"/>
      <c r="E61" s="1662"/>
      <c r="F61" s="1662"/>
      <c r="G61" s="1662"/>
      <c r="H61" s="1662"/>
      <c r="I61" s="1662"/>
      <c r="J61" s="1662"/>
      <c r="K61" s="1662"/>
      <c r="L61" s="1662"/>
      <c r="M61" s="1662"/>
      <c r="N61" s="1662"/>
      <c r="O61" s="1662"/>
      <c r="P61" s="1662"/>
      <c r="Q61" s="1662"/>
      <c r="R61" s="1662"/>
      <c r="S61" s="1662"/>
      <c r="T61" s="1662"/>
      <c r="U61" s="1662"/>
      <c r="V61" s="1662"/>
      <c r="W61" s="1662"/>
      <c r="X61" s="1662"/>
      <c r="Y61" s="1662"/>
      <c r="Z61" s="1662"/>
      <c r="AA61" s="1662"/>
      <c r="AB61" s="1662"/>
      <c r="AC61" s="1662"/>
      <c r="AD61" s="1662"/>
      <c r="AE61" s="1662"/>
      <c r="AF61" s="1662"/>
      <c r="AG61" s="1662"/>
      <c r="AH61" s="1662"/>
      <c r="AI61" s="1662"/>
      <c r="AJ61" s="1662"/>
      <c r="AK61" s="1662"/>
      <c r="AL61" s="1662"/>
      <c r="AM61" s="1662"/>
      <c r="AN61" s="1662"/>
      <c r="AO61" s="1662"/>
      <c r="AP61" s="1662"/>
      <c r="AQ61" s="1662"/>
      <c r="AR61" s="1662"/>
      <c r="AS61" s="1662"/>
      <c r="AT61" s="1662"/>
      <c r="AU61" s="1662"/>
      <c r="AV61" s="1662"/>
      <c r="AW61" s="1662"/>
      <c r="AX61" s="1662"/>
      <c r="AY61" s="1662"/>
      <c r="AZ61" s="1662"/>
      <c r="BA61" s="1662"/>
      <c r="BB61" s="1662"/>
      <c r="BC61" s="1662"/>
      <c r="BD61" s="1662"/>
      <c r="BE61" s="1662"/>
      <c r="BF61" s="1662"/>
      <c r="BG61" s="1662"/>
      <c r="BH61" s="1662"/>
      <c r="BI61" s="1662"/>
      <c r="BJ61" s="1662"/>
      <c r="BK61" s="1662"/>
      <c r="BL61" s="1662"/>
      <c r="BM61" s="1662"/>
      <c r="BN61" s="1662"/>
      <c r="BO61" s="1662"/>
      <c r="BP61" s="1662"/>
      <c r="BQ61" s="1662"/>
      <c r="BR61" s="1662"/>
      <c r="BS61" s="1662"/>
      <c r="BT61" s="1662"/>
      <c r="BU61" s="1662"/>
      <c r="BV61" s="1662"/>
      <c r="BW61" s="1662"/>
      <c r="BX61" s="166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50" t="s">
        <v>1101</v>
      </c>
      <c r="Z63" s="1650"/>
      <c r="AA63" s="1650"/>
      <c r="AB63" s="1650"/>
      <c r="AC63" s="1650"/>
      <c r="AD63" s="1650" t="s">
        <v>394</v>
      </c>
      <c r="AE63" s="1650"/>
      <c r="AF63" s="1650"/>
      <c r="AG63" s="1650"/>
      <c r="AH63" s="165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51">
        <f>IF(OR(Application!M350="yes",Application!AF204="yes"),(T23*T27)+Y28,0)</f>
        <v>42938940.755891465</v>
      </c>
      <c r="Z64" s="1652"/>
      <c r="AA64" s="1652"/>
      <c r="AB64" s="1652"/>
      <c r="AC64" s="1653"/>
      <c r="AD64" s="1651">
        <f>IF(AND(Application!AF204="yes",Application!M353="yes"),AD28+AI28,0)</f>
        <v>0</v>
      </c>
      <c r="AE64" s="1652"/>
      <c r="AF64" s="1652"/>
      <c r="AG64" s="1652"/>
      <c r="AH64" s="165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4" t="s">
        <v>1536</v>
      </c>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4"/>
      <c r="F66" s="1654"/>
      <c r="G66" s="1654"/>
      <c r="H66" s="1654"/>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4"/>
      <c r="AF66" s="1654"/>
      <c r="AG66" s="1654"/>
      <c r="AH66" s="165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3">
        <f>IF(Application!AF204="yes",0.75,0.3)</f>
        <v>0.3</v>
      </c>
      <c r="Z67" s="1643"/>
      <c r="AA67" s="1643"/>
      <c r="AB67" s="1643"/>
      <c r="AC67" s="1643"/>
      <c r="AD67" s="1643">
        <f>IF(Application!AF204="yes",0.75,0.3)</f>
        <v>0.3</v>
      </c>
      <c r="AE67" s="1643"/>
      <c r="AF67" s="1643"/>
      <c r="AG67" s="1643"/>
      <c r="AH67" s="164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4">
        <f>ROUND(Y64*Y67,0)</f>
        <v>12881682</v>
      </c>
      <c r="Z68" s="1645"/>
      <c r="AA68" s="1645"/>
      <c r="AB68" s="1645"/>
      <c r="AC68" s="1645"/>
      <c r="AD68" s="1644" t="str">
        <f>IF(Application!D210="At-Risk",AD64*AD67,"$0")</f>
        <v>$0</v>
      </c>
      <c r="AE68" s="1645"/>
      <c r="AF68" s="1645"/>
      <c r="AG68" s="1645"/>
      <c r="AH68" s="164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6">
        <v>0.79</v>
      </c>
      <c r="AC71" s="1647"/>
      <c r="AD71" s="1647"/>
      <c r="AE71" s="1647"/>
      <c r="AF71" s="164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9" t="s">
        <v>1539</v>
      </c>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164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164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9"/>
      <c r="F74" s="1649"/>
      <c r="G74" s="1649"/>
      <c r="H74" s="1649"/>
      <c r="I74" s="1649"/>
      <c r="J74" s="1649"/>
      <c r="K74" s="1649"/>
      <c r="L74" s="1649"/>
      <c r="M74" s="1649"/>
      <c r="N74" s="1649"/>
      <c r="O74" s="1649"/>
      <c r="P74" s="1649"/>
      <c r="Q74" s="1649"/>
      <c r="R74" s="1649"/>
      <c r="S74" s="1649"/>
      <c r="T74" s="1649"/>
      <c r="U74" s="1649"/>
      <c r="V74" s="1649"/>
      <c r="W74" s="1649"/>
      <c r="X74" s="1649"/>
      <c r="Y74" s="1649"/>
      <c r="Z74" s="1649"/>
      <c r="AA74" s="164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7">
        <f>ROUND(IF(ISERROR((AB59/AB71)),0,(AB59/AB71)),0)</f>
        <v>6290551</v>
      </c>
      <c r="AC76" s="1637"/>
      <c r="AD76" s="1637"/>
      <c r="AE76" s="1637"/>
      <c r="AF76" s="163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8">
        <f>IF((Y68+AD68&lt;AB76),Y68+AD68,AB76)</f>
        <v>6290551</v>
      </c>
      <c r="AC77" s="1639"/>
      <c r="AD77" s="1639"/>
      <c r="AE77" s="1639"/>
      <c r="AF77" s="164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1">
        <f>AB77*AB71</f>
        <v>4969535.29</v>
      </c>
      <c r="AC78" s="1641"/>
      <c r="AD78" s="1641"/>
      <c r="AE78" s="1641"/>
      <c r="AF78" s="164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2">
        <f>AB49-(AB57+AB78)</f>
        <v>-0.18500261008739471</v>
      </c>
      <c r="AC80" s="1642"/>
      <c r="AD80" s="1642"/>
      <c r="AE80" s="1642"/>
      <c r="AF80" s="164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2" t="s">
        <v>1587</v>
      </c>
      <c r="B83" s="1662"/>
      <c r="C83" s="1662"/>
      <c r="D83" s="1662"/>
      <c r="E83" s="1662"/>
      <c r="F83" s="1662"/>
      <c r="G83" s="1662"/>
      <c r="H83" s="1662"/>
      <c r="I83" s="1662"/>
      <c r="J83" s="1662"/>
      <c r="K83" s="1662"/>
      <c r="L83" s="1662"/>
      <c r="M83" s="1662"/>
      <c r="N83" s="1662"/>
      <c r="O83" s="1662"/>
      <c r="P83" s="1662"/>
      <c r="Q83" s="1662"/>
      <c r="R83" s="1662"/>
      <c r="S83" s="1662"/>
      <c r="T83" s="1662"/>
      <c r="U83" s="1662"/>
      <c r="V83" s="1662"/>
      <c r="W83" s="1662"/>
      <c r="X83" s="1662"/>
      <c r="Y83" s="1662"/>
      <c r="Z83" s="1662"/>
      <c r="AA83" s="1662"/>
      <c r="AB83" s="1662"/>
      <c r="AC83" s="1662"/>
      <c r="AD83" s="1662"/>
      <c r="AE83" s="1662"/>
      <c r="AF83" s="1662"/>
      <c r="AG83" s="1662"/>
      <c r="AH83" s="1662"/>
      <c r="AI83" s="1662"/>
      <c r="AJ83" s="1662"/>
      <c r="AK83" s="1662"/>
      <c r="AL83" s="1662"/>
      <c r="AM83" s="1662"/>
      <c r="AN83" s="1662"/>
      <c r="AO83" s="1662"/>
      <c r="AP83" s="1662"/>
      <c r="AQ83" s="1662"/>
      <c r="AR83" s="1662"/>
      <c r="AS83" s="1662"/>
      <c r="AT83" s="1662"/>
      <c r="AU83" s="1662"/>
      <c r="AV83" s="1662"/>
      <c r="AW83" s="1662"/>
      <c r="AX83" s="1662"/>
      <c r="AY83" s="1662"/>
      <c r="AZ83" s="1662"/>
      <c r="BA83" s="1662"/>
      <c r="BB83" s="1662"/>
      <c r="BC83" s="1662"/>
      <c r="BD83" s="1662"/>
      <c r="BE83" s="1662"/>
      <c r="BF83" s="1662"/>
      <c r="BG83" s="1662"/>
      <c r="BH83" s="1662"/>
      <c r="BI83" s="1662"/>
      <c r="BJ83" s="1662"/>
      <c r="BK83" s="1662"/>
      <c r="BL83" s="1662"/>
      <c r="BM83" s="1662"/>
      <c r="BN83" s="1662"/>
      <c r="BO83" s="1662"/>
      <c r="BP83" s="1662"/>
      <c r="BQ83" s="1662"/>
      <c r="BR83" s="1662"/>
      <c r="BS83" s="1662"/>
      <c r="BT83" s="1662"/>
      <c r="BU83" s="1662"/>
      <c r="BV83" s="1662"/>
      <c r="BW83" s="1662"/>
      <c r="BX83" s="1662"/>
    </row>
    <row r="84" spans="1:98" ht="13.5" thickTop="1"/>
    <row r="85" spans="1:98" ht="12.75">
      <c r="A85" s="819" t="s">
        <v>643</v>
      </c>
      <c r="C85" s="344" t="s">
        <v>1585</v>
      </c>
    </row>
    <row r="86" spans="1:98" ht="12.75">
      <c r="D86" s="344" t="s">
        <v>1642</v>
      </c>
      <c r="AB86" s="1704">
        <f>IF(A61="$500M State Credit",AB77/(Application!AG424-Application!AG425),"N/A")</f>
        <v>59910.009523809524</v>
      </c>
      <c r="AC86" s="1704"/>
      <c r="AD86" s="1704"/>
      <c r="AE86" s="1704"/>
      <c r="AF86" s="1704"/>
    </row>
    <row r="87" spans="1:98" ht="13.5" thickBot="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B/5Get9AEo6qgTWPF21QrXwxFtdF1NHmQOY0u3gQ4hUPw8xaLQuDONhoDinGQubQEHY1o2/FenLWAGodS3dhyQ==" saltValue="WuoI1t1g3IVd7JsPUhWiPA==" spinCount="100000" sheet="1" objects="1" scenarios="1"/>
  <mergeCells count="139">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8:AM2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AD12:AH12"/>
    <mergeCell ref="AI12:AM12"/>
    <mergeCell ref="T13:X13"/>
    <mergeCell ref="Y13:AC13"/>
    <mergeCell ref="AD13:AH13"/>
    <mergeCell ref="AI13:AM13"/>
    <mergeCell ref="T18:X18"/>
    <mergeCell ref="Y18:AC18"/>
    <mergeCell ref="AD18:AH18"/>
    <mergeCell ref="AI18:AM18"/>
    <mergeCell ref="T14:X14"/>
    <mergeCell ref="Y14:AC14"/>
    <mergeCell ref="AD14:AH14"/>
    <mergeCell ref="AI14:AM14"/>
    <mergeCell ref="T15:X15"/>
    <mergeCell ref="Y15:AC15"/>
    <mergeCell ref="AD15:AH15"/>
    <mergeCell ref="AI15:AM15"/>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T20:X20"/>
    <mergeCell ref="Y20:AC20"/>
    <mergeCell ref="AD20:AH20"/>
    <mergeCell ref="AI20:AM20"/>
    <mergeCell ref="T21:X21"/>
    <mergeCell ref="Y21:AC21"/>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8:X28"/>
    <mergeCell ref="Y28:AC28"/>
    <mergeCell ref="AD28:AH28"/>
    <mergeCell ref="Y40:AC40"/>
    <mergeCell ref="AD40:AH40"/>
    <mergeCell ref="Y41:AH41"/>
    <mergeCell ref="AB47:AF47"/>
    <mergeCell ref="AB48:AF48"/>
    <mergeCell ref="AB49:AF49"/>
    <mergeCell ref="T29:AM29"/>
    <mergeCell ref="Y35:AC37"/>
    <mergeCell ref="AD35:AH37"/>
    <mergeCell ref="Y38:AC38"/>
    <mergeCell ref="AD38:AH38"/>
    <mergeCell ref="Y39:AC39"/>
    <mergeCell ref="AD39:AH39"/>
    <mergeCell ref="B31:AM31"/>
    <mergeCell ref="B29:S29"/>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85" zoomScaleNormal="85" zoomScaleSheetLayoutView="100" workbookViewId="0">
      <pane xSplit="4" ySplit="3" topLeftCell="E28" activePane="bottomRight" state="frozen"/>
      <selection pane="topRight" activeCell="E1" sqref="E1"/>
      <selection pane="bottomLeft" activeCell="A4" sqref="A4"/>
      <selection pane="bottomRight" activeCell="A35" sqref="A3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877680</v>
      </c>
      <c r="G4" s="366">
        <f>E4*$C$4</f>
        <v>899621.99999999988</v>
      </c>
      <c r="I4" s="366">
        <f>G4*$C$4</f>
        <v>922112.54999999981</v>
      </c>
      <c r="K4" s="366">
        <f>I4*$C$4</f>
        <v>945165.36374999967</v>
      </c>
      <c r="M4" s="366">
        <f>K4*$C$4</f>
        <v>968794.49784374959</v>
      </c>
      <c r="O4" s="366">
        <f>M4*$C$4</f>
        <v>993014.36028984329</v>
      </c>
      <c r="Q4" s="366">
        <f>O4*$C$4</f>
        <v>1017839.7192970893</v>
      </c>
      <c r="S4" s="366">
        <f>Q4*$C$4</f>
        <v>1043285.7122795164</v>
      </c>
      <c r="U4" s="366">
        <f>S4*$C$4</f>
        <v>1069367.8550865042</v>
      </c>
      <c r="W4" s="366">
        <f>U4*$C$4</f>
        <v>1096102.0514636668</v>
      </c>
      <c r="Y4" s="366">
        <f>W4*$C$4</f>
        <v>1123504.6027502585</v>
      </c>
      <c r="AA4" s="366">
        <f>Y4*$C$4</f>
        <v>1151592.2178190148</v>
      </c>
      <c r="AC4" s="366">
        <f>AA4*$C$4</f>
        <v>1180382.0232644901</v>
      </c>
      <c r="AE4" s="366">
        <f>AC4*$C$4</f>
        <v>1209891.5738461022</v>
      </c>
      <c r="AG4" s="366">
        <f>AE4*$C$4</f>
        <v>1240138.8631922547</v>
      </c>
    </row>
    <row r="5" spans="1:34" s="350" customFormat="1" ht="14.25">
      <c r="B5" s="350" t="s">
        <v>925</v>
      </c>
      <c r="C5" s="391">
        <f>IF(Application!$D$210="Special Needs",0.1,0.05)</f>
        <v>0.05</v>
      </c>
      <c r="E5" s="368">
        <f>-E4*$C$5</f>
        <v>-43884</v>
      </c>
      <c r="F5" s="368"/>
      <c r="G5" s="368">
        <f>-G4*$C$5</f>
        <v>-44981.1</v>
      </c>
      <c r="H5" s="368"/>
      <c r="I5" s="368">
        <f>-I4*$C$5</f>
        <v>-46105.627499999995</v>
      </c>
      <c r="J5" s="368"/>
      <c r="K5" s="368">
        <f>-K4*$C$5</f>
        <v>-47258.268187499983</v>
      </c>
      <c r="L5" s="368"/>
      <c r="M5" s="368">
        <f>-M4*$C$5</f>
        <v>-48439.724892187485</v>
      </c>
      <c r="N5" s="368"/>
      <c r="O5" s="368">
        <f>-O4*$C$5</f>
        <v>-49650.718014492166</v>
      </c>
      <c r="P5" s="368"/>
      <c r="Q5" s="368">
        <f>-Q4*$C$5</f>
        <v>-50891.985964854466</v>
      </c>
      <c r="R5" s="368"/>
      <c r="S5" s="368">
        <f>-S4*$C$5</f>
        <v>-52164.285613975822</v>
      </c>
      <c r="T5" s="368"/>
      <c r="U5" s="368">
        <f>-U4*$C$5</f>
        <v>-53468.392754325214</v>
      </c>
      <c r="V5" s="368"/>
      <c r="W5" s="368">
        <f>-W4*$C$5</f>
        <v>-54805.102573183343</v>
      </c>
      <c r="X5" s="368"/>
      <c r="Y5" s="368">
        <f>-Y4*$C$5</f>
        <v>-56175.230137512932</v>
      </c>
      <c r="Z5" s="368"/>
      <c r="AA5" s="368">
        <f>-AA4*$C$5</f>
        <v>-57579.610890950746</v>
      </c>
      <c r="AB5" s="368"/>
      <c r="AC5" s="368">
        <f>-AC4*$C$5</f>
        <v>-59019.101163224506</v>
      </c>
      <c r="AD5" s="368"/>
      <c r="AE5" s="368">
        <f>-AE4*$C$5</f>
        <v>-60494.578692305113</v>
      </c>
      <c r="AF5" s="368"/>
      <c r="AG5" s="368">
        <f>-AG4*$C$5</f>
        <v>-62006.94315961274</v>
      </c>
    </row>
    <row r="6" spans="1:34" s="350" customFormat="1" ht="14.25">
      <c r="A6" s="350" t="s">
        <v>923</v>
      </c>
      <c r="C6" s="390">
        <v>1.0249999999999999</v>
      </c>
      <c r="E6" s="369">
        <f>Application!Z789</f>
        <v>101832</v>
      </c>
      <c r="F6" s="369"/>
      <c r="G6" s="369">
        <f>E6*$C$6</f>
        <v>104377.79999999999</v>
      </c>
      <c r="H6" s="369"/>
      <c r="I6" s="369">
        <f>G6*$C$6</f>
        <v>106987.24499999998</v>
      </c>
      <c r="J6" s="369"/>
      <c r="K6" s="369">
        <f>I6*$C$6</f>
        <v>109661.92612499997</v>
      </c>
      <c r="L6" s="369"/>
      <c r="M6" s="369">
        <f>K6*$C$6</f>
        <v>112403.47427812495</v>
      </c>
      <c r="N6" s="369"/>
      <c r="O6" s="369">
        <f>M6*$C$6</f>
        <v>115213.56113507807</v>
      </c>
      <c r="P6" s="369"/>
      <c r="Q6" s="369">
        <f>O6*$C$6</f>
        <v>118093.90016345501</v>
      </c>
      <c r="R6" s="369"/>
      <c r="S6" s="369">
        <f>Q6*$C$6</f>
        <v>121046.24766754138</v>
      </c>
      <c r="T6" s="369"/>
      <c r="U6" s="369">
        <f>S6*$C$6</f>
        <v>124072.4038592299</v>
      </c>
      <c r="V6" s="369"/>
      <c r="W6" s="369">
        <f>U6*$C$6</f>
        <v>127174.21395571064</v>
      </c>
      <c r="X6" s="369"/>
      <c r="Y6" s="369">
        <f>W6*$C$6</f>
        <v>130353.5693046034</v>
      </c>
      <c r="Z6" s="369"/>
      <c r="AA6" s="369">
        <f>Y6*$C$6</f>
        <v>133612.40853721846</v>
      </c>
      <c r="AB6" s="369"/>
      <c r="AC6" s="369">
        <f>AA6*$C$6</f>
        <v>136952.7187506489</v>
      </c>
      <c r="AD6" s="369"/>
      <c r="AE6" s="369">
        <f>AC6*$C$6</f>
        <v>140376.5367194151</v>
      </c>
      <c r="AF6" s="369"/>
      <c r="AG6" s="369">
        <f>AE6*$C$6</f>
        <v>143885.95013740048</v>
      </c>
    </row>
    <row r="7" spans="1:34" s="350" customFormat="1" ht="14.25">
      <c r="B7" s="350" t="s">
        <v>925</v>
      </c>
      <c r="C7" s="391">
        <f>IF(Application!$D$210="Special Needs",0.1,0.05)</f>
        <v>0.05</v>
      </c>
      <c r="E7" s="368">
        <f>-E6*$C$7</f>
        <v>-5091.6000000000004</v>
      </c>
      <c r="F7" s="368"/>
      <c r="G7" s="368">
        <f>-G6*$C$7</f>
        <v>-5218.8899999999994</v>
      </c>
      <c r="H7" s="368"/>
      <c r="I7" s="368">
        <f>-I6*$C$7</f>
        <v>-5349.3622499999992</v>
      </c>
      <c r="J7" s="368"/>
      <c r="K7" s="368">
        <f>-K6*$C$7</f>
        <v>-5483.0963062499986</v>
      </c>
      <c r="L7" s="368"/>
      <c r="M7" s="368">
        <f>-M6*$C$7</f>
        <v>-5620.1737139062479</v>
      </c>
      <c r="N7" s="368"/>
      <c r="O7" s="368">
        <f>-O6*$C$7</f>
        <v>-5760.6780567539035</v>
      </c>
      <c r="P7" s="368"/>
      <c r="Q7" s="368">
        <f>-Q6*$C$7</f>
        <v>-5904.6950081727509</v>
      </c>
      <c r="R7" s="368"/>
      <c r="S7" s="368">
        <f>-S6*$C$7</f>
        <v>-6052.3123833770696</v>
      </c>
      <c r="T7" s="368"/>
      <c r="U7" s="368">
        <f>-U6*$C$7</f>
        <v>-6203.6201929614954</v>
      </c>
      <c r="V7" s="368"/>
      <c r="W7" s="368">
        <f>-W6*$C$7</f>
        <v>-6358.7106977855328</v>
      </c>
      <c r="X7" s="368"/>
      <c r="Y7" s="368">
        <f>-Y6*$C$7</f>
        <v>-6517.6784652301703</v>
      </c>
      <c r="Z7" s="368"/>
      <c r="AA7" s="368">
        <f>-AA6*$C$7</f>
        <v>-6680.6204268609235</v>
      </c>
      <c r="AB7" s="368"/>
      <c r="AC7" s="368">
        <f>-AC6*$C$7</f>
        <v>-6847.6359375324455</v>
      </c>
      <c r="AD7" s="368"/>
      <c r="AE7" s="368">
        <f>-AE6*$C$7</f>
        <v>-7018.8268359707554</v>
      </c>
      <c r="AF7" s="368"/>
      <c r="AG7" s="368">
        <f>-AG6*$C$7</f>
        <v>-7194.2975068700243</v>
      </c>
    </row>
    <row r="8" spans="1:34" s="350" customFormat="1" ht="14.25">
      <c r="A8" s="350" t="s">
        <v>307</v>
      </c>
      <c r="C8" s="390">
        <v>1.0249999999999999</v>
      </c>
      <c r="E8" s="369">
        <f>Application!Z797</f>
        <v>21420</v>
      </c>
      <c r="F8" s="369"/>
      <c r="G8" s="369">
        <f>E8*$C$8</f>
        <v>21955.499999999996</v>
      </c>
      <c r="H8" s="369"/>
      <c r="I8" s="369">
        <f>G8*$C$8</f>
        <v>22504.387499999993</v>
      </c>
      <c r="J8" s="369"/>
      <c r="K8" s="369">
        <f>I8*$C$8</f>
        <v>23066.99718749999</v>
      </c>
      <c r="L8" s="369"/>
      <c r="M8" s="369">
        <f>K8*$C$8</f>
        <v>23643.672117187489</v>
      </c>
      <c r="N8" s="369"/>
      <c r="O8" s="369">
        <f>M8*$C$8</f>
        <v>24234.763920117173</v>
      </c>
      <c r="P8" s="369"/>
      <c r="Q8" s="369">
        <f>O8*$C$8</f>
        <v>24840.633018120101</v>
      </c>
      <c r="R8" s="369"/>
      <c r="S8" s="369">
        <f>Q8*$C$8</f>
        <v>25461.648843573101</v>
      </c>
      <c r="T8" s="369"/>
      <c r="U8" s="369">
        <f>S8*$C$8</f>
        <v>26098.190064662427</v>
      </c>
      <c r="V8" s="369"/>
      <c r="W8" s="369">
        <f>U8*$C$8</f>
        <v>26750.644816278986</v>
      </c>
      <c r="X8" s="369"/>
      <c r="Y8" s="369">
        <f>W8*$C$8</f>
        <v>27419.410936685959</v>
      </c>
      <c r="Z8" s="369"/>
      <c r="AA8" s="369">
        <f>Y8*$C$8</f>
        <v>28104.896210103107</v>
      </c>
      <c r="AB8" s="369"/>
      <c r="AC8" s="369">
        <f>AA8*$C$8</f>
        <v>28807.518615355682</v>
      </c>
      <c r="AD8" s="369"/>
      <c r="AE8" s="369">
        <f>AC8*$C$8</f>
        <v>29527.70658073957</v>
      </c>
      <c r="AF8" s="369"/>
      <c r="AG8" s="369">
        <f>AE8*$C$8</f>
        <v>30265.899245258057</v>
      </c>
    </row>
    <row r="9" spans="1:34" s="350" customFormat="1" ht="14.25">
      <c r="B9" s="350" t="s">
        <v>925</v>
      </c>
      <c r="C9" s="391">
        <f>IF(Application!$D$210="Special Needs",0.1,0.05)</f>
        <v>0.05</v>
      </c>
      <c r="E9" s="388">
        <f>-E8*$C$9</f>
        <v>-1071</v>
      </c>
      <c r="F9" s="368"/>
      <c r="G9" s="388">
        <f>-G8*$C$9</f>
        <v>-1097.7749999999999</v>
      </c>
      <c r="H9" s="368"/>
      <c r="I9" s="388">
        <f>-I8*$C$9</f>
        <v>-1125.2193749999997</v>
      </c>
      <c r="J9" s="368"/>
      <c r="K9" s="388">
        <f>-K8*$C$9</f>
        <v>-1153.3498593749996</v>
      </c>
      <c r="L9" s="368"/>
      <c r="M9" s="388">
        <f>-M8*$C$9</f>
        <v>-1182.1836058593744</v>
      </c>
      <c r="N9" s="368"/>
      <c r="O9" s="388">
        <f>-O8*$C$9</f>
        <v>-1211.7381960058588</v>
      </c>
      <c r="P9" s="368"/>
      <c r="Q9" s="388">
        <f>-Q8*$C$9</f>
        <v>-1242.0316509060051</v>
      </c>
      <c r="R9" s="368"/>
      <c r="S9" s="388">
        <f>-S8*$C$9</f>
        <v>-1273.0824421786551</v>
      </c>
      <c r="T9" s="368"/>
      <c r="U9" s="388">
        <f>-U8*$C$9</f>
        <v>-1304.9095032331215</v>
      </c>
      <c r="V9" s="368"/>
      <c r="W9" s="388">
        <f>-W8*$C$9</f>
        <v>-1337.5322408139493</v>
      </c>
      <c r="X9" s="368"/>
      <c r="Y9" s="388">
        <f>-Y8*$C$9</f>
        <v>-1370.9705468342981</v>
      </c>
      <c r="Z9" s="368"/>
      <c r="AA9" s="388">
        <f>-AA8*$C$9</f>
        <v>-1405.2448105051553</v>
      </c>
      <c r="AB9" s="368"/>
      <c r="AC9" s="388">
        <f>-AC8*$C$9</f>
        <v>-1440.3759307677842</v>
      </c>
      <c r="AD9" s="368"/>
      <c r="AE9" s="388">
        <f>-AE8*$C$9</f>
        <v>-1476.3853290369786</v>
      </c>
      <c r="AF9" s="368"/>
      <c r="AG9" s="388">
        <f>-AG8*$C$9</f>
        <v>-1513.294962262903</v>
      </c>
    </row>
    <row r="10" spans="1:34" s="370" customFormat="1" ht="15">
      <c r="A10" s="370" t="s">
        <v>947</v>
      </c>
      <c r="C10" s="361"/>
      <c r="E10" s="370">
        <f>SUM(E4:E9)</f>
        <v>950885.4</v>
      </c>
      <c r="G10" s="370">
        <f>SUM(G4:G9)</f>
        <v>974657.53499999992</v>
      </c>
      <c r="I10" s="370">
        <f>SUM(I4:I9)</f>
        <v>999023.97337499983</v>
      </c>
      <c r="K10" s="370">
        <f>SUM(K4:K9)</f>
        <v>1023999.5727093747</v>
      </c>
      <c r="M10" s="370">
        <f>SUM(M4:M9)</f>
        <v>1049599.5620271091</v>
      </c>
      <c r="O10" s="370">
        <f>SUM(O4:O9)</f>
        <v>1075839.5510777866</v>
      </c>
      <c r="Q10" s="370">
        <f>SUM(Q4:Q9)</f>
        <v>1102735.5398547314</v>
      </c>
      <c r="S10" s="370">
        <f>SUM(S4:S9)</f>
        <v>1130303.9283510996</v>
      </c>
      <c r="U10" s="370">
        <f>SUM(U4:U9)</f>
        <v>1158561.5265598767</v>
      </c>
      <c r="W10" s="370">
        <f>SUM(W4:W9)</f>
        <v>1187525.5647238735</v>
      </c>
      <c r="Y10" s="370">
        <f>SUM(Y4:Y9)</f>
        <v>1217213.7038419703</v>
      </c>
      <c r="AA10" s="370">
        <f>SUM(AA4:AA9)</f>
        <v>1247644.0464380195</v>
      </c>
      <c r="AC10" s="370">
        <f>SUM(AC4:AC9)</f>
        <v>1278835.14759897</v>
      </c>
      <c r="AE10" s="370">
        <f>SUM(AE4:AE9)</f>
        <v>1310806.0262889438</v>
      </c>
      <c r="AG10" s="370">
        <f>SUM(AG4:AG9)</f>
        <v>1343576.1769461674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44428</v>
      </c>
      <c r="G14" s="366">
        <f>E14*$C$13</f>
        <v>45982.979999999996</v>
      </c>
      <c r="I14" s="366">
        <f>G14*$C$13</f>
        <v>47592.384299999991</v>
      </c>
      <c r="K14" s="366">
        <f>I14*$C$13</f>
        <v>49258.117750499987</v>
      </c>
      <c r="M14" s="366">
        <f>K14*$C$13</f>
        <v>50982.151871767484</v>
      </c>
      <c r="O14" s="366">
        <f>M14*$C$13</f>
        <v>52766.527187279346</v>
      </c>
      <c r="Q14" s="366">
        <f>O14*$C$13</f>
        <v>54613.355638834117</v>
      </c>
      <c r="S14" s="366">
        <f>Q14*$C$13</f>
        <v>56524.823086193304</v>
      </c>
      <c r="U14" s="366">
        <f>S14*$C$13</f>
        <v>58503.191894210067</v>
      </c>
      <c r="W14" s="366">
        <f>U14*$C$13</f>
        <v>60550.803610507413</v>
      </c>
      <c r="Y14" s="366">
        <f>W14*$C$13</f>
        <v>62670.081736875167</v>
      </c>
      <c r="AA14" s="366">
        <f>Y14*$C$13</f>
        <v>64863.534597665792</v>
      </c>
      <c r="AC14" s="366">
        <f>AA14*$C$13</f>
        <v>67133.758308584089</v>
      </c>
      <c r="AE14" s="366">
        <f>AC14*$C$13</f>
        <v>69483.439849384522</v>
      </c>
      <c r="AG14" s="366">
        <f>AE14*$C$13</f>
        <v>71915.360244112977</v>
      </c>
    </row>
    <row r="15" spans="1:34" s="350" customFormat="1" ht="14.25">
      <c r="A15" s="350" t="s">
        <v>368</v>
      </c>
      <c r="C15" s="380"/>
      <c r="E15" s="369">
        <f>Application!W829</f>
        <v>63000</v>
      </c>
      <c r="F15" s="369"/>
      <c r="G15" s="369">
        <f t="shared" ref="G15:AG20" si="0">E15*$C$13</f>
        <v>65204.999999999993</v>
      </c>
      <c r="H15" s="369"/>
      <c r="I15" s="369">
        <f t="shared" si="0"/>
        <v>67487.174999999988</v>
      </c>
      <c r="J15" s="369"/>
      <c r="K15" s="369">
        <f t="shared" si="0"/>
        <v>69849.226124999986</v>
      </c>
      <c r="L15" s="369"/>
      <c r="M15" s="369">
        <f t="shared" si="0"/>
        <v>72293.949039374987</v>
      </c>
      <c r="N15" s="369"/>
      <c r="O15" s="369">
        <f t="shared" si="0"/>
        <v>74824.237255753105</v>
      </c>
      <c r="P15" s="369"/>
      <c r="Q15" s="369">
        <f t="shared" si="0"/>
        <v>77443.085559704457</v>
      </c>
      <c r="R15" s="369"/>
      <c r="S15" s="369">
        <f t="shared" si="0"/>
        <v>80153.593554294101</v>
      </c>
      <c r="T15" s="369"/>
      <c r="U15" s="369">
        <f t="shared" si="0"/>
        <v>82958.969328694395</v>
      </c>
      <c r="V15" s="369"/>
      <c r="W15" s="369">
        <f t="shared" si="0"/>
        <v>85862.533255198694</v>
      </c>
      <c r="X15" s="369"/>
      <c r="Y15" s="369">
        <f t="shared" si="0"/>
        <v>88867.721919130636</v>
      </c>
      <c r="Z15" s="369"/>
      <c r="AA15" s="369">
        <f t="shared" si="0"/>
        <v>91978.0921863002</v>
      </c>
      <c r="AB15" s="369"/>
      <c r="AC15" s="369">
        <f t="shared" si="0"/>
        <v>95197.325412820705</v>
      </c>
      <c r="AD15" s="369"/>
      <c r="AE15" s="369">
        <f t="shared" si="0"/>
        <v>98529.231802269423</v>
      </c>
      <c r="AF15" s="369"/>
      <c r="AG15" s="369">
        <f t="shared" si="0"/>
        <v>101977.75491534885</v>
      </c>
    </row>
    <row r="16" spans="1:34" s="350" customFormat="1" ht="14.25">
      <c r="A16" s="350" t="s">
        <v>610</v>
      </c>
      <c r="C16" s="380"/>
      <c r="E16" s="369">
        <f>Application!W835</f>
        <v>70200</v>
      </c>
      <c r="F16" s="369"/>
      <c r="G16" s="369">
        <f t="shared" si="0"/>
        <v>72657</v>
      </c>
      <c r="H16" s="369"/>
      <c r="I16" s="369">
        <f t="shared" si="0"/>
        <v>75199.994999999995</v>
      </c>
      <c r="J16" s="369"/>
      <c r="K16" s="369">
        <f t="shared" si="0"/>
        <v>77831.994824999987</v>
      </c>
      <c r="L16" s="369"/>
      <c r="M16" s="369">
        <f t="shared" si="0"/>
        <v>80556.114643874986</v>
      </c>
      <c r="N16" s="369"/>
      <c r="O16" s="369">
        <f t="shared" si="0"/>
        <v>83375.578656410609</v>
      </c>
      <c r="P16" s="369"/>
      <c r="Q16" s="369">
        <f t="shared" si="0"/>
        <v>86293.723909384978</v>
      </c>
      <c r="R16" s="369"/>
      <c r="S16" s="369">
        <f t="shared" si="0"/>
        <v>89314.004246213444</v>
      </c>
      <c r="T16" s="369"/>
      <c r="U16" s="369">
        <f t="shared" si="0"/>
        <v>92439.994394830908</v>
      </c>
      <c r="V16" s="369"/>
      <c r="W16" s="369">
        <f t="shared" si="0"/>
        <v>95675.394198649985</v>
      </c>
      <c r="X16" s="369"/>
      <c r="Y16" s="369">
        <f t="shared" si="0"/>
        <v>99024.032995602727</v>
      </c>
      <c r="Z16" s="369"/>
      <c r="AA16" s="369">
        <f t="shared" si="0"/>
        <v>102489.87415044881</v>
      </c>
      <c r="AB16" s="369"/>
      <c r="AC16" s="369">
        <f t="shared" si="0"/>
        <v>106077.01974571451</v>
      </c>
      <c r="AD16" s="369"/>
      <c r="AE16" s="369">
        <f t="shared" si="0"/>
        <v>109789.71543681451</v>
      </c>
      <c r="AF16" s="369"/>
      <c r="AG16" s="369">
        <f t="shared" si="0"/>
        <v>113632.35547710302</v>
      </c>
    </row>
    <row r="17" spans="1:33" s="350" customFormat="1" ht="14.25">
      <c r="A17" s="350" t="s">
        <v>929</v>
      </c>
      <c r="C17" s="380"/>
      <c r="E17" s="369">
        <f>Application!W840</f>
        <v>189765</v>
      </c>
      <c r="F17" s="369"/>
      <c r="G17" s="369">
        <f t="shared" si="0"/>
        <v>196406.77499999999</v>
      </c>
      <c r="H17" s="369"/>
      <c r="I17" s="369">
        <f t="shared" si="0"/>
        <v>203281.01212499998</v>
      </c>
      <c r="J17" s="369"/>
      <c r="K17" s="369">
        <f t="shared" si="0"/>
        <v>210395.84754937497</v>
      </c>
      <c r="L17" s="369"/>
      <c r="M17" s="369">
        <f t="shared" si="0"/>
        <v>217759.70221360307</v>
      </c>
      <c r="N17" s="369"/>
      <c r="O17" s="369">
        <f t="shared" si="0"/>
        <v>225381.29179107916</v>
      </c>
      <c r="P17" s="369"/>
      <c r="Q17" s="369">
        <f t="shared" si="0"/>
        <v>233269.6370037669</v>
      </c>
      <c r="R17" s="369"/>
      <c r="S17" s="369">
        <f t="shared" si="0"/>
        <v>241434.07429889872</v>
      </c>
      <c r="T17" s="369"/>
      <c r="U17" s="369">
        <f t="shared" si="0"/>
        <v>249884.26689936014</v>
      </c>
      <c r="V17" s="369"/>
      <c r="W17" s="369">
        <f t="shared" si="0"/>
        <v>258630.21624083773</v>
      </c>
      <c r="X17" s="369"/>
      <c r="Y17" s="369">
        <f t="shared" si="0"/>
        <v>267682.27380926703</v>
      </c>
      <c r="Z17" s="369"/>
      <c r="AA17" s="369">
        <f t="shared" si="0"/>
        <v>277051.15339259134</v>
      </c>
      <c r="AB17" s="369"/>
      <c r="AC17" s="369">
        <f t="shared" si="0"/>
        <v>286747.94376133202</v>
      </c>
      <c r="AD17" s="369"/>
      <c r="AE17" s="369">
        <f t="shared" si="0"/>
        <v>296784.12179297861</v>
      </c>
      <c r="AF17" s="369"/>
      <c r="AG17" s="369">
        <f t="shared" si="0"/>
        <v>307171.56605573284</v>
      </c>
    </row>
    <row r="18" spans="1:33" s="350" customFormat="1" ht="14.25">
      <c r="A18" s="350" t="s">
        <v>162</v>
      </c>
      <c r="C18" s="380"/>
      <c r="E18" s="369">
        <f>Application!W841</f>
        <v>24000</v>
      </c>
      <c r="F18" s="369"/>
      <c r="G18" s="369">
        <f t="shared" si="0"/>
        <v>24839.999999999996</v>
      </c>
      <c r="H18" s="369"/>
      <c r="I18" s="369">
        <f t="shared" si="0"/>
        <v>25709.399999999994</v>
      </c>
      <c r="J18" s="369"/>
      <c r="K18" s="369">
        <f t="shared" si="0"/>
        <v>26609.228999999992</v>
      </c>
      <c r="L18" s="369"/>
      <c r="M18" s="369">
        <f t="shared" si="0"/>
        <v>27540.55201499999</v>
      </c>
      <c r="N18" s="369"/>
      <c r="O18" s="369">
        <f t="shared" si="0"/>
        <v>28504.471335524988</v>
      </c>
      <c r="P18" s="369"/>
      <c r="Q18" s="369">
        <f t="shared" si="0"/>
        <v>29502.127832268361</v>
      </c>
      <c r="R18" s="369"/>
      <c r="S18" s="369">
        <f t="shared" si="0"/>
        <v>30534.70230639775</v>
      </c>
      <c r="T18" s="369"/>
      <c r="U18" s="369">
        <f t="shared" si="0"/>
        <v>31603.416887121668</v>
      </c>
      <c r="V18" s="369"/>
      <c r="W18" s="369">
        <f t="shared" si="0"/>
        <v>32709.536478170925</v>
      </c>
      <c r="X18" s="369"/>
      <c r="Y18" s="369">
        <f t="shared" si="0"/>
        <v>33854.370254906906</v>
      </c>
      <c r="Z18" s="369"/>
      <c r="AA18" s="369">
        <f t="shared" si="0"/>
        <v>35039.273213828645</v>
      </c>
      <c r="AB18" s="369"/>
      <c r="AC18" s="369">
        <f t="shared" si="0"/>
        <v>36265.647776312646</v>
      </c>
      <c r="AD18" s="369"/>
      <c r="AE18" s="369">
        <f t="shared" si="0"/>
        <v>37534.945448483588</v>
      </c>
      <c r="AF18" s="369"/>
      <c r="AG18" s="369">
        <f t="shared" si="0"/>
        <v>38848.668539180508</v>
      </c>
    </row>
    <row r="19" spans="1:33" s="350" customFormat="1" ht="14.25">
      <c r="A19" s="350" t="s">
        <v>423</v>
      </c>
      <c r="C19" s="380"/>
      <c r="E19" s="369">
        <f>Application!W850</f>
        <v>81130</v>
      </c>
      <c r="F19" s="369"/>
      <c r="G19" s="369">
        <f t="shared" si="0"/>
        <v>83969.549999999988</v>
      </c>
      <c r="H19" s="369"/>
      <c r="I19" s="369">
        <f t="shared" si="0"/>
        <v>86908.48424999998</v>
      </c>
      <c r="J19" s="369"/>
      <c r="K19" s="369">
        <f t="shared" si="0"/>
        <v>89950.281198749974</v>
      </c>
      <c r="L19" s="369"/>
      <c r="M19" s="369">
        <f t="shared" si="0"/>
        <v>93098.541040706215</v>
      </c>
      <c r="N19" s="369"/>
      <c r="O19" s="369">
        <f t="shared" si="0"/>
        <v>96356.989977130928</v>
      </c>
      <c r="P19" s="369"/>
      <c r="Q19" s="369">
        <f t="shared" si="0"/>
        <v>99729.484626330508</v>
      </c>
      <c r="R19" s="369"/>
      <c r="S19" s="369">
        <f t="shared" si="0"/>
        <v>103220.01658825207</v>
      </c>
      <c r="T19" s="369"/>
      <c r="U19" s="369">
        <f t="shared" si="0"/>
        <v>106832.71716884089</v>
      </c>
      <c r="V19" s="369"/>
      <c r="W19" s="369">
        <f t="shared" si="0"/>
        <v>110571.8622697503</v>
      </c>
      <c r="X19" s="369"/>
      <c r="Y19" s="369">
        <f t="shared" si="0"/>
        <v>114441.87744919155</v>
      </c>
      <c r="Z19" s="369"/>
      <c r="AA19" s="369">
        <f t="shared" si="0"/>
        <v>118447.34315991325</v>
      </c>
      <c r="AB19" s="369"/>
      <c r="AC19" s="369">
        <f t="shared" si="0"/>
        <v>122593.0001705102</v>
      </c>
      <c r="AD19" s="369"/>
      <c r="AE19" s="369">
        <f t="shared" si="0"/>
        <v>126883.75517647805</v>
      </c>
      <c r="AF19" s="369"/>
      <c r="AG19" s="369">
        <f t="shared" si="0"/>
        <v>131324.68660765476</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472523</v>
      </c>
      <c r="G21" s="370">
        <f>SUM(G14:G20)</f>
        <v>489061.30499999999</v>
      </c>
      <c r="I21" s="370">
        <f>SUM(I14:I20)</f>
        <v>506178.45067499997</v>
      </c>
      <c r="K21" s="370">
        <f>SUM(K14:K20)</f>
        <v>523894.69644862489</v>
      </c>
      <c r="M21" s="370">
        <f>SUM(M14:M20)</f>
        <v>542231.01082432666</v>
      </c>
      <c r="O21" s="370">
        <f>SUM(O14:O20)</f>
        <v>561209.09620317817</v>
      </c>
      <c r="Q21" s="370">
        <f>SUM(Q14:Q20)</f>
        <v>580851.41457028931</v>
      </c>
      <c r="S21" s="370">
        <f>SUM(S14:S20)</f>
        <v>601181.21408024931</v>
      </c>
      <c r="U21" s="370">
        <f>SUM(U14:U20)</f>
        <v>622222.55657305801</v>
      </c>
      <c r="W21" s="370">
        <f>SUM(W14:W20)</f>
        <v>644000.34605311509</v>
      </c>
      <c r="Y21" s="370">
        <f>SUM(Y14:Y20)</f>
        <v>666540.35816497402</v>
      </c>
      <c r="AA21" s="370">
        <f>SUM(AA14:AA20)</f>
        <v>689869.27070074796</v>
      </c>
      <c r="AC21" s="370">
        <f>SUM(AC14:AC20)</f>
        <v>714014.69517527428</v>
      </c>
      <c r="AE21" s="370">
        <f>SUM(AE14:AE20)</f>
        <v>739005.20950640878</v>
      </c>
      <c r="AG21" s="370">
        <f>SUM(AG14:AG20)</f>
        <v>764870.39183913299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15039</v>
      </c>
      <c r="F24" s="369"/>
      <c r="G24" s="369">
        <f>E24*$C$24</f>
        <v>15565.364999999998</v>
      </c>
      <c r="H24" s="369"/>
      <c r="I24" s="369">
        <f>G24*$C$24</f>
        <v>16110.152774999997</v>
      </c>
      <c r="J24" s="369"/>
      <c r="K24" s="369">
        <f>I24*$C$24</f>
        <v>16674.008122124997</v>
      </c>
      <c r="L24" s="369"/>
      <c r="M24" s="369">
        <f>K24*$C$24</f>
        <v>17257.598406399371</v>
      </c>
      <c r="N24" s="369"/>
      <c r="O24" s="369">
        <f>M24*$C$24</f>
        <v>17861.614350623349</v>
      </c>
      <c r="P24" s="369"/>
      <c r="Q24" s="369">
        <f>O24*$C$24</f>
        <v>18486.770852895166</v>
      </c>
      <c r="R24" s="369"/>
      <c r="S24" s="369">
        <f>Q24*$C$24</f>
        <v>19133.807832746497</v>
      </c>
      <c r="T24" s="369"/>
      <c r="U24" s="369">
        <f>S24*$C$24</f>
        <v>19803.491106892623</v>
      </c>
      <c r="V24" s="369"/>
      <c r="W24" s="369">
        <f>U24*$C$24</f>
        <v>20496.613295633862</v>
      </c>
      <c r="X24" s="369"/>
      <c r="Y24" s="369">
        <f>W24*$C$24</f>
        <v>21213.994760981044</v>
      </c>
      <c r="Z24" s="369"/>
      <c r="AA24" s="369">
        <f>Y24*$C$24</f>
        <v>21956.484577615378</v>
      </c>
      <c r="AB24" s="369"/>
      <c r="AC24" s="369">
        <f>AA24*$C$24</f>
        <v>22724.961537831914</v>
      </c>
      <c r="AD24" s="369"/>
      <c r="AE24" s="369">
        <f>AC24*$C$24</f>
        <v>23520.335191656028</v>
      </c>
      <c r="AF24" s="369"/>
      <c r="AG24" s="369">
        <f>AE24*$C$24</f>
        <v>24343.546923363985</v>
      </c>
    </row>
    <row r="25" spans="1:33" s="350" customFormat="1" ht="14.25">
      <c r="A25" s="350" t="s">
        <v>933</v>
      </c>
      <c r="C25" s="392"/>
      <c r="E25" s="369">
        <f>Application!AC867</f>
        <v>52500</v>
      </c>
      <c r="F25" s="369"/>
      <c r="G25" s="369">
        <f>$E$25</f>
        <v>52500</v>
      </c>
      <c r="H25" s="369"/>
      <c r="I25" s="369">
        <f>$E$25</f>
        <v>52500</v>
      </c>
      <c r="J25" s="369"/>
      <c r="K25" s="369">
        <f>$E$25</f>
        <v>52500</v>
      </c>
      <c r="L25" s="369"/>
      <c r="M25" s="369">
        <f>$E$25</f>
        <v>52500</v>
      </c>
      <c r="N25" s="369"/>
      <c r="O25" s="369">
        <f>$E$25</f>
        <v>52500</v>
      </c>
      <c r="P25" s="369"/>
      <c r="Q25" s="369">
        <f>$E$25</f>
        <v>52500</v>
      </c>
      <c r="R25" s="369"/>
      <c r="S25" s="369">
        <f>$E$25</f>
        <v>52500</v>
      </c>
      <c r="T25" s="369"/>
      <c r="U25" s="369">
        <f>$E$25</f>
        <v>52500</v>
      </c>
      <c r="V25" s="369"/>
      <c r="W25" s="369">
        <f>$E$25</f>
        <v>52500</v>
      </c>
      <c r="X25" s="369"/>
      <c r="Y25" s="369">
        <f>$E$25</f>
        <v>52500</v>
      </c>
      <c r="Z25" s="369"/>
      <c r="AA25" s="369">
        <f>$E$25</f>
        <v>52500</v>
      </c>
      <c r="AB25" s="369"/>
      <c r="AC25" s="369">
        <f>$E$25</f>
        <v>52500</v>
      </c>
      <c r="AD25" s="369"/>
      <c r="AE25" s="369">
        <f>$E$25</f>
        <v>52500</v>
      </c>
      <c r="AF25" s="369"/>
      <c r="AG25" s="369">
        <f>$E$25</f>
        <v>52500</v>
      </c>
    </row>
    <row r="26" spans="1:33" s="350" customFormat="1" ht="14.25">
      <c r="A26" s="350" t="s">
        <v>931</v>
      </c>
      <c r="C26" s="390">
        <v>1.02</v>
      </c>
      <c r="E26" s="369">
        <f>Application!AC868</f>
        <v>10444</v>
      </c>
      <c r="F26" s="369"/>
      <c r="G26" s="369">
        <f>E26*$C$26</f>
        <v>10652.880000000001</v>
      </c>
      <c r="H26" s="369"/>
      <c r="I26" s="369">
        <f>G26*$C$26</f>
        <v>10865.937600000001</v>
      </c>
      <c r="J26" s="369"/>
      <c r="K26" s="369">
        <f>I26*$C$26</f>
        <v>11083.256352000002</v>
      </c>
      <c r="L26" s="369"/>
      <c r="M26" s="369">
        <f>K26*$C$26</f>
        <v>11304.921479040002</v>
      </c>
      <c r="N26" s="369"/>
      <c r="O26" s="369">
        <f>M26*$C$26</f>
        <v>11531.019908620801</v>
      </c>
      <c r="P26" s="369"/>
      <c r="Q26" s="369">
        <f>O26*$C$26</f>
        <v>11761.640306793217</v>
      </c>
      <c r="R26" s="369"/>
      <c r="S26" s="369">
        <f>Q26*$C$26</f>
        <v>11996.873112929081</v>
      </c>
      <c r="T26" s="369"/>
      <c r="U26" s="369">
        <f>S26*$C$26</f>
        <v>12236.810575187663</v>
      </c>
      <c r="V26" s="369"/>
      <c r="W26" s="369">
        <f>U26*$C$26</f>
        <v>12481.546786691417</v>
      </c>
      <c r="X26" s="369"/>
      <c r="Y26" s="369">
        <f>W26*$C$26</f>
        <v>12731.177722425246</v>
      </c>
      <c r="Z26" s="369"/>
      <c r="AA26" s="369">
        <f>Y26*$C$26</f>
        <v>12985.80127687375</v>
      </c>
      <c r="AB26" s="369"/>
      <c r="AC26" s="369">
        <f>AA26*$C$26</f>
        <v>13245.517302411225</v>
      </c>
      <c r="AD26" s="369"/>
      <c r="AE26" s="369">
        <f>AC26*$C$26</f>
        <v>13510.42764845945</v>
      </c>
      <c r="AF26" s="369"/>
      <c r="AG26" s="369">
        <f>AE26*$C$26</f>
        <v>13780.636201428639</v>
      </c>
    </row>
    <row r="27" spans="1:33" s="350" customFormat="1" ht="14.25">
      <c r="A27" s="373" t="s">
        <v>1800</v>
      </c>
      <c r="B27" s="373"/>
      <c r="C27" s="509">
        <v>1</v>
      </c>
      <c r="E27" s="369">
        <f>+Application!AC869</f>
        <v>35260.7094</v>
      </c>
      <c r="F27" s="369"/>
      <c r="G27" s="369">
        <f>E27*$C$27</f>
        <v>35260.7094</v>
      </c>
      <c r="H27" s="369"/>
      <c r="I27" s="369">
        <f>G27*$C$27</f>
        <v>35260.7094</v>
      </c>
      <c r="J27" s="369"/>
      <c r="K27" s="369">
        <f>I27*$C$27</f>
        <v>35260.7094</v>
      </c>
      <c r="L27" s="369"/>
      <c r="M27" s="369">
        <f>K27*$C$27</f>
        <v>35260.7094</v>
      </c>
      <c r="N27" s="369"/>
      <c r="O27" s="369">
        <f>M27*$C$27</f>
        <v>35260.7094</v>
      </c>
      <c r="P27" s="369"/>
      <c r="Q27" s="369">
        <f>O27*$C$27</f>
        <v>35260.7094</v>
      </c>
      <c r="R27" s="369"/>
      <c r="S27" s="369">
        <f>Q27*$C$27</f>
        <v>35260.7094</v>
      </c>
      <c r="T27" s="369"/>
      <c r="U27" s="369">
        <f>S27*$C$27</f>
        <v>35260.7094</v>
      </c>
      <c r="V27" s="369"/>
      <c r="W27" s="369">
        <f>U27*$C$27</f>
        <v>35260.7094</v>
      </c>
      <c r="X27" s="369"/>
      <c r="Y27" s="369">
        <f>W27*$C$27</f>
        <v>35260.7094</v>
      </c>
      <c r="Z27" s="369"/>
      <c r="AA27" s="369">
        <f>Y27*$C$27</f>
        <v>35260.7094</v>
      </c>
      <c r="AB27" s="369"/>
      <c r="AC27" s="369">
        <f>AA27*$C$27</f>
        <v>35260.7094</v>
      </c>
      <c r="AD27" s="369"/>
      <c r="AE27" s="369">
        <f>AC27*$C$27</f>
        <v>35260.7094</v>
      </c>
      <c r="AF27" s="369"/>
      <c r="AG27" s="369">
        <f>AE27*$C$27</f>
        <v>35260.7094</v>
      </c>
    </row>
    <row r="28" spans="1:33" s="350" customFormat="1" ht="14.25">
      <c r="A28" s="373" t="str">
        <f>Application!E870</f>
        <v>Other (Specify):Issuer Fee</v>
      </c>
      <c r="B28" s="373"/>
      <c r="C28" s="509">
        <v>1</v>
      </c>
      <c r="E28" s="369">
        <f>Application!AC870</f>
        <v>4000</v>
      </c>
      <c r="F28" s="369"/>
      <c r="G28" s="369">
        <f>E28*$C$28</f>
        <v>4000</v>
      </c>
      <c r="H28" s="369"/>
      <c r="I28" s="369">
        <f>G28*$C$28</f>
        <v>4000</v>
      </c>
      <c r="J28" s="369"/>
      <c r="K28" s="369">
        <f>I28*$C$28</f>
        <v>4000</v>
      </c>
      <c r="L28" s="369"/>
      <c r="M28" s="369">
        <f>K28*$C$28</f>
        <v>4000</v>
      </c>
      <c r="N28" s="369"/>
      <c r="O28" s="369">
        <f>M28*$C$28</f>
        <v>4000</v>
      </c>
      <c r="P28" s="369"/>
      <c r="Q28" s="369">
        <f>O28*$C$28</f>
        <v>4000</v>
      </c>
      <c r="R28" s="369"/>
      <c r="S28" s="369">
        <f>Q28*$C$28</f>
        <v>4000</v>
      </c>
      <c r="T28" s="369"/>
      <c r="U28" s="369">
        <f>S28*$C$28</f>
        <v>4000</v>
      </c>
      <c r="V28" s="369"/>
      <c r="W28" s="369">
        <f>U28*$C$28</f>
        <v>4000</v>
      </c>
      <c r="X28" s="369"/>
      <c r="Y28" s="369">
        <f>W28*$C$28</f>
        <v>4000</v>
      </c>
      <c r="Z28" s="369"/>
      <c r="AA28" s="369">
        <f>Y28*$C$28</f>
        <v>4000</v>
      </c>
      <c r="AB28" s="369"/>
      <c r="AC28" s="369">
        <f>AA28*$C$28</f>
        <v>4000</v>
      </c>
      <c r="AD28" s="369"/>
      <c r="AE28" s="369">
        <f>AC28*$C$28</f>
        <v>4000</v>
      </c>
      <c r="AF28" s="369"/>
      <c r="AG28" s="369">
        <f>AE28*$C$28</f>
        <v>4000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589766.70940000005</v>
      </c>
      <c r="G30" s="370">
        <f>SUM(G21:G28)</f>
        <v>607040.25939999998</v>
      </c>
      <c r="I30" s="370">
        <f>SUM(I21:I28)</f>
        <v>624915.25045000005</v>
      </c>
      <c r="K30" s="370">
        <f>SUM(K21:K28)</f>
        <v>643412.67032275</v>
      </c>
      <c r="M30" s="370">
        <f>SUM(M21:M28)</f>
        <v>662554.24010976613</v>
      </c>
      <c r="O30" s="370">
        <f>SUM(O21:O28)</f>
        <v>682362.43986242241</v>
      </c>
      <c r="Q30" s="370">
        <f>SUM(Q21:Q28)</f>
        <v>702860.53512997786</v>
      </c>
      <c r="S30" s="370">
        <f>SUM(S21:S28)</f>
        <v>724072.60442592495</v>
      </c>
      <c r="U30" s="370">
        <f>SUM(U21:U28)</f>
        <v>746023.56765513832</v>
      </c>
      <c r="W30" s="370">
        <f>SUM(W21:W28)</f>
        <v>768739.21553544037</v>
      </c>
      <c r="Y30" s="370">
        <f>SUM(Y21:Y28)</f>
        <v>792246.24004838034</v>
      </c>
      <c r="AA30" s="370">
        <f>SUM(AA21:AA28)</f>
        <v>816572.26595523721</v>
      </c>
      <c r="AC30" s="370">
        <f>SUM(AC21:AC28)</f>
        <v>841745.88341551751</v>
      </c>
      <c r="AE30" s="370">
        <f>SUM(AE21:AE28)</f>
        <v>867796.68174652429</v>
      </c>
      <c r="AG30" s="370">
        <f>SUM(AG21:AG28)</f>
        <v>894755.28436392557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361118.69059999997</v>
      </c>
      <c r="G32" s="370">
        <f>G10-G30</f>
        <v>367617.27559999994</v>
      </c>
      <c r="I32" s="370">
        <f>I10-I30</f>
        <v>374108.72292499978</v>
      </c>
      <c r="K32" s="370">
        <f>K10-K30</f>
        <v>380586.90238662472</v>
      </c>
      <c r="M32" s="370">
        <f>M10-M30</f>
        <v>387045.32191734295</v>
      </c>
      <c r="O32" s="370">
        <f>O10-O30</f>
        <v>393477.11121536419</v>
      </c>
      <c r="Q32" s="370">
        <f>Q10-Q30</f>
        <v>399875.00472475355</v>
      </c>
      <c r="S32" s="370">
        <f>S10-S30</f>
        <v>406231.32392517466</v>
      </c>
      <c r="U32" s="370">
        <f>U10-U30</f>
        <v>412537.95890473842</v>
      </c>
      <c r="W32" s="370">
        <f>W10-W30</f>
        <v>418786.34918843315</v>
      </c>
      <c r="Y32" s="370">
        <f>Y10-Y30</f>
        <v>424967.46379358997</v>
      </c>
      <c r="AA32" s="370">
        <f>AA10-AA30</f>
        <v>431071.78048278228</v>
      </c>
      <c r="AC32" s="370">
        <f>AC10-AC30</f>
        <v>437089.26418345247</v>
      </c>
      <c r="AE32" s="370">
        <f>AE10-AE30</f>
        <v>443009.34454241954</v>
      </c>
      <c r="AG32" s="370">
        <f>AG10-AG30</f>
        <v>448820.8925822418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Bank Permanent Loan</v>
      </c>
      <c r="B35" s="373"/>
      <c r="C35" s="367"/>
      <c r="E35" s="369">
        <f>Application!AB618</f>
        <v>313485.26013362425</v>
      </c>
      <c r="F35" s="369"/>
      <c r="G35" s="369">
        <f>$E$35</f>
        <v>313485.26013362425</v>
      </c>
      <c r="H35" s="369"/>
      <c r="I35" s="369">
        <f>$E$35</f>
        <v>313485.26013362425</v>
      </c>
      <c r="J35" s="369"/>
      <c r="K35" s="369">
        <f>$E$35</f>
        <v>313485.26013362425</v>
      </c>
      <c r="L35" s="369"/>
      <c r="M35" s="369">
        <f>$E$35</f>
        <v>313485.26013362425</v>
      </c>
      <c r="N35" s="369"/>
      <c r="O35" s="369">
        <f>$E$35</f>
        <v>313485.26013362425</v>
      </c>
      <c r="P35" s="369"/>
      <c r="Q35" s="369">
        <f>$E$35</f>
        <v>313485.26013362425</v>
      </c>
      <c r="R35" s="369"/>
      <c r="S35" s="369">
        <f>$E$35</f>
        <v>313485.26013362425</v>
      </c>
      <c r="T35" s="369"/>
      <c r="U35" s="369">
        <f>$E$35</f>
        <v>313485.26013362425</v>
      </c>
      <c r="V35" s="369"/>
      <c r="W35" s="369">
        <f>$E$35</f>
        <v>313485.26013362425</v>
      </c>
      <c r="X35" s="369"/>
      <c r="Y35" s="369">
        <f>$E$35</f>
        <v>313485.26013362425</v>
      </c>
      <c r="Z35" s="369"/>
      <c r="AA35" s="369">
        <f>$E$35</f>
        <v>313485.26013362425</v>
      </c>
      <c r="AB35" s="369"/>
      <c r="AC35" s="369">
        <f>$E$35</f>
        <v>313485.26013362425</v>
      </c>
      <c r="AD35" s="369"/>
      <c r="AE35" s="369">
        <f>$E$35</f>
        <v>313485.26013362425</v>
      </c>
      <c r="AF35" s="369"/>
      <c r="AG35" s="369">
        <f>$E$35</f>
        <v>313485.26013362425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313485.26013362425</v>
      </c>
      <c r="G38" s="370">
        <f>SUM(G35:G37)</f>
        <v>313485.26013362425</v>
      </c>
      <c r="I38" s="370">
        <f>SUM(I35:I37)</f>
        <v>313485.26013362425</v>
      </c>
      <c r="K38" s="370">
        <f>SUM(K35:K37)</f>
        <v>313485.26013362425</v>
      </c>
      <c r="M38" s="370">
        <f>SUM(M35:M37)</f>
        <v>313485.26013362425</v>
      </c>
      <c r="O38" s="370">
        <f>SUM(O35:O37)</f>
        <v>313485.26013362425</v>
      </c>
      <c r="Q38" s="370">
        <f>SUM(Q35:Q37)</f>
        <v>313485.26013362425</v>
      </c>
      <c r="S38" s="370">
        <f>SUM(S35:S37)</f>
        <v>313485.26013362425</v>
      </c>
      <c r="U38" s="370">
        <f>SUM(U35:U37)</f>
        <v>313485.26013362425</v>
      </c>
      <c r="W38" s="370">
        <f>SUM(W35:W37)</f>
        <v>313485.26013362425</v>
      </c>
      <c r="Y38" s="370">
        <f>SUM(Y35:Y37)</f>
        <v>313485.26013362425</v>
      </c>
      <c r="AA38" s="370">
        <f>SUM(AA35:AA37)</f>
        <v>313485.26013362425</v>
      </c>
      <c r="AC38" s="370">
        <f>SUM(AC35:AC37)</f>
        <v>313485.26013362425</v>
      </c>
      <c r="AE38" s="370">
        <f>SUM(AE35:AE37)</f>
        <v>313485.26013362425</v>
      </c>
      <c r="AG38" s="370">
        <f>SUM(AG35:AG37)</f>
        <v>313485.26013362425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47633.430466375721</v>
      </c>
      <c r="G40" s="370">
        <f>G32-G38</f>
        <v>54132.015466375684</v>
      </c>
      <c r="I40" s="370">
        <f>I32-I38</f>
        <v>60623.462791375525</v>
      </c>
      <c r="K40" s="370">
        <f>K32-K38</f>
        <v>67101.642253000464</v>
      </c>
      <c r="M40" s="370">
        <f>M32-M38</f>
        <v>73560.061783718702</v>
      </c>
      <c r="O40" s="370">
        <f>O32-O38</f>
        <v>79991.851081739936</v>
      </c>
      <c r="Q40" s="370">
        <f>Q32-Q38</f>
        <v>86389.744591129303</v>
      </c>
      <c r="S40" s="370">
        <f>S32-S38</f>
        <v>92746.063791550405</v>
      </c>
      <c r="U40" s="370">
        <f>U32-U38</f>
        <v>99052.69877111417</v>
      </c>
      <c r="W40" s="370">
        <f>W32-W38</f>
        <v>105301.08905480889</v>
      </c>
      <c r="Y40" s="370">
        <f>Y32-Y38</f>
        <v>111482.20365996571</v>
      </c>
      <c r="AA40" s="370">
        <f>AA32-AA38</f>
        <v>117586.52034915803</v>
      </c>
      <c r="AC40" s="370">
        <f>AC32-AC38</f>
        <v>123604.00404982822</v>
      </c>
      <c r="AE40" s="370">
        <f>AE32-AE38</f>
        <v>129524.08440879529</v>
      </c>
      <c r="AG40" s="370">
        <f>AG32-AG38</f>
        <v>135335.63244861754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4.7589077446195865E-2</v>
      </c>
      <c r="G42" s="374">
        <f>G40/(G4+G6+G8)</f>
        <v>5.2762547711752837E-2</v>
      </c>
      <c r="I42" s="374">
        <f>I40/(I4+I6+I8)</f>
        <v>5.7648556177528829E-2</v>
      </c>
      <c r="K42" s="374">
        <f>K40/(K4+K6+K8)</f>
        <v>6.2252526113546154E-2</v>
      </c>
      <c r="M42" s="374">
        <f>M40/(M4+M6+M8)</f>
        <v>6.65797330932269E-2</v>
      </c>
      <c r="O42" s="374">
        <f>O40/(O4+O6+O8)</f>
        <v>7.0635308444947156E-2</v>
      </c>
      <c r="Q42" s="374">
        <f>Q40/(Q4+Q6+Q8)</f>
        <v>7.442424261793934E-2</v>
      </c>
      <c r="S42" s="374">
        <f>S40/(S4+S6+S8)</f>
        <v>7.7951388464611443E-2</v>
      </c>
      <c r="U42" s="374">
        <f>U40/(U4+U6+U8)</f>
        <v>8.1221464441314839E-2</v>
      </c>
      <c r="W42" s="374">
        <f>W40/(W4+W6+W8)</f>
        <v>8.4239057729531136E-2</v>
      </c>
      <c r="Y42" s="374">
        <f>Y40/(Y4+Y6+Y8)</f>
        <v>8.7008627279402825E-2</v>
      </c>
      <c r="AA42" s="374">
        <f>AA40/(AA4+AA6+AA8)</f>
        <v>8.9534506777490169E-2</v>
      </c>
      <c r="AC42" s="374">
        <f>AC40/(AC4+AC6+AC8)</f>
        <v>9.1820907540586111E-2</v>
      </c>
      <c r="AE42" s="374">
        <f>AE40/(AE4+AE6+AE8)</f>
        <v>9.387192133737704E-2</v>
      </c>
      <c r="AG42" s="374">
        <f>AG40/(AG4+AG6+AG8)</f>
        <v>9.5691523139694659E-2</v>
      </c>
    </row>
    <row r="43" spans="1:35" s="374" customFormat="1" ht="14.25">
      <c r="A43" s="374" t="s">
        <v>939</v>
      </c>
      <c r="C43" s="367"/>
      <c r="E43" s="374">
        <f>E40/E38</f>
        <v>0.15194791119069456</v>
      </c>
      <c r="G43" s="374">
        <f>G40/G38</f>
        <v>0.17267802461685666</v>
      </c>
      <c r="I43" s="374">
        <f>I40/I38</f>
        <v>0.19338536926914698</v>
      </c>
      <c r="K43" s="374">
        <f>K40/K38</f>
        <v>0.21405039019824454</v>
      </c>
      <c r="M43" s="374">
        <f>M40/M38</f>
        <v>0.23465237808107295</v>
      </c>
      <c r="O43" s="374">
        <f>O40/O38</f>
        <v>0.25516941704896462</v>
      </c>
      <c r="Q43" s="374">
        <f>Q40/Q38</f>
        <v>0.27557833039520058</v>
      </c>
      <c r="S43" s="374">
        <f>S40/S38</f>
        <v>0.29585462408030622</v>
      </c>
      <c r="U43" s="374">
        <f>U40/U38</f>
        <v>0.31597242795049629</v>
      </c>
      <c r="W43" s="374">
        <f>W40/W38</f>
        <v>0.33590443458146618</v>
      </c>
      <c r="Y43" s="374">
        <f>Y40/Y38</f>
        <v>0.35562183565647076</v>
      </c>
      <c r="AA43" s="374">
        <f>AA40/AA38</f>
        <v>0.37509425578426348</v>
      </c>
      <c r="AC43" s="374">
        <f>AC40/AC38</f>
        <v>0.39428968365894318</v>
      </c>
      <c r="AE43" s="374">
        <f>AE40/AE38</f>
        <v>0.41317440046012105</v>
      </c>
      <c r="AG43" s="374">
        <f>AG40/AG38</f>
        <v>0.43171290538805629</v>
      </c>
    </row>
    <row r="44" spans="1:35" s="375" customFormat="1" ht="14.25">
      <c r="A44" s="375" t="s">
        <v>937</v>
      </c>
      <c r="C44" s="376"/>
      <c r="E44" s="375">
        <f>E32/E38</f>
        <v>1.1519479111906945</v>
      </c>
      <c r="G44" s="375">
        <f>G32/G38</f>
        <v>1.1726780246168567</v>
      </c>
      <c r="I44" s="375">
        <f>I32/I38</f>
        <v>1.193385369269147</v>
      </c>
      <c r="K44" s="375">
        <f>K32/K38</f>
        <v>1.2140503901982445</v>
      </c>
      <c r="M44" s="375">
        <f>M32/M38</f>
        <v>1.234652378081073</v>
      </c>
      <c r="O44" s="375">
        <f>O32/O38</f>
        <v>1.2551694170489647</v>
      </c>
      <c r="Q44" s="375">
        <f>Q32/Q38</f>
        <v>1.2755783303952006</v>
      </c>
      <c r="S44" s="375">
        <f>S32/S38</f>
        <v>1.2958546240803062</v>
      </c>
      <c r="U44" s="375">
        <f>U32/U38</f>
        <v>1.3159724279504963</v>
      </c>
      <c r="W44" s="375">
        <f>W32/W38</f>
        <v>1.3359044345814661</v>
      </c>
      <c r="Y44" s="375">
        <f>Y32/Y38</f>
        <v>1.3556218356564709</v>
      </c>
      <c r="AA44" s="375">
        <f>AA32/AA38</f>
        <v>1.3750942557842636</v>
      </c>
      <c r="AC44" s="375">
        <f>AC32/AC38</f>
        <v>1.3942896836589431</v>
      </c>
      <c r="AE44" s="375">
        <f>AE32/AE38</f>
        <v>1.413174400460121</v>
      </c>
      <c r="AG44" s="375">
        <f>AG32/AG38</f>
        <v>1.4317129053880564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47633.430466375721</v>
      </c>
      <c r="G54" s="255">
        <f>G40-G52</f>
        <v>54132.015466375684</v>
      </c>
      <c r="I54" s="255">
        <f>I40-I52</f>
        <v>60623.462791375525</v>
      </c>
      <c r="K54" s="255">
        <f>K40-K52</f>
        <v>67101.642253000464</v>
      </c>
      <c r="M54" s="255">
        <f>M40-M52</f>
        <v>73560.061783718702</v>
      </c>
      <c r="O54" s="255">
        <f>O40-O52</f>
        <v>79991.851081739936</v>
      </c>
      <c r="Q54" s="255">
        <f>Q40-Q52</f>
        <v>86389.744591129303</v>
      </c>
      <c r="S54" s="255">
        <f>S40-S52</f>
        <v>92746.063791550405</v>
      </c>
      <c r="U54" s="255">
        <f>U40-U52</f>
        <v>99052.69877111417</v>
      </c>
      <c r="W54" s="255">
        <f>W40-W52</f>
        <v>105301.08905480889</v>
      </c>
      <c r="Y54" s="255">
        <f>Y40-Y52</f>
        <v>111482.20365996571</v>
      </c>
      <c r="AA54" s="255">
        <f>AA40-AA52</f>
        <v>117586.52034915803</v>
      </c>
      <c r="AC54" s="255">
        <f>AC40-AC52</f>
        <v>123604.00404982822</v>
      </c>
      <c r="AE54" s="255">
        <f>AE40-AE52</f>
        <v>129524.08440879529</v>
      </c>
      <c r="AG54" s="255">
        <f>AG40-AG52</f>
        <v>135335.63244861754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9" t="s">
        <v>951</v>
      </c>
      <c r="B65" s="1719"/>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Dixon, Sara</cp:lastModifiedBy>
  <cp:lastPrinted>2019-11-13T16:11:38Z</cp:lastPrinted>
  <dcterms:created xsi:type="dcterms:W3CDTF">2007-12-27T18:26:28Z</dcterms:created>
  <dcterms:modified xsi:type="dcterms:W3CDTF">2020-01-30T19:44:38Z</dcterms:modified>
</cp:coreProperties>
</file>