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55" i="15" l="1"/>
  <c r="C77" i="13" l="1"/>
  <c r="F18" i="13"/>
  <c r="S18" i="4"/>
  <c r="G77" i="4"/>
  <c r="C77" i="4" l="1"/>
  <c r="E18" i="4"/>
  <c r="S106" i="4"/>
  <c r="AG620" i="3" l="1"/>
  <c r="C98" i="4"/>
  <c r="H98" i="4"/>
  <c r="G76" i="4" l="1"/>
  <c r="T9" i="4"/>
  <c r="AE548" i="3" l="1"/>
  <c r="G18" i="4" l="1"/>
  <c r="AG619" i="3" l="1"/>
  <c r="G20" i="4" l="1"/>
  <c r="G19" i="4"/>
  <c r="C19" i="4"/>
  <c r="C20" i="4"/>
  <c r="C18" i="4"/>
  <c r="S49" i="4" l="1"/>
  <c r="S48" i="4"/>
  <c r="S44" i="4"/>
  <c r="S43" i="4"/>
  <c r="S38" i="4"/>
  <c r="S26" i="4"/>
  <c r="S21" i="4"/>
  <c r="C619" i="3" l="1"/>
  <c r="C618" i="3"/>
  <c r="AA573" i="3"/>
  <c r="Z572" i="3"/>
  <c r="Z571" i="3"/>
  <c r="Z570" i="3"/>
  <c r="Z569" i="3"/>
  <c r="AA564" i="3"/>
  <c r="Z563" i="3"/>
  <c r="Z562" i="3"/>
  <c r="Z561" i="3"/>
  <c r="Z560" i="3"/>
  <c r="A3" i="15" l="1"/>
  <c r="AN929" i="3" l="1"/>
  <c r="AD64" i="15" l="1"/>
  <c r="A61" i="15" l="1"/>
  <c r="AD67" i="15" l="1"/>
  <c r="Y67" i="15"/>
  <c r="Y64" i="15" l="1"/>
  <c r="T11" i="4" l="1"/>
  <c r="H11" i="13" s="1"/>
  <c r="R10" i="4"/>
  <c r="R88" i="4"/>
  <c r="R81" i="4"/>
  <c r="T25" i="15"/>
  <c r="AI7" i="15" s="1"/>
  <c r="AG428" i="3"/>
  <c r="AG431" i="3"/>
  <c r="B58" i="4"/>
  <c r="C77" i="11"/>
  <c r="C78" i="11"/>
  <c r="B77" i="11"/>
  <c r="B78" i="11"/>
  <c r="D78" i="11" s="1"/>
  <c r="I95" i="13"/>
  <c r="J95" i="13"/>
  <c r="J78" i="13"/>
  <c r="I78" i="13"/>
  <c r="G78" i="13"/>
  <c r="D78" i="13"/>
  <c r="H77" i="13"/>
  <c r="E77" i="13"/>
  <c r="B77" i="13"/>
  <c r="R77" i="4"/>
  <c r="R76" i="4"/>
  <c r="S67" i="4"/>
  <c r="E67" i="13" s="1"/>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C76" i="13" s="1"/>
  <c r="F76" i="13" s="1"/>
  <c r="F78" i="13" s="1"/>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G25" i="13"/>
  <c r="G63" i="13" s="1"/>
  <c r="G96" i="13" s="1"/>
  <c r="G105" i="13" s="1"/>
  <c r="G107" i="13"/>
  <c r="D25" i="13"/>
  <c r="C25" i="13"/>
  <c r="J11" i="13"/>
  <c r="J63" i="13"/>
  <c r="J96" i="13" s="1"/>
  <c r="J105" i="13" s="1"/>
  <c r="J107" i="13" s="1"/>
  <c r="D11" i="13"/>
  <c r="C11" i="13"/>
  <c r="C8" i="13"/>
  <c r="C12" i="13" s="1"/>
  <c r="D8" i="13"/>
  <c r="R103" i="4"/>
  <c r="R101" i="4"/>
  <c r="R100" i="4"/>
  <c r="R99" i="4"/>
  <c r="R98" i="4"/>
  <c r="T104" i="4" s="1"/>
  <c r="H104" i="13" s="1"/>
  <c r="R94" i="4"/>
  <c r="R93" i="4"/>
  <c r="R92" i="4"/>
  <c r="R91" i="4"/>
  <c r="R90" i="4"/>
  <c r="R89" i="4"/>
  <c r="R87" i="4"/>
  <c r="R86" i="4"/>
  <c r="R85" i="4"/>
  <c r="R84" i="4"/>
  <c r="R83" i="4"/>
  <c r="R82" i="4"/>
  <c r="R80" i="4"/>
  <c r="R73" i="4"/>
  <c r="R72" i="4"/>
  <c r="R69" i="4"/>
  <c r="R70" i="4"/>
  <c r="R71" i="4"/>
  <c r="R74"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36" i="4" s="1"/>
  <c r="R28" i="4"/>
  <c r="R26" i="4"/>
  <c r="R24" i="4"/>
  <c r="R23" i="4"/>
  <c r="R22" i="4"/>
  <c r="R21" i="4"/>
  <c r="R20" i="4"/>
  <c r="S20" i="4" s="1"/>
  <c r="E20" i="13" s="1"/>
  <c r="R19" i="4"/>
  <c r="S19" i="4" s="1"/>
  <c r="E19" i="13" s="1"/>
  <c r="R18" i="4"/>
  <c r="E18" i="13" s="1"/>
  <c r="R17" i="4"/>
  <c r="R15" i="4"/>
  <c r="R14" i="4"/>
  <c r="R13" i="4"/>
  <c r="R9" i="4"/>
  <c r="R11" i="4"/>
  <c r="R7" i="4"/>
  <c r="R6" i="4"/>
  <c r="R5" i="4"/>
  <c r="R4" i="4"/>
  <c r="R8" i="4" s="1"/>
  <c r="AD991" i="3"/>
  <c r="B5" i="11"/>
  <c r="C5" i="11"/>
  <c r="B6" i="11"/>
  <c r="C6" i="11"/>
  <c r="B7" i="11"/>
  <c r="C7" i="11"/>
  <c r="C8" i="11"/>
  <c r="B8" i="11"/>
  <c r="D8" i="11" s="1"/>
  <c r="B10" i="11"/>
  <c r="B11" i="11"/>
  <c r="C10" i="11"/>
  <c r="D10" i="11" s="1"/>
  <c r="C11" i="11"/>
  <c r="B14" i="11"/>
  <c r="C14" i="11"/>
  <c r="B15" i="11"/>
  <c r="C15" i="11"/>
  <c r="D15" i="11" s="1"/>
  <c r="B16" i="11"/>
  <c r="C16" i="11"/>
  <c r="D16" i="11"/>
  <c r="B18" i="11"/>
  <c r="C18" i="11"/>
  <c r="B19" i="11"/>
  <c r="C19" i="11"/>
  <c r="B20" i="11"/>
  <c r="C20" i="11"/>
  <c r="B21" i="11"/>
  <c r="C21" i="11"/>
  <c r="D21" i="11" s="1"/>
  <c r="B22" i="11"/>
  <c r="C22" i="11"/>
  <c r="D22" i="11" s="1"/>
  <c r="B23" i="11"/>
  <c r="D23" i="11" s="1"/>
  <c r="C23" i="11"/>
  <c r="B24" i="11"/>
  <c r="C24" i="11"/>
  <c r="D24" i="11"/>
  <c r="B25" i="11"/>
  <c r="C25" i="11"/>
  <c r="D25" i="11"/>
  <c r="B27" i="11"/>
  <c r="C27" i="11"/>
  <c r="B29" i="11"/>
  <c r="B30" i="11"/>
  <c r="B31" i="11"/>
  <c r="B32" i="11"/>
  <c r="B33" i="11"/>
  <c r="B34" i="11"/>
  <c r="B35" i="11"/>
  <c r="B36" i="11"/>
  <c r="C29" i="11"/>
  <c r="C30" i="11"/>
  <c r="C31" i="11"/>
  <c r="D31" i="11" s="1"/>
  <c r="C32" i="11"/>
  <c r="C33" i="11"/>
  <c r="D33" i="11"/>
  <c r="C34" i="11"/>
  <c r="C35" i="11"/>
  <c r="D35" i="11"/>
  <c r="C36" i="11"/>
  <c r="D36" i="11" s="1"/>
  <c r="B39" i="11"/>
  <c r="C39" i="11"/>
  <c r="C40" i="11"/>
  <c r="D40" i="11" s="1"/>
  <c r="B40" i="11"/>
  <c r="B41" i="11"/>
  <c r="B42" i="11"/>
  <c r="C42" i="11"/>
  <c r="D42" i="11"/>
  <c r="B44" i="11"/>
  <c r="C44" i="11"/>
  <c r="D44" i="11" s="1"/>
  <c r="B45" i="11"/>
  <c r="C45" i="11"/>
  <c r="D45" i="11" s="1"/>
  <c r="B46" i="11"/>
  <c r="B47" i="11"/>
  <c r="B48" i="11"/>
  <c r="B49" i="11"/>
  <c r="B50" i="11"/>
  <c r="B51" i="11"/>
  <c r="B52" i="11"/>
  <c r="B53" i="11"/>
  <c r="C46" i="11"/>
  <c r="C47" i="11"/>
  <c r="C48" i="11"/>
  <c r="C49" i="11"/>
  <c r="C50" i="11"/>
  <c r="D50" i="11" s="1"/>
  <c r="C51" i="11"/>
  <c r="D51" i="11" s="1"/>
  <c r="C52" i="11"/>
  <c r="D52" i="11" s="1"/>
  <c r="C53" i="11"/>
  <c r="D47" i="11"/>
  <c r="D48" i="11"/>
  <c r="B56" i="11"/>
  <c r="C56" i="11"/>
  <c r="B57" i="11"/>
  <c r="C57" i="11"/>
  <c r="B58" i="11"/>
  <c r="C58" i="11"/>
  <c r="B59" i="11"/>
  <c r="C59" i="11"/>
  <c r="D59" i="11" s="1"/>
  <c r="B60" i="11"/>
  <c r="C60" i="11"/>
  <c r="B61" i="11"/>
  <c r="B63" i="11" s="1"/>
  <c r="C61" i="11"/>
  <c r="D61" i="11" s="1"/>
  <c r="B62" i="11"/>
  <c r="C62" i="11"/>
  <c r="D62" i="11"/>
  <c r="B66" i="11"/>
  <c r="B67" i="11"/>
  <c r="C66" i="11"/>
  <c r="C67" i="11"/>
  <c r="B70" i="11"/>
  <c r="D70" i="11" s="1"/>
  <c r="C70" i="11"/>
  <c r="B71" i="11"/>
  <c r="C71" i="11"/>
  <c r="D71" i="11" s="1"/>
  <c r="B72" i="11"/>
  <c r="D72" i="11" s="1"/>
  <c r="C72" i="11"/>
  <c r="B73" i="11"/>
  <c r="C73" i="11"/>
  <c r="D73" i="11" s="1"/>
  <c r="B74" i="11"/>
  <c r="C74" i="11"/>
  <c r="D74" i="11"/>
  <c r="B81" i="11"/>
  <c r="C81" i="11"/>
  <c r="D81" i="11"/>
  <c r="B82" i="11"/>
  <c r="C82" i="11"/>
  <c r="C83" i="11"/>
  <c r="C84" i="11"/>
  <c r="C85" i="11"/>
  <c r="C86" i="11"/>
  <c r="C87" i="11"/>
  <c r="C88" i="11"/>
  <c r="C89" i="11"/>
  <c r="C90" i="11"/>
  <c r="C91" i="11"/>
  <c r="D91" i="11" s="1"/>
  <c r="C92" i="11"/>
  <c r="C93" i="11"/>
  <c r="D93" i="11" s="1"/>
  <c r="C94" i="11"/>
  <c r="C95" i="11"/>
  <c r="B83" i="11"/>
  <c r="B84" i="11"/>
  <c r="D84" i="11"/>
  <c r="B85" i="11"/>
  <c r="B86" i="11"/>
  <c r="D86" i="11"/>
  <c r="B87" i="11"/>
  <c r="B88" i="11"/>
  <c r="D88" i="11"/>
  <c r="B89" i="11"/>
  <c r="B90" i="11"/>
  <c r="B91" i="11"/>
  <c r="B92" i="11"/>
  <c r="B93" i="11"/>
  <c r="B94" i="11"/>
  <c r="B95" i="11"/>
  <c r="B99" i="11"/>
  <c r="C99" i="11"/>
  <c r="C105" i="11" s="1"/>
  <c r="B100" i="11"/>
  <c r="B101" i="11"/>
  <c r="B102" i="11"/>
  <c r="B103" i="11"/>
  <c r="D103" i="11" s="1"/>
  <c r="B104" i="11"/>
  <c r="C100" i="11"/>
  <c r="C101" i="11"/>
  <c r="D101" i="11" s="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4" s="1"/>
  <c r="C74" i="4"/>
  <c r="B74" i="13" s="1"/>
  <c r="C95" i="4"/>
  <c r="B95" i="13" s="1"/>
  <c r="C104" i="4"/>
  <c r="D8" i="4"/>
  <c r="D11" i="4"/>
  <c r="D12" i="4"/>
  <c r="D25" i="4"/>
  <c r="D63" i="4" s="1"/>
  <c r="D36" i="4"/>
  <c r="D40" i="4"/>
  <c r="D53" i="4"/>
  <c r="D62" i="4"/>
  <c r="D67" i="4"/>
  <c r="B67" i="4" s="1"/>
  <c r="D74" i="4"/>
  <c r="D95" i="4"/>
  <c r="D104" i="4"/>
  <c r="AG630" i="3"/>
  <c r="S25" i="4"/>
  <c r="E25" i="1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2" i="4" s="1"/>
  <c r="H11" i="4"/>
  <c r="I8" i="4"/>
  <c r="I11" i="4"/>
  <c r="J8" i="4"/>
  <c r="J63" i="4" s="1"/>
  <c r="J96" i="4" s="1"/>
  <c r="J105" i="4" s="1"/>
  <c r="J11" i="4"/>
  <c r="J12" i="4" s="1"/>
  <c r="J25" i="4"/>
  <c r="J36" i="4"/>
  <c r="J40" i="4"/>
  <c r="J53" i="4"/>
  <c r="J62" i="4"/>
  <c r="J67" i="4"/>
  <c r="J74" i="4"/>
  <c r="J95" i="4"/>
  <c r="J104" i="4"/>
  <c r="K8" i="4"/>
  <c r="K12" i="4" s="1"/>
  <c r="K11" i="4"/>
  <c r="L8" i="4"/>
  <c r="L11" i="4"/>
  <c r="M8" i="4"/>
  <c r="M63" i="4" s="1"/>
  <c r="M96" i="4" s="1"/>
  <c r="M11" i="4"/>
  <c r="M12" i="4"/>
  <c r="N8" i="4"/>
  <c r="O8" i="4"/>
  <c r="Q8" i="4"/>
  <c r="Q12" i="4" s="1"/>
  <c r="Q11" i="4"/>
  <c r="B9" i="4"/>
  <c r="B10" i="4"/>
  <c r="E11" i="4"/>
  <c r="F11" i="4"/>
  <c r="F25" i="4"/>
  <c r="F36" i="4"/>
  <c r="F40" i="4"/>
  <c r="F53" i="4"/>
  <c r="F62" i="4"/>
  <c r="N11" i="4"/>
  <c r="N12"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M105"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G63" i="4" s="1"/>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94" i="11"/>
  <c r="D67" i="11"/>
  <c r="D6" i="11"/>
  <c r="D32" i="11"/>
  <c r="D18" i="11"/>
  <c r="D102" i="11"/>
  <c r="D60" i="11"/>
  <c r="D56" i="11"/>
  <c r="C75" i="11"/>
  <c r="D53" i="11"/>
  <c r="D90" i="11"/>
  <c r="B75" i="11"/>
  <c r="D57" i="11"/>
  <c r="AG432" i="3"/>
  <c r="AI27" i="15" s="1"/>
  <c r="D100" i="11"/>
  <c r="D82" i="11"/>
  <c r="D7" i="11"/>
  <c r="D46" i="11"/>
  <c r="D20" i="11"/>
  <c r="D5" i="11"/>
  <c r="D14" i="11"/>
  <c r="B11" i="4"/>
  <c r="B11" i="13"/>
  <c r="D92" i="11" l="1"/>
  <c r="C79" i="11"/>
  <c r="C78" i="13"/>
  <c r="R78" i="4"/>
  <c r="S76" i="4"/>
  <c r="B68" i="11"/>
  <c r="H98" i="13"/>
  <c r="D19" i="11"/>
  <c r="I105" i="13"/>
  <c r="I107" i="13" s="1"/>
  <c r="F63" i="13"/>
  <c r="F96" i="13" s="1"/>
  <c r="F105" i="13" s="1"/>
  <c r="F107" i="13" s="1"/>
  <c r="C63" i="13"/>
  <c r="D99" i="11"/>
  <c r="R67" i="4"/>
  <c r="G96" i="4"/>
  <c r="C68" i="11"/>
  <c r="D66" i="11"/>
  <c r="R62" i="4"/>
  <c r="B62" i="13"/>
  <c r="C63" i="11"/>
  <c r="D63" i="11" s="1"/>
  <c r="D58" i="11"/>
  <c r="R53" i="4"/>
  <c r="R40" i="4"/>
  <c r="B40" i="4"/>
  <c r="D27" i="11"/>
  <c r="B25" i="4"/>
  <c r="F12" i="4"/>
  <c r="B12" i="11"/>
  <c r="C12" i="11"/>
  <c r="C9" i="11"/>
  <c r="C13" i="11" s="1"/>
  <c r="AB48" i="15"/>
  <c r="D75" i="11"/>
  <c r="O63" i="4"/>
  <c r="O96" i="4" s="1"/>
  <c r="O105" i="4" s="1"/>
  <c r="B104" i="13"/>
  <c r="B104" i="4"/>
  <c r="D89" i="11"/>
  <c r="D85" i="11"/>
  <c r="C96" i="11"/>
  <c r="B37" i="11"/>
  <c r="D30" i="11"/>
  <c r="R12" i="4"/>
  <c r="D63" i="13"/>
  <c r="D96" i="13" s="1"/>
  <c r="D105" i="13" s="1"/>
  <c r="D12" i="13"/>
  <c r="D77" i="11"/>
  <c r="B79" i="11"/>
  <c r="D79" i="11" s="1"/>
  <c r="D96" i="4"/>
  <c r="D105" i="4" s="1"/>
  <c r="B53" i="4"/>
  <c r="I12" i="4"/>
  <c r="D68" i="11"/>
  <c r="D29" i="11"/>
  <c r="C37" i="11"/>
  <c r="D37" i="11" s="1"/>
  <c r="H63" i="4"/>
  <c r="H96" i="4" s="1"/>
  <c r="H105" i="4" s="1"/>
  <c r="K63" i="4"/>
  <c r="K96" i="4" s="1"/>
  <c r="K105" i="4" s="1"/>
  <c r="B8" i="4"/>
  <c r="P63" i="4"/>
  <c r="P96" i="4" s="1"/>
  <c r="P105" i="4" s="1"/>
  <c r="L12" i="4"/>
  <c r="D87" i="11"/>
  <c r="D83" i="11"/>
  <c r="B54" i="11"/>
  <c r="C41" i="11"/>
  <c r="D41" i="11" s="1"/>
  <c r="B9" i="11"/>
  <c r="B13" i="11" s="1"/>
  <c r="B78" i="13"/>
  <c r="B78" i="4"/>
  <c r="N63" i="4"/>
  <c r="N96" i="4" s="1"/>
  <c r="N105" i="4" s="1"/>
  <c r="F63" i="4"/>
  <c r="F96" i="4" s="1"/>
  <c r="F105" i="4" s="1"/>
  <c r="C54" i="11"/>
  <c r="D34" i="11"/>
  <c r="R25" i="4"/>
  <c r="R63" i="4" s="1"/>
  <c r="Q63" i="4"/>
  <c r="Q96" i="4" s="1"/>
  <c r="Q105" i="4" s="1"/>
  <c r="B36" i="4"/>
  <c r="B26" i="11"/>
  <c r="R95" i="4"/>
  <c r="L63" i="4"/>
  <c r="L96" i="4" s="1"/>
  <c r="L105" i="4" s="1"/>
  <c r="D39" i="11"/>
  <c r="I63" i="4"/>
  <c r="I96" i="4" s="1"/>
  <c r="I105" i="4" s="1"/>
  <c r="S63" i="4"/>
  <c r="E63" i="13" s="1"/>
  <c r="M38" i="7"/>
  <c r="B105" i="11"/>
  <c r="D105" i="11" s="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C96" i="13" l="1"/>
  <c r="C105" i="13" s="1"/>
  <c r="D96" i="11"/>
  <c r="S78" i="4"/>
  <c r="E78" i="13" s="1"/>
  <c r="E76" i="13"/>
  <c r="R96" i="4"/>
  <c r="D54" i="11"/>
  <c r="B63" i="4"/>
  <c r="D26" i="11"/>
  <c r="D13" i="11"/>
  <c r="B64" i="11"/>
  <c r="B97" i="11" s="1"/>
  <c r="B106" i="11" s="1"/>
  <c r="D9" i="11"/>
  <c r="B12" i="4"/>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AD1000"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96" i="4" l="1"/>
  <c r="E96" i="13"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S105" i="4" l="1"/>
  <c r="S107" i="4" s="1"/>
  <c r="E107" i="13" s="1"/>
  <c r="Y11" i="15" s="1"/>
  <c r="Y23" i="15" s="1"/>
  <c r="Y26" i="15" s="1"/>
  <c r="Y28" i="15" s="1"/>
  <c r="E105" i="13"/>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M26" i="3"/>
  <c r="I54" i="7"/>
  <c r="I43" i="7"/>
  <c r="Q4" i="7"/>
  <c r="S4" i="7" s="1"/>
  <c r="K44" i="7"/>
  <c r="M40" i="7"/>
  <c r="M44" i="7"/>
  <c r="S9" i="7"/>
  <c r="U8" i="7"/>
  <c r="U21" i="7"/>
  <c r="U30" i="7" s="1"/>
  <c r="W14" i="7"/>
  <c r="K43" i="7"/>
  <c r="K42" i="7"/>
  <c r="K54" i="7"/>
  <c r="O7" i="7"/>
  <c r="O10" i="7" s="1"/>
  <c r="O32" i="7" s="1"/>
  <c r="Q6" i="7"/>
  <c r="AB59" i="15" l="1"/>
  <c r="AB76" i="15" s="1"/>
  <c r="AB77" i="15" s="1"/>
  <c r="AB87" i="15" s="1"/>
  <c r="Q5" i="7"/>
  <c r="O40" i="7"/>
  <c r="O44" i="7"/>
  <c r="W21" i="7"/>
  <c r="W30" i="7" s="1"/>
  <c r="Y14" i="7"/>
  <c r="W8" i="7"/>
  <c r="U9" i="7"/>
  <c r="M43" i="7"/>
  <c r="M42" i="7"/>
  <c r="M54" i="7"/>
  <c r="U4" i="7"/>
  <c r="S5" i="7"/>
  <c r="Q7" i="7"/>
  <c r="S6" i="7"/>
  <c r="AB78" i="15" l="1"/>
  <c r="AB80" i="15" s="1"/>
  <c r="J81" i="15" s="1"/>
  <c r="M27" i="3"/>
  <c r="P204" i="3" s="1"/>
  <c r="P203" i="3" s="1"/>
  <c r="AB86" i="15"/>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G632" i="3" l="1"/>
  <c r="AE549" i="3" s="1"/>
  <c r="AE557" i="3" s="1"/>
  <c r="E108" i="4"/>
  <c r="R102" i="4" l="1"/>
  <c r="R104" i="4" s="1"/>
  <c r="R105" i="4" s="1"/>
  <c r="G104" i="4"/>
  <c r="G105" i="4"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<sst xmlns="http://schemas.openxmlformats.org/spreadsheetml/2006/main" count="3653" uniqueCount="1770">
  <si>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</si>
  <si>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</si>
  <si>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</si>
  <si>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</si>
  <si>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</si>
  <si>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</si>
  <si>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</si>
  <si>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</si>
  <si>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</si>
  <si>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</si>
  <si>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</si>
  <si>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</si>
  <si>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</si>
  <si>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</si>
  <si>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</si>
  <si>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</si>
  <si>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</si>
  <si>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</si>
  <si>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</si>
  <si>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</si>
  <si>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</si>
  <si>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</si>
  <si>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</si>
  <si>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</si>
  <si>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</si>
  <si>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</si>
  <si>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</si>
  <si>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</si>
  <si>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</si>
  <si>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</si>
  <si>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</si>
  <si>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</si>
  <si>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</si>
  <si>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</si>
  <si>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</si>
  <si>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</si>
  <si>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</si>
  <si>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</si>
  <si>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</si>
  <si>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</si>
  <si>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</si>
  <si>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</si>
  <si>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</si>
  <si>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</si>
  <si>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</si>
  <si>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</si>
  <si>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</si>
  <si>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</si>
  <si>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</si>
  <si>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</si>
  <si>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</si>
  <si>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</si>
  <si>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</si>
  <si>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</si>
  <si>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</si>
  <si>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</si>
  <si>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</si>
  <si>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</si>
  <si>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</si>
  <si>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</si>
  <si>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</si>
  <si>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</si>
  <si>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</si>
  <si>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</si>
  <si>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</si>
  <si>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</si>
  <si>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</si>
  <si>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</si>
  <si>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</si>
  <si>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</si>
  <si>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</si>
  <si>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</si>
  <si>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</si>
  <si>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</si>
  <si>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</si>
  <si>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</si>
  <si>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</si>
  <si>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</si>
  <si>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</si>
  <si>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</si>
  <si>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</si>
  <si>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</si>
  <si>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</si>
  <si>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</si>
  <si>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</si>
  <si>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</si>
  <si>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</si>
  <si>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</si>
  <si>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</si>
  <si>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</si>
  <si>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</si>
  <si>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</si>
  <si>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</si>
  <si>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</si>
  <si>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</si>
  <si>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</si>
  <si>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</si>
  <si>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</si>
  <si>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</si>
  <si>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</si>
  <si>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</si>
  <si>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</si>
  <si>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</si>
  <si>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</si>
  <si>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</si>
  <si>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</si>
  <si>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</si>
  <si>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</si>
  <si>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</si>
  <si>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</si>
  <si>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</si>
  <si>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</si>
  <si>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</si>
  <si>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</si>
  <si>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</si>
  <si>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</si>
  <si>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</si>
  <si>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</si>
  <si>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</si>
  <si>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</si>
  <si>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</si>
  <si>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</si>
  <si>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</si>
  <si>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</si>
  <si>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</si>
  <si>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</si>
  <si>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</si>
  <si>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</si>
  <si>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</si>
  <si>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</si>
  <si>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</si>
  <si>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</si>
  <si>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</si>
  <si>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</si>
  <si>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</si>
  <si>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</si>
  <si>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</si>
  <si>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</si>
  <si>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</si>
  <si>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</si>
  <si>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</si>
  <si>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</si>
  <si>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</si>
  <si>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</si>
  <si>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</si>
  <si>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</si>
  <si>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</si>
  <si>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</si>
  <si>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</si>
  <si>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</si>
  <si>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</si>
  <si>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</si>
  <si>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</si>
  <si>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</si>
  <si>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</si>
  <si>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</si>
  <si>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</si>
  <si>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</si>
  <si>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</si>
  <si>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</si>
  <si>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</si>
  <si>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</si>
  <si>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</si>
  <si>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</si>
  <si>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</si>
  <si>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</si>
  <si>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</si>
  <si>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</si>
  <si>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</si>
  <si>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</si>
  <si>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</si>
  <si>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</si>
  <si>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</si>
  <si>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</si>
  <si>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</si>
  <si>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</si>
  <si>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</si>
  <si>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</si>
  <si>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</si>
  <si>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</si>
  <si>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</si>
  <si>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</si>
  <si>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</si>
  <si>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</si>
  <si>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</si>
  <si>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</si>
  <si>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</si>
  <si>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</si>
  <si>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</si>
  <si>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</si>
  <si>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</si>
  <si>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</si>
  <si>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</si>
  <si>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</si>
  <si>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</si>
  <si>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</si>
  <si>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</si>
  <si>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</si>
  <si>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</si>
  <si>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</si>
  <si>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</si>
  <si>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</si>
  <si>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</si>
  <si>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</si>
  <si>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</si>
  <si>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</si>
  <si>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</si>
  <si>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</si>
  <si>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</si>
  <si>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</si>
  <si>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</si>
  <si>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</si>
  <si>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</si>
  <si>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</si>
  <si>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</si>
  <si>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</si>
  <si>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</si>
  <si>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</si>
  <si>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</si>
  <si>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</si>
  <si>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</si>
  <si>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</si>
  <si>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</si>
  <si>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</si>
  <si>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</si>
  <si>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</si>
  <si>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</si>
  <si>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</si>
  <si>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</si>
  <si>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</si>
  <si>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</si>
  <si>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</si>
  <si>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</si>
  <si>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</si>
  <si>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</si>
  <si>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</si>
  <si>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</si>
  <si>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</si>
  <si>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</si>
  <si>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</si>
  <si>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</si>
  <si>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</si>
  <si>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</si>
  <si>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</si>
  <si>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</si>
  <si>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</si>
  <si>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</si>
  <si>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</si>
  <si>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</si>
  <si>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</si>
  <si>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</si>
  <si>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</si>
  <si>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</si>
  <si>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</si>
  <si>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</si>
  <si>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</si>
  <si>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</si>
  <si>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</si>
  <si>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</si>
  <si>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</si>
  <si>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</si>
  <si>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</si>
  <si>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</si>
  <si>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</si>
  <si>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</si>
  <si>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</si>
  <si>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</si>
  <si>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</si>
  <si>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</si>
  <si>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</si>
  <si>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</si>
  <si>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</si>
  <si>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</si>
  <si>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</si>
  <si>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</si>
  <si>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</si>
  <si>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</si>
  <si>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</si>
  <si>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</si>
  <si>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</si>
  <si>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</si>
  <si>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</si>
  <si>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</si>
  <si>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</si>
  <si>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</si>
  <si>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</si>
  <si>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</si>
  <si>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</si>
  <si>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</si>
  <si>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</si>
  <si>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</si>
  <si>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</si>
  <si>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</si>
  <si>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</si>
  <si>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</si>
  <si>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</si>
  <si>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</si>
  <si>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</si>
  <si>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</si>
  <si>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</si>
  <si>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</si>
  <si>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</si>
  <si>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</si>
  <si>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</si>
  <si>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</si>
  <si>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</si>
  <si>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</si>
  <si>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</si>
  <si>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</si>
  <si>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</si>
  <si>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</si>
  <si>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</si>
  <si>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</si>
  <si>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</si>
  <si>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</si>
  <si>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</si>
  <si>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</si>
  <si>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</si>
  <si>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</si>
  <si>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</si>
  <si>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</si>
  <si>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</si>
  <si>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</si>
  <si>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</si>
  <si>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</si>
  <si>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</si>
  <si>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</si>
  <si>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</si>
  <si>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</si>
  <si>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</si>
  <si>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</si>
  <si>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</si>
  <si>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</si>
  <si>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</si>
  <si>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</si>
  <si>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</si>
  <si>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</si>
  <si>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</si>
  <si>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</si>
  <si>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</si>
  <si>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</si>
  <si>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</si>
  <si>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</si>
  <si>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</si>
  <si>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</si>
  <si>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</si>
  <si>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</si>
  <si>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</si>
  <si>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</si>
  <si>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</si>
  <si>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</si>
  <si>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</si>
  <si>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</si>
  <si>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</si>
  <si>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</si>
  <si>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</si>
  <si>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</si>
  <si>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</si>
  <si>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</si>
  <si>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</si>
  <si>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</si>
  <si>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</si>
  <si>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</si>
  <si>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</si>
  <si>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</si>
  <si>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</si>
  <si>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</si>
  <si>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</si>
  <si>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</si>
  <si>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</si>
  <si>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</si>
  <si>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</si>
  <si>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</si>
  <si>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</si>
  <si>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</si>
  <si>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</si>
  <si>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</si>
  <si>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</si>
  <si>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</si>
  <si>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</si>
  <si>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</si>
  <si>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</si>
  <si>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</si>
  <si>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</si>
  <si>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</si>
  <si>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</si>
  <si>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</si>
  <si>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</si>
  <si>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</si>
  <si>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</si>
  <si>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</si>
  <si>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</si>
  <si>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</si>
  <si>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</si>
  <si>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</si>
  <si>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</si>
  <si>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</si>
  <si>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</si>
  <si>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</si>
  <si>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</si>
  <si>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</si>
  <si>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</si>
  <si>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</si>
  <si>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</si>
  <si>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</si>
  <si>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</si>
  <si>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</si>
  <si>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</si>
  <si>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</si>
  <si>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</si>
  <si>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</si>
  <si>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</si>
  <si>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</si>
  <si>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</si>
  <si>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</si>
  <si>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</si>
  <si>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</si>
  <si>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</si>
  <si>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</si>
  <si>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</si>
  <si>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</si>
  <si>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</si>
  <si>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</si>
  <si>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</si>
  <si>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</si>
  <si>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</si>
  <si>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</si>
  <si>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</si>
  <si>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</si>
  <si>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</si>
  <si>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</si>
  <si>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</si>
  <si>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</si>
  <si>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</si>
  <si>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</si>
  <si>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</si>
  <si>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</si>
  <si>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</si>
  <si>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</si>
  <si>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</si>
  <si>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</si>
  <si>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</si>
  <si>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</si>
  <si>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</si>
  <si>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</si>
  <si>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</si>
  <si>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</si>
  <si>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</si>
  <si>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</si>
  <si>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</si>
  <si>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</si>
  <si>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</si>
  <si>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</si>
  <si>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</si>
  <si>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</si>
  <si>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</si>
  <si>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</si>
  <si>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</si>
  <si>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</si>
  <si>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</si>
  <si>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</si>
  <si>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</si>
  <si>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</si>
  <si>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</si>
  <si>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</si>
  <si>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</si>
  <si>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</si>
  <si>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</si>
  <si>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</si>
  <si>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</si>
  <si>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</si>
  <si>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</si>
  <si>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</si>
  <si>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</si>
  <si>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</si>
  <si>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</si>
  <si>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</si>
  <si>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</si>
  <si>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</si>
  <si>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</si>
  <si>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</si>
  <si>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</si>
  <si>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</si>
  <si>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</si>
  <si>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</si>
  <si>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</si>
  <si>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</si>
  <si>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</si>
  <si>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</si>
  <si>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</si>
  <si>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</si>
  <si>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</si>
  <si>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</si>
  <si>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</si>
  <si>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</si>
  <si>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</si>
  <si>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</si>
  <si>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</si>
  <si>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</si>
  <si>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</si>
  <si>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</si>
  <si>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</si>
  <si>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</si>
  <si>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</si>
  <si>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</si>
  <si>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</si>
  <si>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</si>
  <si>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</si>
  <si>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</si>
  <si>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</si>
  <si>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</si>
  <si>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</si>
  <si>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</si>
  <si>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</si>
  <si>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</si>
  <si>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</si>
  <si>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</si>
  <si>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</si>
  <si>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</si>
  <si>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</si>
  <si>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</si>
  <si>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</si>
  <si>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</si>
  <si>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</si>
  <si>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</si>
  <si>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</si>
  <si>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</si>
  <si>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</si>
  <si>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</si>
  <si>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</si>
  <si>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</si>
  <si>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</si>
  <si>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</si>
  <si>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</si>
  <si>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</si>
  <si>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</si>
  <si>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</si>
  <si>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</si>
  <si>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</si>
  <si>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</si>
  <si>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</si>
  <si>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</si>
  <si>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</si>
  <si>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</si>
  <si>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</si>
  <si>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</si>
  <si>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</si>
  <si>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</si>
  <si>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</si>
  <si>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</si>
  <si>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</si>
  <si>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</si>
  <si>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</si>
  <si>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</si>
  <si>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</si>
  <si>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</si>
  <si>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</si>
  <si>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</si>
  <si>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</si>
  <si>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</si>
  <si>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</si>
  <si>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</si>
  <si>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</si>
  <si>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</si>
  <si>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</si>
  <si>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</si>
  <si>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</si>
  <si>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</si>
  <si>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</si>
  <si>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</si>
  <si>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</si>
  <si>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</si>
  <si>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</si>
  <si>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</si>
  <si>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</si>
  <si>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</si>
  <si>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</si>
  <si>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</si>
  <si>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</si>
  <si>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</si>
  <si>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</si>
  <si>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</si>
  <si>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</si>
  <si>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</si>
  <si>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</si>
  <si>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</si>
  <si>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</si>
  <si>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</si>
  <si>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</si>
  <si>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</si>
  <si>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</si>
  <si>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</si>
  <si>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</si>
  <si>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</si>
  <si>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</si>
  <si>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</si>
  <si>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</si>
  <si>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</si>
  <si>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</si>
  <si>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</si>
  <si>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</si>
  <si>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</si>
  <si>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</si>
  <si>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</si>
  <si>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</si>
  <si>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</si>
  <si>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</si>
  <si>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</si>
  <si>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</si>
  <si>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</si>
  <si>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</si>
  <si>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</si>
  <si>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</si>
  <si>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</si>
  <si>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</si>
  <si>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</si>
  <si>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</si>
  <si>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</si>
  <si>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</si>
  <si>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</si>
  <si>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</si>
  <si>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</si>
  <si>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</si>
  <si>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</si>
  <si>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</si>
  <si>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</si>
  <si>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</si>
  <si>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</si>
  <si>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</si>
  <si>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</si>
  <si>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</si>
  <si>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</si>
  <si>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</si>
  <si>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</si>
  <si>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</si>
  <si>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</si>
  <si>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</si>
  <si>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</si>
  <si>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</si>
  <si>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</si>
  <si>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</si>
  <si>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</si>
  <si>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</si>
  <si>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</si>
  <si>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</si>
  <si>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</si>
  <si>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</si>
  <si>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</si>
  <si>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</si>
  <si>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</si>
  <si>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</si>
  <si>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</si>
  <si>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</si>
  <si>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</si>
  <si>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</si>
  <si>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</si>
  <si>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</si>
  <si>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</si>
  <si>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</si>
  <si>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</si>
  <si>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</si>
  <si>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</si>
  <si>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</si>
  <si>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</si>
  <si>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</si>
  <si>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</si>
  <si>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</si>
  <si>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</si>
  <si>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</si>
  <si>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</si>
  <si>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</si>
  <si>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</si>
  <si>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</si>
  <si>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</si>
  <si>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</si>
  <si>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</si>
  <si>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</si>
  <si>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</si>
  <si>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</si>
  <si>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</si>
  <si>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</si>
  <si>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</si>
  <si>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</si>
  <si>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</si>
  <si>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</si>
  <si>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</si>
  <si>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</si>
  <si>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</si>
  <si>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</si>
  <si>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</si>
  <si>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</si>
  <si>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</si>
  <si>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</si>
  <si>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</si>
  <si>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</si>
  <si>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</si>
  <si>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</si>
  <si>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</si>
  <si>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</si>
  <si>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</si>
  <si>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</si>
  <si>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</si>
  <si>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</si>
  <si>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</si>
  <si>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</si>
  <si>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</si>
  <si>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</si>
  <si>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</si>
  <si>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</si>
  <si>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</si>
  <si>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</si>
  <si>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</si>
  <si>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</si>
  <si>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</si>
  <si>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</si>
  <si>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</si>
  <si>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</si>
  <si>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</si>
  <si>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</si>
  <si>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</si>
  <si>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</si>
  <si>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</si>
  <si>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</si>
  <si>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</si>
  <si>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</si>
  <si>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</si>
  <si>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</si>
  <si>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</si>
  <si>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</si>
  <si>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</si>
  <si>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</si>
  <si>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</si>
  <si>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</si>
  <si>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</si>
  <si>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</si>
  <si>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</si>
  <si>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</si>
  <si>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</si>
  <si>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</si>
  <si>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</si>
  <si>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</si>
  <si>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</si>
  <si>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</si>
  <si>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</si>
  <si>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</si>
  <si>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</si>
  <si>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</si>
  <si>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</si>
  <si>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</si>
  <si>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</si>
  <si>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</si>
  <si>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</si>
  <si>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</si>
  <si>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</si>
  <si>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</si>
  <si>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</si>
  <si>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</si>
  <si>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</si>
  <si>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</si>
  <si>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</si>
  <si>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</si>
  <si>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</si>
  <si>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</si>
  <si>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</si>
  <si>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</si>
  <si>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</si>
  <si>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</si>
  <si>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</si>
  <si>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</si>
  <si>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</si>
  <si>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</si>
  <si>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</si>
  <si>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</si>
  <si>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</si>
  <si>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</si>
  <si>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</si>
  <si>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</si>
  <si>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</si>
  <si>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</si>
  <si>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</si>
  <si>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</si>
  <si>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</si>
  <si>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</si>
  <si>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</si>
  <si>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</si>
  <si>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</si>
  <si>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</si>
  <si>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</si>
  <si>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</si>
  <si>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</si>
  <si>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</si>
  <si>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</si>
  <si>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</si>
  <si>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</si>
  <si>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</si>
  <si>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</si>
  <si>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</si>
  <si>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</si>
  <si>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</si>
  <si>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</si>
  <si>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</si>
  <si>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</si>
  <si>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</si>
  <si>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</si>
  <si>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</si>
  <si>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</si>
  <si>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</si>
  <si>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</si>
  <si>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</si>
  <si>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</si>
  <si>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</si>
  <si>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</si>
  <si>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</si>
  <si>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</si>
  <si>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</si>
  <si>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</si>
  <si>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</si>
  <si>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</si>
  <si>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</si>
  <si>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</si>
  <si>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</si>
  <si>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</si>
  <si>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</si>
  <si>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</si>
  <si>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</si>
  <si>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</si>
  <si>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</si>
  <si>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</si>
  <si>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</si>
  <si>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</si>
  <si>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</si>
  <si>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</si>
  <si>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</si>
  <si>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</si>
  <si>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</si>
  <si>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</si>
  <si>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</si>
  <si>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</si>
  <si>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</si>
  <si>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</si>
  <si>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</si>
  <si>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</si>
  <si>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</si>
  <si>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</si>
  <si>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</si>
  <si>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</si>
  <si>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</si>
  <si>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</si>
  <si>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</si>
  <si>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</si>
  <si>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</si>
  <si>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</si>
  <si>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</si>
  <si>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</si>
  <si>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</si>
  <si>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</si>
  <si>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</si>
  <si>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</si>
  <si>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</si>
  <si>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</si>
  <si>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</si>
  <si>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</si>
  <si>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</si>
  <si>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</si>
  <si>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</si>
  <si>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</si>
  <si>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</si>
  <si>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</si>
  <si>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</si>
  <si>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</si>
  <si>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</si>
  <si>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</si>
  <si>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</si>
  <si>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</si>
  <si>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</si>
  <si>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</si>
  <si>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</si>
  <si>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</si>
  <si>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</si>
  <si>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</si>
  <si>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</si>
  <si>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</si>
  <si>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</si>
  <si>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</si>
  <si>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</si>
  <si>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</si>
  <si>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</si>
  <si>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</si>
  <si>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</si>
  <si>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</si>
  <si>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</si>
  <si>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</si>
  <si>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</si>
  <si>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</si>
  <si>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</si>
  <si>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</si>
  <si>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</si>
  <si>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</si>
  <si>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</si>
  <si>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</si>
  <si>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</si>
  <si>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</si>
  <si>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</si>
  <si>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</si>
  <si>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</si>
  <si>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</si>
  <si>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</si>
  <si>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</si>
  <si>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</si>
  <si>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</si>
  <si>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</si>
  <si>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</si>
  <si>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</si>
  <si>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</si>
  <si>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</si>
  <si>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</si>
  <si>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</si>
  <si>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</si>
  <si>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</si>
  <si>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</si>
  <si>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</si>
  <si>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</si>
  <si>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</si>
  <si>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</si>
  <si>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</si>
  <si>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</si>
  <si>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</si>
  <si>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</si>
  <si>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</si>
  <si>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</si>
  <si>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</si>
  <si>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</si>
  <si>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</si>
  <si>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</si>
  <si>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</si>
  <si>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</si>
  <si>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</si>
  <si>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</si>
  <si>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</si>
  <si>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</si>
  <si>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</si>
  <si>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</si>
  <si>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</si>
  <si>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</si>
  <si>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</si>
  <si>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</si>
  <si>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</si>
  <si>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</si>
  <si>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</si>
  <si>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</si>
  <si>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</si>
  <si>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</si>
  <si>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</si>
  <si>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</si>
  <si>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</si>
  <si>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</si>
  <si>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</si>
  <si>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</si>
  <si>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</si>
  <si>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</si>
  <si>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</si>
  <si>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</si>
  <si>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</si>
  <si>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</si>
  <si>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</si>
  <si>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</si>
  <si>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</si>
  <si>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</si>
  <si>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</si>
  <si>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</si>
  <si>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</si>
  <si>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</si>
  <si>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</si>
  <si>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</si>
  <si>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</si>
  <si>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</si>
  <si>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</si>
  <si>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</si>
  <si>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</si>
  <si>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</si>
  <si>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</si>
  <si>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</si>
  <si>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</si>
  <si>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</si>
  <si>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</si>
  <si>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</si>
  <si>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</si>
  <si>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</si>
  <si>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</si>
  <si>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</si>
  <si>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</si>
  <si>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</si>
  <si>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</si>
  <si>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</si>
  <si>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</si>
  <si>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</si>
  <si>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</si>
  <si>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</si>
  <si>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</si>
  <si>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</si>
  <si>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</si>
  <si>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</si>
  <si>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</si>
  <si>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</si>
  <si>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</si>
  <si>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</si>
  <si>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</si>
  <si>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</si>
  <si>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</si>
  <si>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</si>
  <si>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</si>
  <si>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</si>
  <si>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</si>
  <si>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</si>
  <si>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</si>
  <si>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</si>
  <si>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</si>
  <si>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</si>
  <si>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</si>
  <si>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</si>
  <si>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</si>
  <si>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</si>
  <si>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</si>
  <si>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</si>
  <si>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</si>
  <si>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</si>
  <si>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</si>
  <si>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</si>
  <si>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</si>
  <si>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</si>
  <si>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</si>
  <si>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</si>
  <si>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</si>
  <si>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</si>
  <si>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</si>
  <si>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</si>
  <si>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</si>
  <si>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</si>
  <si>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</si>
  <si>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</si>
  <si>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</si>
  <si>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</si>
  <si>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</si>
  <si>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</si>
  <si>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</si>
  <si>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</si>
  <si>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</si>
  <si>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</si>
  <si>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</si>
  <si>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</si>
  <si>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</si>
  <si>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</si>
  <si>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</si>
  <si>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</si>
  <si>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</si>
  <si>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</si>
  <si>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</si>
  <si>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</si>
  <si>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</si>
  <si>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</si>
  <si>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</si>
  <si>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</si>
  <si>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</si>
  <si>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</si>
  <si>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</si>
  <si>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</si>
  <si>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</si>
  <si>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</si>
  <si>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</si>
  <si>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</si>
  <si>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</si>
  <si>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</si>
  <si>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</si>
  <si>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</si>
  <si>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</si>
  <si>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</si>
  <si>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</si>
  <si>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</si>
  <si>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</si>
  <si>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</si>
  <si>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</si>
  <si>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</si>
  <si>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</si>
  <si>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</si>
  <si>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</si>
  <si>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</si>
  <si>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</si>
  <si>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</si>
  <si>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</si>
  <si>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</si>
  <si>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</si>
  <si>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</si>
  <si>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</si>
  <si>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</si>
  <si>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</si>
  <si>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</si>
  <si>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</si>
  <si>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</si>
  <si>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</si>
  <si>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</si>
  <si>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</si>
  <si>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</si>
  <si>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</si>
  <si>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</si>
  <si>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</si>
  <si>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</si>
  <si>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</si>
  <si>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</si>
  <si>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</si>
  <si>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</si>
  <si>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</si>
  <si>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</si>
  <si>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</si>
  <si>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</si>
  <si>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</si>
  <si>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</si>
  <si>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</si>
  <si>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</si>
  <si>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</si>
  <si>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</si>
  <si>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</si>
  <si>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</si>
  <si>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</si>
  <si>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</si>
  <si>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</si>
  <si>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</si>
  <si>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</si>
  <si>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</si>
  <si>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</si>
  <si>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</si>
  <si>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</si>
  <si>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</si>
  <si>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</si>
  <si>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</si>
  <si>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</si>
  <si>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</si>
  <si>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</si>
  <si>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</si>
  <si>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</si>
  <si>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</si>
  <si>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</si>
  <si>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</si>
  <si>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</si>
  <si>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</si>
  <si>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</si>
  <si>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</si>
  <si>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</si>
  <si>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</si>
  <si>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</si>
  <si>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</si>
  <si>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</si>
  <si>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</si>
  <si>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</si>
  <si>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</si>
  <si>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</si>
  <si>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</si>
  <si>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</si>
  <si>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</si>
  <si>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</si>
  <si>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</si>
  <si>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</si>
  <si>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</si>
  <si>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</si>
  <si>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</si>
  <si>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</si>
  <si>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</si>
  <si>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</si>
  <si>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</si>
  <si>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</si>
  <si>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</si>
  <si>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</si>
  <si>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</si>
  <si>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</si>
  <si>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</si>
  <si>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</si>
  <si>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</si>
  <si>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</si>
  <si>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</si>
  <si>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</si>
  <si>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</si>
  <si>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</si>
  <si>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</si>
  <si>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</si>
  <si>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</si>
  <si>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</si>
  <si>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</si>
  <si>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</si>
  <si>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</si>
  <si>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</si>
  <si>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</si>
  <si>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</si>
  <si>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</si>
  <si>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</si>
  <si>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</si>
  <si>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</si>
  <si>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</si>
  <si>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</si>
  <si>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</si>
  <si>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</si>
  <si>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</si>
  <si>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</si>
  <si>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</si>
  <si>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</si>
  <si>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</si>
  <si>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</si>
  <si>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</si>
  <si>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</si>
  <si>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</si>
  <si>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</si>
  <si>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</si>
  <si>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</si>
  <si>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</si>
  <si>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</si>
  <si>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</si>
  <si>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</si>
  <si>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</si>
  <si>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</si>
  <si>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</si>
  <si>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</si>
  <si>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</si>
  <si>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</si>
  <si>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</si>
  <si>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</si>
  <si>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</si>
  <si>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</si>
  <si>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</si>
  <si>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</si>
  <si>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</si>
  <si>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</si>
  <si>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</si>
  <si>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</si>
  <si>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</si>
  <si>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</si>
  <si>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</si>
  <si>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</si>
  <si>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</si>
  <si>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</si>
  <si>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</si>
  <si>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</si>
  <si>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</si>
  <si>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</si>
  <si>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</si>
  <si>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</si>
  <si>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</si>
  <si>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</si>
  <si>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</si>
  <si>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</si>
  <si>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</si>
  <si>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</si>
  <si>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</si>
  <si>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</si>
  <si>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</si>
  <si>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</si>
  <si>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</si>
  <si>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</si>
  <si>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</si>
  <si>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</si>
  <si>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</si>
  <si>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</si>
  <si>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</si>
  <si>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</si>
  <si>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</si>
  <si>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</si>
  <si>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</si>
  <si>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</si>
  <si>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</si>
  <si>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</si>
  <si>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</si>
  <si>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</si>
  <si>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</si>
  <si>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</si>
  <si>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</si>
  <si>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</si>
  <si>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</si>
  <si>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</si>
  <si>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</si>
  <si>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</si>
  <si>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</si>
  <si>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</si>
  <si>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</si>
  <si>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</si>
  <si>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</si>
  <si>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</si>
  <si>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</si>
  <si>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</si>
  <si>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</si>
  <si>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</si>
  <si>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</si>
  <si>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</si>
  <si>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</si>
  <si>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</si>
  <si>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</si>
  <si>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</si>
  <si>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</si>
  <si>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</si>
  <si>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</si>
  <si>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</si>
  <si>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</si>
  <si>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</si>
  <si>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</si>
  <si>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</si>
  <si>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</si>
  <si>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</si>
  <si>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</si>
  <si>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</si>
  <si>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</si>
  <si>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</si>
  <si>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</si>
  <si>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</si>
  <si>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</si>
  <si>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</si>
  <si>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</si>
  <si>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</si>
  <si>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</si>
  <si>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</si>
  <si>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</si>
  <si>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</si>
  <si>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</si>
  <si>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</si>
  <si>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</si>
  <si>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</si>
  <si>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</si>
  <si>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</si>
  <si>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</si>
  <si>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</si>
  <si>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</si>
  <si>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</si>
  <si>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</si>
  <si>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</si>
  <si>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</si>
  <si>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</si>
  <si>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</si>
  <si>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</si>
  <si>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</si>
  <si>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</si>
  <si>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</si>
  <si>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</si>
  <si>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</si>
  <si>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</si>
  <si>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</si>
  <si>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</si>
  <si>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</si>
  <si>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</si>
  <si>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</si>
  <si>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</si>
  <si>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</si>
  <si>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</si>
  <si>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</si>
  <si>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</si>
  <si>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</si>
  <si>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</si>
  <si>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</si>
  <si>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</si>
  <si>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</si>
  <si>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</si>
  <si>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</si>
  <si>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</si>
  <si>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</si>
  <si>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</si>
  <si>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</si>
  <si>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</si>
  <si>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</si>
  <si>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</si>
  <si>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</si>
  <si>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</si>
  <si>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</si>
  <si>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</si>
  <si>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</si>
  <si>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</si>
  <si>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</si>
  <si>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</si>
  <si>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</si>
  <si>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</si>
  <si>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</si>
  <si>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</si>
  <si>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</si>
  <si>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</si>
  <si>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</si>
  <si>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</si>
  <si>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</si>
  <si>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</si>
  <si>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</si>
  <si>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</si>
  <si>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</si>
  <si>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</si>
  <si>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</si>
  <si>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</si>
  <si>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</si>
  <si>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</si>
  <si>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</si>
  <si>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</si>
  <si>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</si>
  <si>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</si>
  <si>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</si>
  <si>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</si>
  <si>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</si>
  <si>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</si>
  <si>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</si>
  <si>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</si>
  <si>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</si>
  <si>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</si>
  <si>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</si>
  <si>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</si>
  <si>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</si>
  <si>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</si>
  <si>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</si>
  <si>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</si>
  <si>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</si>
  <si>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</si>
  <si>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</si>
  <si>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</si>
  <si>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</si>
  <si>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</si>
  <si>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</si>
  <si>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</si>
  <si>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</si>
  <si>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</si>
  <si>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</si>
  <si>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</si>
  <si>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</si>
  <si>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</si>
  <si>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</si>
  <si>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</si>
  <si>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</si>
  <si>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</si>
  <si>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</si>
  <si>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</si>
  <si>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</si>
  <si>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</si>
  <si>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</si>
  <si>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</si>
  <si>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</si>
  <si>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</si>
  <si>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</si>
  <si>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</si>
  <si>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</si>
  <si>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</si>
  <si>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</si>
  <si>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</si>
  <si>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</si>
  <si>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</si>
  <si>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</si>
  <si>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</si>
  <si>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</si>
  <si>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</si>
  <si>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</si>
  <si>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</si>
  <si>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</si>
  <si>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</si>
  <si>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</si>
  <si>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</si>
  <si>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</si>
  <si>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</si>
  <si>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</si>
  <si>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</si>
  <si>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</si>
  <si>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</si>
  <si>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</si>
  <si>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</si>
  <si>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</si>
  <si>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</si>
  <si>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</si>
  <si>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</si>
  <si>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</si>
  <si>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</si>
  <si>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</si>
  <si>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</si>
  <si>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</si>
  <si>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</si>
  <si>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</si>
  <si>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</si>
  <si>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</si>
  <si>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</si>
  <si>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</si>
  <si>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</si>
  <si>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</si>
  <si>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</si>
  <si>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</si>
  <si>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</si>
  <si>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</si>
  <si>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</si>
  <si>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</si>
  <si>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</si>
  <si>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</si>
  <si>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</si>
  <si>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</si>
  <si>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</si>
  <si>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</si>
  <si>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</si>
  <si>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</si>
  <si>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</si>
  <si>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</si>
  <si>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</si>
  <si>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</si>
  <si>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</si>
  <si>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</si>
  <si>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</si>
  <si>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</si>
  <si>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</si>
  <si>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</si>
  <si>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</si>
  <si>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</si>
  <si>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</si>
  <si>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</si>
  <si>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</si>
  <si>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</si>
  <si>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</si>
  <si>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</si>
  <si>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</si>
  <si>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</si>
  <si>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</si>
  <si>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</si>
  <si>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</si>
  <si>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</si>
  <si>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</si>
  <si>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</si>
  <si>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</si>
  <si>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</si>
  <si>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</si>
  <si>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</si>
  <si>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</si>
  <si>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</si>
  <si>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</si>
  <si>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</si>
  <si>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</si>
  <si>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</si>
  <si>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</si>
  <si>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</si>
  <si>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</si>
  <si>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</si>
  <si>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</si>
  <si>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</si>
  <si>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</si>
  <si>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</si>
  <si>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</si>
  <si>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</si>
  <si>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</si>
  <si>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</si>
  <si>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</si>
  <si>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</si>
  <si>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</si>
  <si>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</si>
  <si>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</si>
  <si>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</si>
  <si>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</si>
  <si>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</si>
  <si>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</si>
  <si>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</si>
  <si>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</si>
  <si>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</si>
  <si>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</si>
  <si>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</si>
  <si>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</si>
  <si>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</si>
  <si>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</si>
  <si>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</si>
  <si>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</si>
  <si>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</si>
  <si>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</si>
  <si>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</si>
  <si>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</si>
  <si>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</si>
  <si>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</si>
  <si>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</si>
  <si>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</si>
  <si>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</si>
  <si>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</si>
  <si>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</si>
  <si>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</si>
  <si>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</si>
  <si>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</si>
  <si>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</si>
  <si>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</si>
  <si>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</si>
  <si>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</si>
  <si>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</si>
  <si>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</si>
  <si>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</si>
  <si>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</si>
  <si>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</si>
  <si>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</si>
  <si>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</si>
  <si>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</si>
  <si>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</si>
  <si>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</si>
  <si>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</si>
  <si>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</si>
  <si>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</si>
  <si>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</si>
  <si>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</si>
  <si>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</si>
  <si>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</si>
  <si>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</si>
  <si>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</si>
  <si>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</si>
  <si>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</si>
  <si>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</si>
  <si>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</si>
  <si>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</si>
  <si>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</si>
  <si>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</si>
  <si>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</si>
  <si>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</si>
  <si>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</si>
  <si>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</si>
  <si>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</si>
  <si>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</si>
  <si>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</si>
  <si>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</si>
  <si>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</si>
  <si>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</si>
  <si>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</si>
  <si>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</si>
  <si>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</si>
  <si>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</si>
  <si>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</si>
  <si>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</si>
  <si>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</si>
  <si>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</si>
  <si>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</si>
  <si>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</si>
  <si>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</si>
  <si>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</si>
  <si>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</si>
  <si>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</si>
  <si>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</si>
  <si>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</si>
  <si>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</si>
  <si>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</si>
  <si>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</si>
  <si>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</si>
  <si>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</si>
  <si>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</si>
  <si>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</si>
  <si>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</si>
  <si>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</si>
  <si>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</si>
  <si>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</si>
  <si>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</si>
  <si>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</si>
  <si>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</si>
  <si>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</si>
  <si>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</si>
  <si>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</si>
  <si>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</si>
  <si>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Fairfield Hilltop LP,  a California limited partnership</t>
  </si>
  <si>
    <t>Hilltop Commons Apartments</t>
  </si>
  <si>
    <t>City of San Pablo</t>
  </si>
  <si>
    <t>Mr. Kelsey D. Worthy</t>
  </si>
  <si>
    <t>Asst City Manager</t>
  </si>
  <si>
    <t>13831 San Pablo Avenue</t>
  </si>
  <si>
    <t>San Pablo</t>
  </si>
  <si>
    <t>510-215-3030</t>
  </si>
  <si>
    <t>kelsey2@ci.san-pablo.ca.us</t>
  </si>
  <si>
    <t>TCAC-only application (submitting seperately to CDLAC)</t>
  </si>
  <si>
    <t>15690 Crestwood</t>
  </si>
  <si>
    <t>405-170-010</t>
  </si>
  <si>
    <t>40%/60%</t>
  </si>
  <si>
    <t>5510 Morehouse Drive</t>
  </si>
  <si>
    <t>CA</t>
  </si>
  <si>
    <t>5510 Morehouse Drive, Suite 200</t>
  </si>
  <si>
    <t>Tim Wray</t>
  </si>
  <si>
    <t>858-824-6413</t>
  </si>
  <si>
    <t>twray@ffres.com</t>
  </si>
  <si>
    <t>Fairfield Residential Holdings LLC</t>
  </si>
  <si>
    <t>FRH Hilltop LLC, a Delaware limited liability company</t>
  </si>
  <si>
    <t>Managing GP</t>
  </si>
  <si>
    <t>Jon MacDonal</t>
  </si>
  <si>
    <t>858-547-2123</t>
  </si>
  <si>
    <t>jmacdonald@ffres.com</t>
  </si>
  <si>
    <t>RCC MGP LLC, a California limited partnership</t>
  </si>
  <si>
    <t>Administrative GP</t>
  </si>
  <si>
    <t>14131 Yorba Street</t>
  </si>
  <si>
    <t>Tustin</t>
  </si>
  <si>
    <t>Ken Robertson</t>
  </si>
  <si>
    <t>714-628-1654</t>
  </si>
  <si>
    <t>ksr@riversidecharitable.org</t>
  </si>
  <si>
    <t>Riverside Charitable Corp</t>
  </si>
  <si>
    <t>Fairfield Affordable Housing Tranche II, a California limited partnership</t>
  </si>
  <si>
    <t>Vice President of Affordable Housing, Fairfield Residential</t>
  </si>
  <si>
    <t>Fairfield Affordable Housing Traunche II</t>
  </si>
  <si>
    <t>5510 Morehouse Drvie, Suite 200</t>
  </si>
  <si>
    <t>San Diego, CA 92121</t>
  </si>
  <si>
    <t>858-457-3982</t>
  </si>
  <si>
    <t>Brad Meister</t>
  </si>
  <si>
    <t>6755 Saranac Street</t>
  </si>
  <si>
    <t>San Diego, CA 92115</t>
  </si>
  <si>
    <t>Brian Meister</t>
  </si>
  <si>
    <t>619-981-2109</t>
  </si>
  <si>
    <t>brian@bau-arch.com</t>
  </si>
  <si>
    <t>Bocarsly, Emden, Cowen, Esmail &amp; Arndt LLP</t>
  </si>
  <si>
    <t>633 W. 5th Street, 64th Floor</t>
  </si>
  <si>
    <t>Seattle, WA 98004</t>
  </si>
  <si>
    <t>Los Angeles, CA 90017</t>
  </si>
  <si>
    <t>Kyle Arndt</t>
  </si>
  <si>
    <t>213-239-80418</t>
  </si>
  <si>
    <t>213-239-0410</t>
  </si>
  <si>
    <t>kanrdt@bocarsly.com</t>
  </si>
  <si>
    <t>Novogradac Consulting LLP</t>
  </si>
  <si>
    <t>1300 114th Street Ave SE #140</t>
  </si>
  <si>
    <t>Thomas Stagg</t>
  </si>
  <si>
    <t>425-453-5783</t>
  </si>
  <si>
    <t>thomas.stagg@novoco.com</t>
  </si>
  <si>
    <t>Brad Weinberg</t>
  </si>
  <si>
    <t>415-356-8000</t>
  </si>
  <si>
    <t>brad.weinberg@novoco.com</t>
  </si>
  <si>
    <t>CSCDA</t>
  </si>
  <si>
    <t>1700 N. Broadway Suite 405</t>
  </si>
  <si>
    <t>Walnut Creek, CA 94596</t>
  </si>
  <si>
    <t>Jon Penkower</t>
  </si>
  <si>
    <t>800-531-7476</t>
  </si>
  <si>
    <t>jpenkower@cscda.org</t>
  </si>
  <si>
    <t>Fairfield Properties LP</t>
  </si>
  <si>
    <t>Fairfield Development LP</t>
  </si>
  <si>
    <t>Andy Jennings</t>
  </si>
  <si>
    <t>858-457-2123</t>
  </si>
  <si>
    <t>ajennings@ffres.com</t>
  </si>
  <si>
    <t>Partner Energy</t>
  </si>
  <si>
    <t>680 Knox Street, Suite 150</t>
  </si>
  <si>
    <t>Los Angeles, CA  90502</t>
  </si>
  <si>
    <t>Kyle Brumfitt</t>
  </si>
  <si>
    <t>310-622-8854</t>
  </si>
  <si>
    <t>kbrumfitt@ptrenergy.com</t>
  </si>
  <si>
    <t>Raymond James</t>
  </si>
  <si>
    <t>5420 La Jolla Blvd, B104</t>
  </si>
  <si>
    <t>La Jolla, CA 92037</t>
  </si>
  <si>
    <t>Kevin Kilbane</t>
  </si>
  <si>
    <t>216-509-1342</t>
  </si>
  <si>
    <t>kevin.kilbane@RaymondJames.com</t>
  </si>
  <si>
    <t>CBRE</t>
  </si>
  <si>
    <t>1861 International Drive</t>
  </si>
  <si>
    <t>Mcclain, VA 22102</t>
  </si>
  <si>
    <t>Blake Ilgenfritz</t>
  </si>
  <si>
    <t>703-905-0269</t>
  </si>
  <si>
    <t>blake.Ilgenfritz@cbre.com</t>
  </si>
  <si>
    <t>Kim Bender</t>
  </si>
  <si>
    <t>kbender@ffres.com</t>
  </si>
  <si>
    <t>Appraisal</t>
  </si>
  <si>
    <t>Multifamily Housing</t>
  </si>
  <si>
    <t>Steadfast Hlltop Commons LP</t>
  </si>
  <si>
    <t>Dinesh Davar</t>
  </si>
  <si>
    <t>CFO</t>
  </si>
  <si>
    <t>18100 Von Karman</t>
  </si>
  <si>
    <t>Rod Emery</t>
  </si>
  <si>
    <t>Chairman and CEO</t>
  </si>
  <si>
    <t>One or Two Story Garden</t>
  </si>
  <si>
    <t>Irregular in shape.  Linear feet not provided in Appraisal.</t>
  </si>
  <si>
    <t>Citibank (Tax Exempt Bonds)</t>
  </si>
  <si>
    <t>Fairfield Affordable Housing Fund Tranche II</t>
  </si>
  <si>
    <t>Deferred Developer Fee</t>
  </si>
  <si>
    <t>Raymond James tax credit equity</t>
  </si>
  <si>
    <t>AFR</t>
  </si>
  <si>
    <t>Fixed</t>
  </si>
  <si>
    <t>1801 California Street, Suite 3700</t>
  </si>
  <si>
    <t>Denver, CO 80202</t>
  </si>
  <si>
    <t>Brian Dale</t>
  </si>
  <si>
    <t>303-824-6406</t>
  </si>
  <si>
    <t>Private Placement Fixed Rate</t>
  </si>
  <si>
    <t>Paul Kudirka</t>
  </si>
  <si>
    <t>858-824-6406</t>
  </si>
  <si>
    <t>Owner Equity</t>
  </si>
  <si>
    <t>La Jolla, CA  92037</t>
  </si>
  <si>
    <t>Tax Credit Equity</t>
  </si>
  <si>
    <t>Private Placement Ficed Rate</t>
  </si>
  <si>
    <t>Housing Authority of Contra Costa County</t>
  </si>
  <si>
    <t>Porters, Leasing Agents</t>
  </si>
  <si>
    <t>Turn Costs</t>
  </si>
  <si>
    <t>Property Insurance</t>
  </si>
  <si>
    <t>Citibank (Taxable Bonds)- Construction</t>
  </si>
  <si>
    <t>Other 3rd Parties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</si>
</sst>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10" fontId="6" fillId="0" borderId="3" xfId="570" applyNumberFormat="1" applyFill="1" applyBorder="1" applyAlignment="1" applyProtection="1">
      <alignment horizontal="center"/>
      <protection locked="0"/>
    </xf>
    <xf numFmtId="10" fontId="6" fillId="0" borderId="4" xfId="570" applyNumberFormat="1" applyFill="1" applyBorder="1" applyAlignment="1" applyProtection="1">
      <alignment horizontal="center"/>
      <protection locked="0"/>
    </xf>
    <xf numFmtId="10" fontId="6" fillId="0" borderId="5"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265"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596</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706</v>
      </c>
      <c r="F40" s="960" t="s">
        <v>1400</v>
      </c>
    </row>
    <row r="41" spans="1:38" s="960"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555</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555</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1009</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21</v>
      </c>
      <c r="C4" s="682">
        <f>Application!K709</f>
        <v>1114</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180</v>
      </c>
      <c r="C5" s="682">
        <f>Application!K710</f>
        <v>1347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13</v>
      </c>
      <c r="C6" s="682">
        <f>Application!K711</f>
        <v>1330</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107</v>
      </c>
      <c r="C7" s="682">
        <f>Application!K712</f>
        <v>1609</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455307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5700000</v>
      </c>
      <c r="C5" s="438">
        <f>'Sources and Uses Budget'!$C4</f>
        <v>5700000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100000</v>
      </c>
      <c r="C7" s="438">
        <f>'Sources and Uses Budget'!$C6</f>
        <v>100000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5800000</v>
      </c>
      <c r="C9" s="442">
        <f>SUM(C5:C8)</f>
        <v>5800000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84072440</v>
      </c>
      <c r="C10" s="438">
        <f>'Sources and Uses Budget'!$C9</f>
        <v>84072440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84072440</v>
      </c>
      <c r="C12" s="442">
        <f>SUM(C10:C11)</f>
        <v>84072440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89872440</v>
      </c>
      <c r="C13" s="442">
        <f>SUM(C9+C12)</f>
        <v>89872440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28166647</v>
      </c>
      <c r="C19" s="438">
        <f>'Sources and Uses Budget'!$C18</f>
        <v>28166647</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762041</v>
      </c>
      <c r="C20" s="438">
        <f>'Sources and Uses Budget'!$C19</f>
        <v>762041</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834841</v>
      </c>
      <c r="C21" s="438">
        <f>'Sources and Uses Budget'!$C20</f>
        <v>834841</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2345343</v>
      </c>
      <c r="C22" s="438">
        <f>'Sources and Uses Budget'!$C21</f>
        <v>2345343</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32108872</v>
      </c>
      <c r="C26" s="442">
        <f>SUM(C18:C25)</f>
        <v>32108872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750000</v>
      </c>
      <c r="C27" s="438">
        <f>'Sources and Uses Budget'!$C$26</f>
        <v>750000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5000</v>
      </c>
      <c r="C39" s="438">
        <f>'Sources and Uses Budget'!$C38</f>
        <v>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5000</v>
      </c>
      <c r="C41" s="442">
        <f>SUM(C39:C40)</f>
        <v>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2215682</v>
      </c>
      <c r="C44" s="438">
        <f>'Sources and Uses Budget'!$C43</f>
        <v>2215682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741250</v>
      </c>
      <c r="C45" s="438">
        <f>'Sources and Uses Budget'!$C44</f>
        <v>741250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100000</v>
      </c>
      <c r="C49" s="438">
        <f>'Sources and Uses Budget'!$C48</f>
        <v>100000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95274</v>
      </c>
      <c r="C50" s="438">
        <f>'Sources and Uses Budget'!$C49</f>
        <v>95274</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3152206</v>
      </c>
      <c r="C54" s="445">
        <f>SUM(C44:C53)</f>
        <v>3152206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741250</v>
      </c>
      <c r="C56" s="438">
        <f>'Sources and Uses Budget'!$C55</f>
        <v>741250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105000</v>
      </c>
      <c r="C58" s="438">
        <f>'Sources and Uses Budget'!$C57</f>
        <v>105000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95274</v>
      </c>
      <c r="C59" s="438">
        <f>'Sources and Uses Budget'!$C58</f>
        <v>95274</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75000</v>
      </c>
      <c r="C61" s="438">
        <f>'Sources and Uses Budget'!$C60</f>
        <v>75000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140000</v>
      </c>
      <c r="C62" s="438">
        <f>'Sources and Uses Budget'!$C61</f>
        <v>140000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1156524</v>
      </c>
      <c r="C63" s="442">
        <f>SUM(C56:C62)</f>
        <v>1156524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127045042</v>
      </c>
      <c r="C64" s="442">
        <f>SUM(C9+C12+C14+C15+C17+C26+C27+C37+C41+C42+C54+C63)</f>
        <v>127045042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200000</v>
      </c>
      <c r="C66" s="438">
        <f>'Sources and Uses Budget'!$C65</f>
        <v>200000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1252117</v>
      </c>
      <c r="C73" s="438">
        <f>'Sources and Uses Budget'!$C72</f>
        <v>1252117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1252117</v>
      </c>
      <c r="C75" s="442">
        <f>SUM(C70:C74)</f>
        <v>1252117</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3210887</v>
      </c>
      <c r="C77" s="438">
        <f>'Sources and Uses Budget'!$C76</f>
        <v>3210887</v>
      </c>
      <c r="D77" s="442">
        <f t="shared" si="1"/>
        <v>0</v>
      </c>
      <c r="E77" s="440"/>
      <c r="F77" s="439"/>
      <c r="G77" s="577"/>
    </row>
    <row r="78" spans="1:253" s="571" customFormat="1">
      <c r="A78" s="893" t="s">
        <v>63</v>
      </c>
      <c r="B78" s="438">
        <f>'Sources and Uses Budget'!$C77</f>
        <v>1845060</v>
      </c>
      <c r="C78" s="438">
        <f>'Sources and Uses Budget'!$C77</f>
        <v>1845060</v>
      </c>
      <c r="D78" s="442">
        <f t="shared" ref="D78" si="2">C78-B78</f>
        <v>0</v>
      </c>
      <c r="E78" s="440"/>
      <c r="F78" s="439"/>
      <c r="G78" s="577"/>
    </row>
    <row r="79" spans="1:253" s="571" customFormat="1">
      <c r="A79" s="443" t="s">
        <v>1468</v>
      </c>
      <c r="B79" s="442">
        <f>SUM(B77:B78)</f>
        <v>5055947</v>
      </c>
      <c r="C79" s="442">
        <f>SUM(C77:C78)</f>
        <v>5055947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185000</v>
      </c>
      <c r="C81" s="438">
        <f>'Sources and Uses Budget'!$C80</f>
        <v>185000</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0</v>
      </c>
      <c r="C84" s="438">
        <f>'Sources and Uses Budget'!$C83</f>
        <v>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61560</v>
      </c>
      <c r="C92" s="438">
        <f>'Sources and Uses Budget'!$C91</f>
        <v>61560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281560</v>
      </c>
      <c r="C96" s="442">
        <f>SUM(C81:C95)</f>
        <v>281560</v>
      </c>
      <c r="D96" s="442">
        <f t="shared" si="1"/>
        <v>0</v>
      </c>
      <c r="E96" s="440"/>
      <c r="F96" s="439"/>
      <c r="G96" s="577"/>
    </row>
    <row r="97" spans="1:7" s="571" customFormat="1">
      <c r="A97" s="443" t="s">
        <v>853</v>
      </c>
      <c r="B97" s="442">
        <f>SUM(B64+B68+B75+B79+B96)</f>
        <v>133834666</v>
      </c>
      <c r="C97" s="442">
        <f>SUM(C64+C68+C75+C79+C96)</f>
        <v>133834666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18705853</v>
      </c>
      <c r="C99" s="438">
        <f>'Sources and Uses Budget'!$C98</f>
        <v>18705853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18705853</v>
      </c>
      <c r="C105" s="442">
        <f>SUM(C99:C104)</f>
        <v>18705853</v>
      </c>
      <c r="D105" s="442">
        <f t="shared" si="1"/>
        <v>0</v>
      </c>
      <c r="E105" s="440"/>
      <c r="F105" s="439"/>
      <c r="G105" s="575"/>
    </row>
    <row r="106" spans="1:7" s="570" customFormat="1">
      <c r="A106" s="443" t="s">
        <v>861</v>
      </c>
      <c r="B106" s="445">
        <f>SUM(B97+B105)</f>
        <v>152540519</v>
      </c>
      <c r="C106" s="445">
        <f>SUM(C97+C105)</f>
        <v>152540519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329</v>
      </c>
    </row>
    <row r="4" spans="1:9">
      <c r="I4" s="702" t="s">
        <v>1199</v>
      </c>
    </row>
    <row r="5" spans="1:9" s="39" customFormat="1">
      <c r="A5" s="1014" t="s">
        <v>1126</v>
      </c>
      <c r="B5" s="1014"/>
      <c r="C5" s="1015"/>
      <c r="D5" s="1015"/>
      <c r="E5" s="1015"/>
      <c r="F5" s="1015"/>
      <c r="G5" s="1015"/>
      <c r="I5" s="702" t="s">
        <v>1200</v>
      </c>
    </row>
    <row r="6" spans="1:9" s="39" customFormat="1">
      <c r="A6" s="1014" t="s">
        <v>903</v>
      </c>
      <c r="B6" s="1014"/>
      <c r="C6" s="1015"/>
      <c r="D6" s="1015"/>
      <c r="E6" s="1015"/>
      <c r="F6" s="1015"/>
      <c r="G6" s="1015"/>
      <c r="I6" s="701" t="s">
        <v>641</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15"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25">
      <c r="A17" s="270"/>
      <c r="B17" s="703" t="s">
        <v>329</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1282</v>
      </c>
      <c r="E21" s="1026"/>
      <c r="F21" s="1026"/>
    </row>
    <row r="22" spans="1:7" ht="14.25">
      <c r="A22" s="270"/>
      <c r="B22" s="270"/>
      <c r="D22" s="138"/>
    </row>
    <row r="23" spans="1:7" ht="14.25">
      <c r="A23" s="270"/>
      <c r="B23" s="703" t="s">
        <v>329</v>
      </c>
      <c r="D23" s="960" t="s">
        <v>1283</v>
      </c>
      <c r="E23" s="960"/>
      <c r="F23" s="960"/>
    </row>
    <row r="24" spans="1:7" ht="14.25">
      <c r="A24" s="270"/>
      <c r="B24" s="270"/>
      <c r="D24" s="960"/>
      <c r="E24" s="960"/>
      <c r="F24" s="960"/>
    </row>
    <row r="25" spans="1:7"/>
    <row r="26" spans="1:7" ht="14.25">
      <c r="A26" s="270"/>
      <c r="B26" s="703" t="s">
        <v>329</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60" t="s">
        <v>1294</v>
      </c>
      <c r="E68" s="960"/>
      <c r="F68" s="960"/>
    </row>
    <row r="69" spans="1:7">
      <c r="D69" s="960"/>
      <c r="E69" s="960"/>
      <c r="F69" s="960"/>
    </row>
    <row r="70" spans="1:7" ht="14.25">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25">
      <c r="A76" s="270"/>
      <c r="B76" s="703" t="s">
        <v>329</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1399</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1413</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1306</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1307</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1308</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483</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25">
      <c r="A178" s="270"/>
      <c r="B178" s="703" t="s">
        <v>329</v>
      </c>
      <c r="C178" s="274"/>
      <c r="D178" s="998" t="s">
        <v>1310</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1309</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1333</v>
      </c>
      <c r="E194" s="985"/>
      <c r="F194" s="985"/>
    </row>
    <row r="195" spans="1:6" ht="12" customHeight="1">
      <c r="A195" s="23"/>
      <c r="B195" s="699"/>
      <c r="C195" s="23"/>
    </row>
    <row r="196" spans="1:6" ht="13.15" customHeight="1">
      <c r="A196" s="23"/>
      <c r="C196" s="23"/>
      <c r="D196" s="983" t="s">
        <v>592</v>
      </c>
      <c r="E196" s="983"/>
      <c r="F196" s="983"/>
    </row>
    <row r="197" spans="1:6" ht="14.25">
      <c r="A197" s="270"/>
      <c r="B197" s="703" t="s">
        <v>329</v>
      </c>
      <c r="D197" s="960" t="s">
        <v>1327</v>
      </c>
      <c r="E197" s="960"/>
      <c r="F197" s="960"/>
    </row>
    <row r="198" spans="1:6" ht="14.25">
      <c r="A198" s="270"/>
      <c r="B198" s="270"/>
      <c r="D198" s="960"/>
      <c r="E198" s="960"/>
      <c r="F198" s="960"/>
    </row>
    <row r="199" spans="1:6"/>
    <row r="200" spans="1:6" ht="14.25">
      <c r="A200" s="270"/>
      <c r="B200" s="703" t="s">
        <v>329</v>
      </c>
      <c r="D200" s="960" t="s">
        <v>1328</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1330</v>
      </c>
      <c r="E210" s="974"/>
      <c r="F210" s="974"/>
    </row>
    <row r="211" spans="1:7" ht="14.25">
      <c r="A211" s="270"/>
      <c r="B211" s="270"/>
      <c r="D211" s="974"/>
      <c r="E211" s="974"/>
      <c r="F211" s="974"/>
    </row>
    <row r="212" spans="1:7" ht="14.25">
      <c r="A212" s="270"/>
      <c r="B212" s="270"/>
      <c r="D212" s="1008" t="s">
        <v>992</v>
      </c>
      <c r="E212" s="1008"/>
      <c r="F212" s="1008"/>
    </row>
    <row r="213" spans="1:7" ht="14.25">
      <c r="A213" s="270"/>
      <c r="B213" s="270"/>
      <c r="D213" s="138"/>
      <c r="E213" s="138"/>
      <c r="F213" s="138"/>
    </row>
    <row r="214" spans="1:7" ht="14.45" customHeight="1">
      <c r="A214" s="270"/>
      <c r="B214" s="703" t="s">
        <v>329</v>
      </c>
      <c r="D214" s="974" t="s">
        <v>1332</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1331</v>
      </c>
      <c r="E220" s="960"/>
      <c r="F220" s="960"/>
    </row>
    <row r="221" spans="1:7" ht="14.25">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1335</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1336</v>
      </c>
      <c r="E231" s="974"/>
      <c r="F231" s="974"/>
    </row>
    <row r="232" spans="1:6">
      <c r="D232" s="974"/>
      <c r="E232" s="974"/>
      <c r="F232" s="974"/>
    </row>
    <row r="233" spans="1:6">
      <c r="D233" s="985" t="s">
        <v>983</v>
      </c>
      <c r="E233" s="985"/>
      <c r="F233" s="985"/>
    </row>
    <row r="234" spans="1:6">
      <c r="D234" s="138"/>
      <c r="E234" s="138"/>
      <c r="F234" s="138"/>
    </row>
    <row r="235" spans="1:6" ht="14.45" customHeight="1">
      <c r="A235" s="270"/>
      <c r="B235" s="703" t="s">
        <v>329</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1340</v>
      </c>
      <c r="E251" s="991"/>
      <c r="F251" s="991"/>
    </row>
    <row r="252" spans="1:7">
      <c r="E252" s="138"/>
      <c r="F252" s="138"/>
    </row>
    <row r="253" spans="1:7" ht="14.25">
      <c r="A253" s="270"/>
      <c r="B253" s="703" t="s">
        <v>329</v>
      </c>
      <c r="D253" s="960" t="s">
        <v>1341</v>
      </c>
      <c r="E253" s="960"/>
      <c r="F253" s="960"/>
    </row>
    <row r="254" spans="1:7" ht="14.25">
      <c r="A254" s="270"/>
      <c r="B254" s="270"/>
      <c r="D254" s="960"/>
      <c r="E254" s="960"/>
      <c r="F254" s="960"/>
    </row>
    <row r="255" spans="1:7">
      <c r="D255" s="138"/>
      <c r="E255" s="138"/>
      <c r="F255" s="138"/>
    </row>
    <row r="256" spans="1:7" ht="14.25">
      <c r="A256" s="270"/>
      <c r="B256" s="703" t="s">
        <v>329</v>
      </c>
      <c r="D256" s="974" t="s">
        <v>1342</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1343</v>
      </c>
      <c r="E260" s="960"/>
      <c r="F260" s="960"/>
    </row>
    <row r="261" spans="1:7" ht="14.25">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735</v>
      </c>
      <c r="E265" s="983"/>
      <c r="F265" s="983"/>
    </row>
    <row r="266" spans="1:7">
      <c r="C266" s="23"/>
      <c r="D266" s="973" t="s">
        <v>1344</v>
      </c>
      <c r="E266" s="973"/>
      <c r="F266" s="973"/>
    </row>
    <row r="267" spans="1:7">
      <c r="C267" s="23"/>
      <c r="D267" s="268"/>
    </row>
    <row r="268" spans="1:7">
      <c r="A268" s="282"/>
      <c r="B268" s="703" t="s">
        <v>329</v>
      </c>
      <c r="D268" s="973" t="s">
        <v>1345</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1346</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1347</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1348</v>
      </c>
      <c r="E279" s="973"/>
      <c r="F279" s="973"/>
    </row>
    <row r="280" spans="1:7">
      <c r="E280" s="138"/>
      <c r="F280" s="138"/>
    </row>
    <row r="281" spans="1:7" ht="14.25">
      <c r="A281" s="270"/>
      <c r="B281" s="703" t="s">
        <v>329</v>
      </c>
      <c r="D281" s="974" t="s">
        <v>1349</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1093</v>
      </c>
      <c r="E314" s="992"/>
      <c r="F314" s="992"/>
      <c r="G314" s="12"/>
    </row>
    <row r="315" spans="1:7" s="743" customFormat="1" ht="13.5" thickTop="1">
      <c r="A315" s="755"/>
      <c r="B315" s="755"/>
      <c r="C315" s="755"/>
      <c r="D315" s="993" t="s">
        <v>1352</v>
      </c>
      <c r="E315" s="993"/>
      <c r="F315" s="993"/>
    </row>
    <row r="316" spans="1:7">
      <c r="A316" s="335"/>
      <c r="B316" s="335"/>
      <c r="C316" s="335"/>
      <c r="D316" s="484"/>
      <c r="E316" s="484"/>
      <c r="F316" s="138"/>
      <c r="G316" s="12"/>
    </row>
    <row r="317" spans="1:7" ht="14.25">
      <c r="A317" s="270"/>
      <c r="B317" s="703" t="s">
        <v>329</v>
      </c>
      <c r="C317" s="335"/>
      <c r="D317" s="994" t="s">
        <v>1353</v>
      </c>
      <c r="E317" s="994"/>
      <c r="F317" s="994"/>
      <c r="G317" s="12"/>
    </row>
    <row r="318" spans="1:7">
      <c r="A318" s="335"/>
      <c r="B318" s="335"/>
      <c r="C318" s="335"/>
      <c r="D318" s="484"/>
      <c r="E318" s="484"/>
      <c r="F318" s="138"/>
      <c r="G318" s="12"/>
    </row>
    <row r="319" spans="1:7">
      <c r="A319" s="335"/>
      <c r="B319" s="703" t="s">
        <v>329</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1359</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1364</v>
      </c>
      <c r="E416" s="974"/>
      <c r="F416" s="974"/>
      <c r="G416" s="12"/>
    </row>
    <row r="417" spans="1:7">
      <c r="D417" s="974"/>
      <c r="E417" s="974"/>
      <c r="F417" s="974"/>
      <c r="G417" s="12"/>
    </row>
    <row r="418" spans="1:7">
      <c r="D418" s="138"/>
      <c r="E418" s="138"/>
      <c r="F418" s="138"/>
      <c r="G418" s="12"/>
    </row>
    <row r="419" spans="1:7" ht="14.25">
      <c r="B419" s="703" t="s">
        <v>329</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977</v>
      </c>
      <c r="E444" s="976"/>
      <c r="F444" s="976"/>
    </row>
    <row r="445" spans="1:7" s="39" customFormat="1" ht="14.25">
      <c r="A445" s="420"/>
      <c r="B445" s="420"/>
      <c r="C445" s="282"/>
      <c r="D445" s="977" t="s">
        <v>1368</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1369</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1370</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1372</v>
      </c>
      <c r="E459" s="973"/>
      <c r="F459" s="973"/>
      <c r="G459" s="12"/>
    </row>
    <row r="460" spans="1:7" ht="14.25">
      <c r="A460" s="270"/>
      <c r="B460" s="270"/>
      <c r="D460" s="754"/>
      <c r="E460" s="6"/>
      <c r="F460" s="6"/>
      <c r="G460" s="12"/>
    </row>
    <row r="461" spans="1:7" ht="14.25">
      <c r="A461" s="270"/>
      <c r="B461" s="703" t="s">
        <v>329</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1374</v>
      </c>
      <c r="E464" s="973"/>
      <c r="F464" s="973"/>
      <c r="G464" s="12"/>
    </row>
    <row r="465" spans="1:7" ht="14.25">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874</v>
      </c>
      <c r="E468" s="981"/>
      <c r="F468" s="981"/>
      <c r="G468" s="187"/>
    </row>
    <row r="469" spans="1:7" customFormat="1" ht="13.15"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483</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736</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978</v>
      </c>
      <c r="E519" s="973"/>
      <c r="F519" s="973"/>
      <c r="G519" s="12"/>
    </row>
    <row r="520" spans="1:7" ht="13.15" customHeight="1">
      <c r="A520" s="275"/>
      <c r="B520" s="275"/>
      <c r="C520" s="275"/>
      <c r="D520" s="728"/>
      <c r="E520" s="701"/>
      <c r="F520" s="701"/>
      <c r="G520" s="12"/>
    </row>
    <row r="521" spans="1:7" ht="14.25">
      <c r="A521" s="270"/>
      <c r="B521" s="703" t="s">
        <v>329</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1275</v>
      </c>
      <c r="E543" s="973"/>
      <c r="F543" s="973"/>
      <c r="G543" s="57"/>
    </row>
    <row r="544" spans="1:7">
      <c r="A544" s="23"/>
      <c r="B544" s="699"/>
      <c r="C544" s="275"/>
      <c r="D544" s="973" t="s">
        <v>904</v>
      </c>
      <c r="E544" s="973"/>
      <c r="F544" s="973"/>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329</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329</v>
      </c>
      <c r="D562" s="1003" t="s">
        <v>984</v>
      </c>
      <c r="E562" s="1003"/>
      <c r="F562" s="1003"/>
      <c r="G562" s="57"/>
    </row>
    <row r="563" spans="1:7">
      <c r="A563" s="23"/>
      <c r="B563" s="699"/>
      <c r="D563" s="335"/>
    </row>
    <row r="564" spans="1:7">
      <c r="A564" s="23"/>
      <c r="B564" s="703" t="s">
        <v>329</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1231</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979</v>
      </c>
      <c r="E579" s="1003"/>
      <c r="F579" s="1003"/>
    </row>
    <row r="580" spans="1:7" ht="14.25">
      <c r="A580" s="270"/>
      <c r="B580" s="270"/>
      <c r="D580" s="393"/>
    </row>
    <row r="581" spans="1:7" ht="14.25">
      <c r="A581" s="270"/>
      <c r="B581" s="703" t="s">
        <v>329</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25">
      <c r="A593" s="420"/>
      <c r="B593" s="703" t="s">
        <v>329</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1318</v>
      </c>
      <c r="E605" s="996"/>
      <c r="F605" s="996"/>
      <c r="G605" s="57"/>
    </row>
    <row r="606" spans="1:7">
      <c r="D606" s="996"/>
      <c r="E606" s="996"/>
      <c r="F606" s="996"/>
      <c r="G606" s="57"/>
    </row>
    <row r="607" spans="1:7">
      <c r="D607" s="12"/>
      <c r="G607" s="57"/>
    </row>
    <row r="608" spans="1:7">
      <c r="B608" s="703" t="s">
        <v>329</v>
      </c>
      <c r="D608" s="996" t="s">
        <v>1319</v>
      </c>
      <c r="E608" s="996"/>
      <c r="F608" s="996"/>
      <c r="G608" s="57"/>
    </row>
    <row r="609" spans="1:7">
      <c r="C609" s="277"/>
      <c r="D609" s="996"/>
      <c r="E609" s="996"/>
      <c r="F609" s="996"/>
      <c r="G609" s="57"/>
    </row>
    <row r="610" spans="1:7">
      <c r="C610" s="277"/>
      <c r="G610" s="57"/>
    </row>
    <row r="611" spans="1:7">
      <c r="B611" s="703" t="s">
        <v>329</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25">
      <c r="A618" s="270"/>
      <c r="B618" s="703" t="s">
        <v>329</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1324</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1377</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1227</v>
      </c>
      <c r="E646" s="1019"/>
      <c r="F646" s="1019"/>
      <c r="G646" s="57"/>
    </row>
    <row r="647" spans="1:11" s="706" customFormat="1" ht="14.25">
      <c r="A647" s="270"/>
      <c r="B647" s="270"/>
      <c r="C647" s="275"/>
      <c r="D647" s="1020" t="s">
        <v>1378</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980</v>
      </c>
      <c r="E660" s="973"/>
      <c r="F660" s="973"/>
      <c r="G660" s="57"/>
      <c r="H660" s="278"/>
      <c r="I660" s="278"/>
      <c r="J660" s="278"/>
      <c r="K660" s="278"/>
    </row>
    <row r="661" spans="1:11">
      <c r="A661" s="269"/>
      <c r="B661" s="269"/>
      <c r="C661" s="269"/>
      <c r="D661" s="973" t="s">
        <v>991</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1021</v>
      </c>
      <c r="E669" s="973"/>
      <c r="F669" s="973"/>
      <c r="G669" s="57"/>
      <c r="H669" s="278"/>
      <c r="I669" s="278"/>
      <c r="J669" s="278"/>
      <c r="K669" s="278"/>
    </row>
    <row r="670" spans="1:11" ht="14.25">
      <c r="A670" s="270"/>
      <c r="B670" s="270"/>
      <c r="C670" s="269"/>
      <c r="D670" s="973" t="s">
        <v>991</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25">
      <c r="A759" s="270"/>
      <c r="B759" s="703" t="s">
        <v>329</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484</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485</v>
      </c>
      <c r="B766" s="1029"/>
      <c r="C766" s="1029"/>
      <c r="D766" s="1029"/>
      <c r="E766" s="1029"/>
      <c r="F766" s="1029"/>
      <c r="G766" s="1029"/>
    </row>
    <row r="767" spans="1:11">
      <c r="A767" s="264"/>
      <c r="B767" s="697"/>
      <c r="C767" s="264"/>
      <c r="D767" s="272"/>
      <c r="G767" s="280"/>
    </row>
    <row r="768" spans="1:11">
      <c r="A768" s="138"/>
      <c r="B768" s="975" t="s">
        <v>483</v>
      </c>
      <c r="C768" s="975"/>
      <c r="D768" s="975"/>
      <c r="E768" s="975"/>
      <c r="F768" s="975"/>
      <c r="G768" s="280"/>
    </row>
    <row r="769" spans="1:7" ht="14.25">
      <c r="A769" s="270"/>
      <c r="B769" s="270"/>
      <c r="D769" s="138"/>
      <c r="E769" s="138"/>
      <c r="F769" s="280"/>
      <c r="G769" s="280"/>
    </row>
    <row r="770" spans="1:7">
      <c r="A770" s="1029" t="s">
        <v>486</v>
      </c>
      <c r="B770" s="1029"/>
      <c r="C770" s="1029"/>
      <c r="D770" s="1029"/>
      <c r="E770" s="1029"/>
      <c r="F770" s="1029"/>
      <c r="G770" s="1029"/>
    </row>
    <row r="771" spans="1:7">
      <c r="C771" s="269"/>
      <c r="D771" s="268"/>
      <c r="E771" s="138"/>
      <c r="F771" s="280"/>
      <c r="G771" s="280"/>
    </row>
    <row r="772" spans="1:7">
      <c r="A772" s="138"/>
      <c r="B772" s="975" t="s">
        <v>483</v>
      </c>
      <c r="C772" s="975"/>
      <c r="D772" s="975"/>
      <c r="E772" s="975"/>
      <c r="F772" s="975"/>
      <c r="G772" s="280"/>
    </row>
    <row r="773" spans="1:7">
      <c r="A773" s="138"/>
      <c r="B773" s="138"/>
      <c r="C773" s="275"/>
      <c r="D773" s="280"/>
      <c r="E773" s="280"/>
      <c r="F773" s="280"/>
      <c r="G773" s="280"/>
    </row>
    <row r="774" spans="1:7">
      <c r="A774" s="1029" t="s">
        <v>487</v>
      </c>
      <c r="B774" s="1029"/>
      <c r="C774" s="1029"/>
      <c r="D774" s="1029"/>
      <c r="E774" s="1029"/>
      <c r="F774" s="1029"/>
      <c r="G774" s="1029"/>
    </row>
    <row r="775" spans="1:7">
      <c r="A775" s="138"/>
      <c r="B775" s="138"/>
    </row>
    <row r="776" spans="1:7">
      <c r="A776" s="138"/>
      <c r="B776" s="975" t="s">
        <v>483</v>
      </c>
      <c r="C776" s="975"/>
      <c r="D776" s="975"/>
      <c r="E776" s="975"/>
      <c r="F776" s="975"/>
    </row>
    <row r="777" spans="1:7">
      <c r="A777" s="275"/>
      <c r="B777" s="275"/>
      <c r="C777" s="275"/>
      <c r="D777" s="267"/>
      <c r="F777" s="280"/>
    </row>
    <row r="778" spans="1:7">
      <c r="A778" s="1029" t="s">
        <v>488</v>
      </c>
      <c r="B778" s="1029"/>
      <c r="C778" s="1029"/>
      <c r="D778" s="1029"/>
      <c r="E778" s="1029"/>
      <c r="F778" s="1029"/>
      <c r="G778" s="1029"/>
    </row>
    <row r="779" spans="1:7">
      <c r="A779" s="138"/>
      <c r="B779" s="138"/>
    </row>
    <row r="780" spans="1:7">
      <c r="A780" s="138"/>
      <c r="B780" s="975" t="s">
        <v>483</v>
      </c>
      <c r="C780" s="975"/>
      <c r="D780" s="975"/>
      <c r="E780" s="975"/>
      <c r="F780" s="975"/>
    </row>
    <row r="781" spans="1:7">
      <c r="A781" s="275"/>
      <c r="B781" s="275"/>
      <c r="C781" s="275"/>
      <c r="D781" s="267"/>
      <c r="F781" s="280"/>
    </row>
    <row r="782" spans="1:7">
      <c r="A782" s="1029" t="s">
        <v>489</v>
      </c>
      <c r="B782" s="1029"/>
      <c r="C782" s="1029"/>
      <c r="D782" s="1029"/>
      <c r="E782" s="1029"/>
      <c r="F782" s="1029"/>
      <c r="G782" s="1029"/>
    </row>
    <row r="783" spans="1:7">
      <c r="A783" s="138"/>
      <c r="B783" s="138"/>
    </row>
    <row r="784" spans="1:7">
      <c r="A784" s="138"/>
      <c r="B784" s="975" t="s">
        <v>483</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483</v>
      </c>
      <c r="C788" s="975"/>
      <c r="D788" s="975"/>
      <c r="E788" s="975"/>
      <c r="F788" s="975"/>
    </row>
    <row r="789" spans="1:7">
      <c r="A789" s="138"/>
      <c r="B789" s="138"/>
      <c r="D789" s="267"/>
    </row>
    <row r="790" spans="1:7">
      <c r="A790" s="1029" t="s">
        <v>967</v>
      </c>
      <c r="B790" s="1029"/>
      <c r="C790" s="1029"/>
      <c r="D790" s="1029"/>
      <c r="E790" s="1029"/>
      <c r="F790" s="1029"/>
      <c r="G790" s="1029"/>
    </row>
    <row r="791" spans="1:7">
      <c r="A791" s="138"/>
      <c r="B791" s="138"/>
    </row>
    <row r="792" spans="1:7">
      <c r="A792" s="138"/>
      <c r="B792" s="975" t="s">
        <v>483</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49"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409" zoomScaleNormal="100" zoomScaleSheetLayoutView="100" workbookViewId="0">
      <selection activeCell="B75" sqref="B7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1199</v>
      </c>
    </row>
    <row r="4" spans="1:9">
      <c r="A4" s="1059" t="s">
        <v>1563</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7"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25">
      <c r="A15" s="822"/>
      <c r="B15" s="823" t="s">
        <v>329</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1282</v>
      </c>
      <c r="E19" s="1024"/>
      <c r="F19" s="1024"/>
    </row>
    <row r="20" spans="1:7" ht="14.25">
      <c r="A20" s="822"/>
      <c r="B20" s="822"/>
      <c r="D20" s="825"/>
    </row>
    <row r="21" spans="1:7" ht="14.25">
      <c r="A21" s="822"/>
      <c r="B21" s="823" t="s">
        <v>329</v>
      </c>
      <c r="D21" s="998" t="s">
        <v>1283</v>
      </c>
      <c r="E21" s="998"/>
      <c r="F21" s="998"/>
    </row>
    <row r="22" spans="1:7" ht="14.25">
      <c r="A22" s="822"/>
      <c r="B22" s="822"/>
      <c r="D22" s="998"/>
      <c r="E22" s="998"/>
      <c r="F22" s="998"/>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1285</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1287</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1288</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1289</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1290</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1291</v>
      </c>
      <c r="E56" s="999"/>
      <c r="F56" s="999"/>
    </row>
    <row r="57" spans="1:7">
      <c r="D57" s="999"/>
      <c r="E57" s="999"/>
      <c r="F57" s="999"/>
    </row>
    <row r="58" spans="1:7">
      <c r="D58" s="999"/>
      <c r="E58" s="999"/>
      <c r="F58" s="999"/>
    </row>
    <row r="59" spans="1:7">
      <c r="D59" s="717"/>
    </row>
    <row r="60" spans="1:7" ht="14.25">
      <c r="A60" s="822"/>
      <c r="B60" s="823" t="s">
        <v>329</v>
      </c>
      <c r="D60" s="999" t="s">
        <v>1292</v>
      </c>
      <c r="E60" s="999"/>
      <c r="F60" s="999"/>
    </row>
    <row r="61" spans="1:7">
      <c r="D61" s="999"/>
      <c r="E61" s="999"/>
      <c r="F61" s="999"/>
    </row>
    <row r="62" spans="1:7"/>
    <row r="63" spans="1:7" ht="14.25">
      <c r="A63" s="822"/>
      <c r="B63" s="823" t="s">
        <v>329</v>
      </c>
      <c r="D63" s="999" t="s">
        <v>1293</v>
      </c>
      <c r="E63" s="999"/>
      <c r="F63" s="999"/>
    </row>
    <row r="64" spans="1:7">
      <c r="D64" s="999"/>
      <c r="E64" s="999"/>
      <c r="F64" s="999"/>
    </row>
    <row r="65" spans="1:7">
      <c r="D65" s="999"/>
      <c r="E65" s="999"/>
      <c r="F65" s="999"/>
    </row>
    <row r="66" spans="1:7">
      <c r="D66" s="815"/>
    </row>
    <row r="67" spans="1:7" ht="14.25">
      <c r="A67" s="822"/>
      <c r="B67" s="823" t="s">
        <v>329</v>
      </c>
      <c r="D67" s="998" t="s">
        <v>1294</v>
      </c>
      <c r="E67" s="998"/>
      <c r="F67" s="998"/>
    </row>
    <row r="68" spans="1:7">
      <c r="D68" s="998"/>
      <c r="E68" s="998"/>
      <c r="F68" s="998"/>
    </row>
    <row r="69" spans="1:7" ht="14.25">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7"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1305</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1413</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1456</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1488</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1307</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1308</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483</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329</v>
      </c>
      <c r="C174" s="843"/>
      <c r="D174" s="998" t="s">
        <v>1310</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1476</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1333</v>
      </c>
      <c r="E190" s="1075"/>
      <c r="F190" s="1075"/>
    </row>
    <row r="191" spans="1:7" ht="12" customHeight="1">
      <c r="A191" s="841"/>
      <c r="B191" s="841"/>
      <c r="C191" s="841"/>
    </row>
    <row r="192" spans="1:7" ht="13.7" customHeight="1">
      <c r="A192" s="841"/>
      <c r="C192" s="841"/>
      <c r="D192" s="997" t="s">
        <v>592</v>
      </c>
      <c r="E192" s="997"/>
      <c r="F192" s="997"/>
    </row>
    <row r="193" spans="1:6" ht="14.25">
      <c r="A193" s="822"/>
      <c r="B193" s="823" t="s">
        <v>329</v>
      </c>
      <c r="D193" s="998" t="s">
        <v>1328</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1329</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1330</v>
      </c>
      <c r="E203" s="1070"/>
      <c r="F203" s="1070"/>
    </row>
    <row r="204" spans="1:6" ht="14.25">
      <c r="A204" s="822"/>
      <c r="B204" s="822"/>
      <c r="D204" s="1070"/>
      <c r="E204" s="1070"/>
      <c r="F204" s="1070"/>
    </row>
    <row r="205" spans="1:6" ht="14.25">
      <c r="A205" s="822"/>
      <c r="B205" s="822"/>
      <c r="D205" s="1062" t="s">
        <v>992</v>
      </c>
      <c r="E205" s="1062"/>
      <c r="F205" s="1062"/>
    </row>
    <row r="206" spans="1:6" ht="14.25">
      <c r="A206" s="822"/>
      <c r="B206" s="822"/>
      <c r="D206" s="825"/>
      <c r="E206" s="825"/>
      <c r="F206" s="825"/>
    </row>
    <row r="207" spans="1:6" ht="14.45" customHeight="1">
      <c r="A207" s="822"/>
      <c r="B207" s="823" t="s">
        <v>329</v>
      </c>
      <c r="D207" s="1070" t="s">
        <v>1332</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1331</v>
      </c>
      <c r="E213" s="998"/>
      <c r="F213" s="998"/>
    </row>
    <row r="214" spans="1:7" ht="14.25">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1448</v>
      </c>
      <c r="E221" s="1072"/>
      <c r="F221" s="1072"/>
    </row>
    <row r="222" spans="1:7">
      <c r="D222" s="1072"/>
      <c r="E222" s="1072"/>
      <c r="F222" s="1072"/>
    </row>
    <row r="223" spans="1:7">
      <c r="D223" s="1075" t="s">
        <v>983</v>
      </c>
      <c r="E223" s="1075"/>
      <c r="F223" s="1075"/>
    </row>
    <row r="224" spans="1:7">
      <c r="D224" s="825"/>
      <c r="E224" s="825"/>
      <c r="F224" s="825"/>
    </row>
    <row r="225" spans="1:7" ht="14.45"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1340</v>
      </c>
      <c r="E241" s="1053"/>
      <c r="F241" s="1053"/>
    </row>
    <row r="242" spans="1:7">
      <c r="E242" s="825"/>
      <c r="F242" s="825"/>
    </row>
    <row r="243" spans="1:7" ht="14.25">
      <c r="A243" s="822"/>
      <c r="B243" s="823" t="s">
        <v>329</v>
      </c>
      <c r="D243" s="998" t="s">
        <v>1341</v>
      </c>
      <c r="E243" s="998"/>
      <c r="F243" s="998"/>
    </row>
    <row r="244" spans="1:7" ht="14.25">
      <c r="A244" s="822"/>
      <c r="B244" s="822"/>
      <c r="D244" s="998"/>
      <c r="E244" s="998"/>
      <c r="F244" s="998"/>
    </row>
    <row r="245" spans="1:7">
      <c r="D245" s="825"/>
      <c r="E245" s="825"/>
      <c r="F245" s="825"/>
    </row>
    <row r="246" spans="1:7" ht="14.25">
      <c r="A246" s="822"/>
      <c r="B246" s="823" t="s">
        <v>329</v>
      </c>
      <c r="D246" s="1070" t="s">
        <v>1342</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1343</v>
      </c>
      <c r="E250" s="998"/>
      <c r="F250" s="998"/>
    </row>
    <row r="251" spans="1:7" ht="14.25">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735</v>
      </c>
      <c r="E255" s="997"/>
      <c r="F255" s="997"/>
    </row>
    <row r="256" spans="1:7">
      <c r="C256" s="841"/>
      <c r="D256" s="1000" t="s">
        <v>1344</v>
      </c>
      <c r="E256" s="1000"/>
      <c r="F256" s="1000"/>
    </row>
    <row r="257" spans="1:7">
      <c r="C257" s="841"/>
      <c r="D257" s="848"/>
    </row>
    <row r="258" spans="1:7">
      <c r="A258" s="826"/>
      <c r="B258" s="823" t="s">
        <v>329</v>
      </c>
      <c r="D258" s="1000" t="s">
        <v>1345</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1347</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1348</v>
      </c>
      <c r="E269" s="1000"/>
      <c r="F269" s="1000"/>
    </row>
    <row r="270" spans="1:7">
      <c r="E270" s="825"/>
      <c r="F270" s="825"/>
    </row>
    <row r="271" spans="1:7" ht="14.25">
      <c r="A271" s="822"/>
      <c r="B271" s="823" t="s">
        <v>329</v>
      </c>
      <c r="D271" s="1070" t="s">
        <v>1511</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1093</v>
      </c>
      <c r="E304" s="1071"/>
      <c r="F304" s="1071"/>
      <c r="G304" s="815"/>
    </row>
    <row r="305" spans="1:7" ht="13.5" thickTop="1">
      <c r="D305" s="1080" t="s">
        <v>1352</v>
      </c>
      <c r="E305" s="1080"/>
      <c r="F305" s="1080"/>
      <c r="G305" s="815"/>
    </row>
    <row r="306" spans="1:7">
      <c r="A306" s="839"/>
      <c r="B306" s="839"/>
      <c r="C306" s="839"/>
      <c r="D306" s="811"/>
      <c r="E306" s="811"/>
      <c r="F306" s="825"/>
      <c r="G306" s="815"/>
    </row>
    <row r="307" spans="1:7" ht="14.25">
      <c r="A307" s="822"/>
      <c r="B307" s="823" t="s">
        <v>329</v>
      </c>
      <c r="C307" s="839"/>
      <c r="D307" s="994" t="s">
        <v>1353</v>
      </c>
      <c r="E307" s="994"/>
      <c r="F307" s="994"/>
      <c r="G307" s="815"/>
    </row>
    <row r="308" spans="1:7">
      <c r="A308" s="839"/>
      <c r="B308" s="839"/>
      <c r="C308" s="839"/>
      <c r="D308" s="811"/>
      <c r="E308" s="811"/>
      <c r="F308" s="825"/>
      <c r="G308" s="815"/>
    </row>
    <row r="309" spans="1:7">
      <c r="A309" s="839"/>
      <c r="B309" s="823" t="s">
        <v>329</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1605</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1512</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1360</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1361</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977</v>
      </c>
      <c r="E444" s="976"/>
      <c r="F444" s="976"/>
    </row>
    <row r="445" spans="1:7" s="816" customFormat="1" ht="14.25">
      <c r="A445" s="830"/>
      <c r="B445" s="830"/>
      <c r="C445" s="826"/>
      <c r="D445" s="977" t="s">
        <v>1368</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1369</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1372</v>
      </c>
      <c r="E455" s="1000"/>
      <c r="F455" s="1000"/>
      <c r="G455" s="815"/>
    </row>
    <row r="456" spans="1:7" ht="14.25">
      <c r="A456" s="822"/>
      <c r="B456" s="822"/>
      <c r="D456" s="810"/>
      <c r="E456" s="696"/>
      <c r="F456" s="696"/>
      <c r="G456" s="815"/>
    </row>
    <row r="457" spans="1:7" ht="14.25">
      <c r="A457" s="822"/>
      <c r="B457" s="823" t="s">
        <v>329</v>
      </c>
      <c r="D457" s="998" t="s">
        <v>1373</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1374</v>
      </c>
      <c r="E460" s="1000"/>
      <c r="F460" s="1000"/>
      <c r="G460" s="815"/>
    </row>
    <row r="461" spans="1:7" ht="14.25">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874</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483</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736</v>
      </c>
      <c r="E515" s="997"/>
      <c r="F515" s="997"/>
    </row>
    <row r="516" spans="1:7">
      <c r="C516" s="854"/>
      <c r="D516" s="1000" t="s">
        <v>1268</v>
      </c>
      <c r="E516" s="1000"/>
      <c r="F516" s="1000"/>
    </row>
    <row r="517" spans="1:7">
      <c r="C517" s="854"/>
      <c r="D517" s="810"/>
      <c r="E517" s="810"/>
      <c r="F517" s="810"/>
    </row>
    <row r="518" spans="1:7" ht="13.7" customHeight="1">
      <c r="A518" s="822"/>
      <c r="B518" s="823" t="s">
        <v>329</v>
      </c>
      <c r="C518" s="854"/>
      <c r="D518" s="1000" t="s">
        <v>978</v>
      </c>
      <c r="E518" s="1000"/>
      <c r="F518" s="1000"/>
      <c r="G518" s="815"/>
    </row>
    <row r="519" spans="1:7" ht="13.7" customHeight="1">
      <c r="A519" s="854"/>
      <c r="B519" s="854"/>
      <c r="C519" s="854"/>
      <c r="D519" s="810"/>
      <c r="E519" s="642"/>
      <c r="F519" s="642"/>
      <c r="G519" s="815"/>
    </row>
    <row r="520" spans="1:7" ht="14.25">
      <c r="A520" s="822"/>
      <c r="B520" s="823" t="s">
        <v>329</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1275</v>
      </c>
      <c r="E539" s="1000"/>
      <c r="F539" s="1000"/>
      <c r="G539" s="844"/>
    </row>
    <row r="540" spans="1:7">
      <c r="A540" s="841"/>
      <c r="B540" s="841"/>
      <c r="C540" s="854"/>
      <c r="D540" s="1000" t="s">
        <v>904</v>
      </c>
      <c r="E540" s="1000"/>
      <c r="F540" s="1000"/>
      <c r="G540" s="844"/>
    </row>
    <row r="541" spans="1:7">
      <c r="A541" s="841"/>
      <c r="B541" s="841"/>
      <c r="C541" s="854"/>
      <c r="D541" s="696"/>
      <c r="E541" s="1053" t="s">
        <v>1276</v>
      </c>
      <c r="F541" s="1053"/>
      <c r="G541" s="844"/>
    </row>
    <row r="542" spans="1:7" ht="14.25">
      <c r="A542" s="822"/>
      <c r="B542" s="822"/>
      <c r="C542" s="854"/>
      <c r="E542" s="825"/>
      <c r="F542" s="825"/>
      <c r="G542" s="844"/>
    </row>
    <row r="543" spans="1:7" ht="14.25">
      <c r="A543" s="822"/>
      <c r="B543" s="823" t="s">
        <v>329</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1279</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329</v>
      </c>
      <c r="D558" s="1003" t="s">
        <v>984</v>
      </c>
      <c r="E558" s="1003"/>
      <c r="F558" s="1003"/>
      <c r="G558" s="844"/>
    </row>
    <row r="559" spans="1:7">
      <c r="A559" s="841"/>
      <c r="B559" s="841"/>
      <c r="D559" s="839"/>
    </row>
    <row r="560" spans="1:7">
      <c r="A560" s="841"/>
      <c r="B560" s="823" t="s">
        <v>329</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979</v>
      </c>
      <c r="E575" s="1003"/>
      <c r="F575" s="1003"/>
      <c r="G575" s="815"/>
    </row>
    <row r="576" spans="1:7" ht="14.25">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25">
      <c r="A582" s="830"/>
      <c r="B582" s="823" t="s">
        <v>329</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1318</v>
      </c>
      <c r="E594" s="996"/>
      <c r="F594" s="996"/>
      <c r="G594" s="844"/>
    </row>
    <row r="595" spans="1:7">
      <c r="D595" s="996"/>
      <c r="E595" s="996"/>
      <c r="F595" s="996"/>
      <c r="G595" s="844"/>
    </row>
    <row r="596" spans="1:7">
      <c r="D596" s="815"/>
      <c r="G596" s="844"/>
    </row>
    <row r="597" spans="1:7">
      <c r="B597" s="823" t="s">
        <v>329</v>
      </c>
      <c r="D597" s="996" t="s">
        <v>1319</v>
      </c>
      <c r="E597" s="996"/>
      <c r="F597" s="996"/>
      <c r="G597" s="844"/>
    </row>
    <row r="598" spans="1:7">
      <c r="C598" s="866"/>
      <c r="D598" s="996"/>
      <c r="E598" s="996"/>
      <c r="F598" s="996"/>
      <c r="G598" s="844"/>
    </row>
    <row r="599" spans="1:7">
      <c r="C599" s="866"/>
      <c r="G599" s="844"/>
    </row>
    <row r="600" spans="1:7">
      <c r="B600" s="823" t="s">
        <v>329</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1493</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1227</v>
      </c>
      <c r="E653" s="1073"/>
      <c r="F653" s="1073"/>
      <c r="G653" s="844"/>
    </row>
    <row r="654" spans="1:7" ht="14.25">
      <c r="A654" s="822"/>
      <c r="B654" s="822"/>
      <c r="C654" s="854"/>
      <c r="D654" s="996" t="s">
        <v>1378</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980</v>
      </c>
      <c r="E667" s="1000"/>
      <c r="F667" s="1000"/>
      <c r="G667" s="844"/>
      <c r="H667" s="869"/>
      <c r="I667" s="869"/>
      <c r="J667" s="869"/>
      <c r="K667" s="869"/>
    </row>
    <row r="668" spans="1:11">
      <c r="A668" s="820"/>
      <c r="B668" s="820"/>
      <c r="C668" s="820"/>
      <c r="D668" s="1000" t="s">
        <v>991</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1021</v>
      </c>
      <c r="E676" s="1000"/>
      <c r="F676" s="1000"/>
      <c r="G676" s="844"/>
      <c r="H676" s="869"/>
      <c r="I676" s="869"/>
      <c r="J676" s="869"/>
      <c r="K676" s="869"/>
    </row>
    <row r="677" spans="1:11" ht="14.25">
      <c r="A677" s="822"/>
      <c r="B677" s="822"/>
      <c r="C677" s="820"/>
      <c r="D677" s="1000" t="s">
        <v>991</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1103</v>
      </c>
      <c r="E766" s="1024"/>
      <c r="F766" s="1024"/>
      <c r="G766" s="874"/>
    </row>
    <row r="767" spans="1:11" ht="14.25">
      <c r="A767" s="822"/>
      <c r="B767" s="815"/>
      <c r="C767" s="831"/>
      <c r="D767" s="921"/>
      <c r="E767" s="1025" t="s">
        <v>1226</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484</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485</v>
      </c>
      <c r="B784" s="980"/>
      <c r="C784" s="980"/>
      <c r="D784" s="980"/>
      <c r="E784" s="980"/>
      <c r="F784" s="980"/>
      <c r="G784" s="980"/>
    </row>
    <row r="785" spans="1:7">
      <c r="A785" s="818"/>
      <c r="B785" s="818"/>
      <c r="C785" s="818"/>
      <c r="D785" s="847"/>
      <c r="G785" s="874"/>
    </row>
    <row r="786" spans="1:7">
      <c r="A786" s="825"/>
      <c r="B786" s="1075" t="s">
        <v>483</v>
      </c>
      <c r="C786" s="1075"/>
      <c r="D786" s="1075"/>
      <c r="E786" s="1075"/>
      <c r="F786" s="1075"/>
      <c r="G786" s="874"/>
    </row>
    <row r="787" spans="1:7" ht="14.25">
      <c r="A787" s="822"/>
      <c r="B787" s="822"/>
      <c r="D787" s="825"/>
      <c r="E787" s="825"/>
      <c r="F787" s="874"/>
      <c r="G787" s="874"/>
    </row>
    <row r="788" spans="1:7">
      <c r="A788" s="980" t="s">
        <v>486</v>
      </c>
      <c r="B788" s="980"/>
      <c r="C788" s="980"/>
      <c r="D788" s="980"/>
      <c r="E788" s="980"/>
      <c r="F788" s="980"/>
      <c r="G788" s="980"/>
    </row>
    <row r="789" spans="1:7">
      <c r="C789" s="820"/>
      <c r="D789" s="848"/>
      <c r="E789" s="825"/>
      <c r="F789" s="874"/>
      <c r="G789" s="874"/>
    </row>
    <row r="790" spans="1:7">
      <c r="A790" s="825"/>
      <c r="B790" s="1075" t="s">
        <v>483</v>
      </c>
      <c r="C790" s="1075"/>
      <c r="D790" s="1075"/>
      <c r="E790" s="1075"/>
      <c r="F790" s="1075"/>
      <c r="G790" s="874"/>
    </row>
    <row r="791" spans="1:7">
      <c r="A791" s="825"/>
      <c r="B791" s="825"/>
      <c r="C791" s="854"/>
      <c r="D791" s="874"/>
      <c r="E791" s="874"/>
      <c r="F791" s="874"/>
      <c r="G791" s="874"/>
    </row>
    <row r="792" spans="1:7">
      <c r="A792" s="980" t="s">
        <v>487</v>
      </c>
      <c r="B792" s="980"/>
      <c r="C792" s="980"/>
      <c r="D792" s="980"/>
      <c r="E792" s="980"/>
      <c r="F792" s="980"/>
      <c r="G792" s="980"/>
    </row>
    <row r="793" spans="1:7">
      <c r="A793" s="825"/>
      <c r="B793" s="825"/>
    </row>
    <row r="794" spans="1:7">
      <c r="A794" s="825"/>
      <c r="B794" s="1075" t="s">
        <v>483</v>
      </c>
      <c r="C794" s="1075"/>
      <c r="D794" s="1075"/>
      <c r="E794" s="1075"/>
      <c r="F794" s="1075"/>
    </row>
    <row r="795" spans="1:7">
      <c r="A795" s="854"/>
      <c r="B795" s="854"/>
      <c r="C795" s="854"/>
      <c r="D795" s="817"/>
      <c r="F795" s="874"/>
    </row>
    <row r="796" spans="1:7">
      <c r="A796" s="980" t="s">
        <v>488</v>
      </c>
      <c r="B796" s="980"/>
      <c r="C796" s="980"/>
      <c r="D796" s="980"/>
      <c r="E796" s="980"/>
      <c r="F796" s="980"/>
      <c r="G796" s="980"/>
    </row>
    <row r="797" spans="1:7">
      <c r="A797" s="825"/>
      <c r="B797" s="825"/>
    </row>
    <row r="798" spans="1:7">
      <c r="A798" s="825"/>
      <c r="B798" s="1075" t="s">
        <v>483</v>
      </c>
      <c r="C798" s="1075"/>
      <c r="D798" s="1075"/>
      <c r="E798" s="1075"/>
      <c r="F798" s="1075"/>
    </row>
    <row r="799" spans="1:7">
      <c r="A799" s="854"/>
      <c r="B799" s="854"/>
      <c r="C799" s="854"/>
      <c r="D799" s="817"/>
      <c r="F799" s="874"/>
    </row>
    <row r="800" spans="1:7">
      <c r="A800" s="980" t="s">
        <v>489</v>
      </c>
      <c r="B800" s="980"/>
      <c r="C800" s="980"/>
      <c r="D800" s="980"/>
      <c r="E800" s="980"/>
      <c r="F800" s="980"/>
      <c r="G800" s="980"/>
    </row>
    <row r="801" spans="1:7">
      <c r="A801" s="825"/>
      <c r="B801" s="825"/>
    </row>
    <row r="802" spans="1:7">
      <c r="A802" s="825"/>
      <c r="B802" s="1075" t="s">
        <v>483</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483</v>
      </c>
      <c r="C806" s="1075"/>
      <c r="D806" s="1075"/>
      <c r="E806" s="1075"/>
      <c r="F806" s="1075"/>
    </row>
    <row r="807" spans="1:7">
      <c r="A807" s="825"/>
      <c r="B807" s="825"/>
      <c r="D807" s="817"/>
    </row>
    <row r="808" spans="1:7">
      <c r="A808" s="980" t="s">
        <v>967</v>
      </c>
      <c r="B808" s="980"/>
      <c r="C808" s="980"/>
      <c r="D808" s="980"/>
      <c r="E808" s="980"/>
      <c r="F808" s="980"/>
      <c r="G808" s="980"/>
    </row>
    <row r="809" spans="1:7">
      <c r="A809" s="825"/>
      <c r="B809" s="825"/>
    </row>
    <row r="810" spans="1:7">
      <c r="A810" s="825"/>
      <c r="B810" s="1075" t="s">
        <v>483</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28" zoomScaleNormal="100" zoomScaleSheetLayoutView="100" workbookViewId="0">
      <selection activeCell="M246" sqref="M246:AE24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2" t="s">
        <v>1570</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5" t="s">
        <v>1644</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87" t="s">
        <v>1645</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3" t="s">
        <v>1646</v>
      </c>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row>
    <row r="19" spans="1:39" ht="12.75" customHeight="1"/>
    <row r="20" spans="1:39" ht="14.25" customHeight="1">
      <c r="A20" s="1484" t="s">
        <v>965</v>
      </c>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1484"/>
    </row>
    <row r="21" spans="1:39" ht="12.75" customHeight="1">
      <c r="A21" s="1508" t="s">
        <v>1154</v>
      </c>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7">
        <f>'Basis &amp; Credits'!AB56</f>
        <v>5057980.5999999996</v>
      </c>
      <c r="N26" s="1507"/>
      <c r="O26" s="1507"/>
      <c r="P26" s="1507"/>
      <c r="Q26" s="1507"/>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0</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722</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6"/>
      <c r="H122" s="1486"/>
      <c r="I122" s="247" t="s">
        <v>195</v>
      </c>
      <c r="L122" s="1486"/>
      <c r="M122" s="1486"/>
      <c r="N122" s="1486"/>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4"/>
      <c r="D124" s="1504"/>
      <c r="E124" s="1504"/>
      <c r="F124" s="1504"/>
      <c r="G124" s="1504"/>
      <c r="H124" s="1504"/>
      <c r="I124" s="1504"/>
      <c r="J124" s="1504"/>
      <c r="K124" s="1504"/>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6"/>
      <c r="Z126" s="1486"/>
      <c r="AA126" s="1486"/>
      <c r="AB126" s="1486"/>
      <c r="AC126" s="1486"/>
      <c r="AD126" s="1486"/>
      <c r="AE126" s="1486"/>
      <c r="AF126" s="1486"/>
      <c r="AG126" s="1486"/>
      <c r="AH126" s="1486"/>
      <c r="AI126" s="1486"/>
      <c r="AJ126" s="1486"/>
      <c r="AK126" s="1486"/>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2"/>
      <c r="Z129" s="1492"/>
      <c r="AA129" s="1492"/>
      <c r="AB129" s="1492"/>
      <c r="AC129" s="1492"/>
      <c r="AD129" s="1492"/>
      <c r="AE129" s="1492"/>
      <c r="AF129" s="1492"/>
      <c r="AG129" s="1492"/>
      <c r="AH129" s="1492"/>
      <c r="AI129" s="1492"/>
      <c r="AJ129" s="1492"/>
      <c r="AK129" s="1492"/>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2"/>
      <c r="Z132" s="1492"/>
      <c r="AA132" s="1492"/>
      <c r="AB132" s="1492"/>
      <c r="AC132" s="1492"/>
      <c r="AD132" s="1492"/>
      <c r="AE132" s="1492"/>
      <c r="AF132" s="1492"/>
      <c r="AG132" s="1492"/>
      <c r="AH132" s="1492"/>
      <c r="AI132" s="1492"/>
      <c r="AJ132" s="1492"/>
      <c r="AK132" s="149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0"/>
      <c r="G150" s="1500"/>
      <c r="H150" s="1500"/>
      <c r="I150" s="1500"/>
      <c r="J150" s="1500"/>
      <c r="K150" s="1500"/>
      <c r="L150" s="1500"/>
      <c r="M150" s="1500"/>
      <c r="N150" s="1500"/>
      <c r="O150" s="1500"/>
      <c r="P150" s="1500"/>
      <c r="Q150" s="1500"/>
      <c r="R150" s="1500"/>
      <c r="S150" s="1500"/>
      <c r="T150" s="150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3" t="s">
        <v>1647</v>
      </c>
      <c r="P153" s="1216"/>
      <c r="Q153" s="1216"/>
      <c r="R153" s="1216"/>
      <c r="S153" s="1216"/>
      <c r="T153" s="1216"/>
      <c r="U153" s="1216"/>
      <c r="V153" s="1216"/>
      <c r="W153" s="1216"/>
      <c r="X153" s="1216"/>
      <c r="Y153" s="1216"/>
      <c r="Z153" s="1216"/>
      <c r="AA153" s="1216"/>
      <c r="AB153" s="1216"/>
      <c r="AC153" s="1216"/>
      <c r="AD153" s="1216"/>
      <c r="AE153" s="1216"/>
      <c r="AF153" s="1216"/>
      <c r="AG153" s="1216"/>
      <c r="AH153" s="1216"/>
    </row>
    <row r="154" spans="1:59" ht="12.75" customHeight="1">
      <c r="D154" s="483" t="s">
        <v>476</v>
      </c>
      <c r="F154" s="32"/>
      <c r="G154" s="32"/>
      <c r="H154" s="32"/>
      <c r="I154" s="32"/>
      <c r="J154" s="32"/>
      <c r="K154" s="32"/>
      <c r="L154" s="32"/>
      <c r="M154" s="32"/>
      <c r="N154" s="32"/>
      <c r="O154" s="1223" t="s">
        <v>1648</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477</v>
      </c>
      <c r="F155" s="13"/>
      <c r="G155" s="13"/>
      <c r="H155" s="13"/>
      <c r="I155" s="13"/>
      <c r="J155" s="13"/>
      <c r="K155" s="13"/>
      <c r="L155" s="13"/>
      <c r="M155" s="13"/>
      <c r="N155" s="13"/>
      <c r="O155" s="1495" t="s">
        <v>1649</v>
      </c>
      <c r="P155" s="1496"/>
      <c r="Q155" s="1496"/>
      <c r="R155" s="1496"/>
      <c r="S155" s="1496"/>
      <c r="T155" s="1496"/>
      <c r="U155" s="1496"/>
      <c r="V155" s="1496"/>
      <c r="W155" s="1496"/>
      <c r="X155" s="1496"/>
      <c r="Y155" s="1496"/>
      <c r="Z155" s="1496"/>
      <c r="AA155" s="1496"/>
      <c r="AB155" s="1496"/>
      <c r="AC155" s="1496"/>
      <c r="AD155" s="1496"/>
      <c r="AE155" s="1496"/>
      <c r="AF155" s="1496"/>
      <c r="AG155" s="1496"/>
      <c r="AH155" s="1496"/>
      <c r="AM155" s="25"/>
    </row>
    <row r="156" spans="1:59" ht="12.75">
      <c r="D156" s="32" t="s">
        <v>335</v>
      </c>
      <c r="F156" s="32"/>
      <c r="G156" s="32"/>
      <c r="H156" s="32"/>
      <c r="I156" s="32"/>
      <c r="J156" s="32"/>
      <c r="K156" s="32"/>
      <c r="L156" s="32"/>
      <c r="M156" s="32"/>
      <c r="N156" s="32"/>
      <c r="O156" s="1095" t="s">
        <v>1650</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1651</v>
      </c>
      <c r="P157" s="1216"/>
      <c r="Q157" s="1216"/>
      <c r="R157" s="1216"/>
      <c r="S157" s="1216"/>
      <c r="T157" s="1216"/>
      <c r="U157" s="1216"/>
      <c r="V157" s="1216"/>
      <c r="W157" s="1216"/>
      <c r="X157" s="1216"/>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0">
        <v>94806</v>
      </c>
      <c r="P158" s="1310"/>
      <c r="Q158" s="1310"/>
      <c r="R158" s="1310"/>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09" t="s">
        <v>1652</v>
      </c>
      <c r="P159" s="1309"/>
      <c r="Q159" s="1309"/>
      <c r="R159" s="1309"/>
      <c r="S159" s="1309"/>
      <c r="T159" s="1309"/>
      <c r="V159" s="149" t="s">
        <v>287</v>
      </c>
      <c r="W159" s="1311"/>
      <c r="X159" s="1311"/>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9" t="s">
        <v>641</v>
      </c>
      <c r="P160" s="1309"/>
      <c r="Q160" s="1309"/>
      <c r="R160" s="1309"/>
      <c r="S160" s="1309"/>
      <c r="T160" s="1309"/>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0" t="s">
        <v>1653</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1" t="s">
        <v>1510</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7" t="s">
        <v>585</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726</v>
      </c>
      <c r="BG169" s="12" t="s">
        <v>534</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89" t="s">
        <v>403</v>
      </c>
      <c r="K173" s="1489"/>
      <c r="L173" s="1489"/>
      <c r="M173" s="1489"/>
      <c r="N173" s="1489"/>
      <c r="O173" s="1489"/>
      <c r="P173" s="1489"/>
      <c r="Q173" s="1489"/>
      <c r="R173" s="1489"/>
      <c r="S173" s="1489"/>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5" t="s">
        <v>1654</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6" t="s">
        <v>722</v>
      </c>
      <c r="V175" s="109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5"/>
      <c r="V176" s="1485"/>
      <c r="W176" s="4" t="s">
        <v>328</v>
      </c>
      <c r="X176" s="1494"/>
      <c r="Y176" s="1494"/>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722</v>
      </c>
      <c r="S177" s="109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5"/>
      <c r="AJ178" s="1115"/>
      <c r="AK178" s="111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6" t="s">
        <v>591</v>
      </c>
      <c r="Y180" s="109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7" t="str">
        <f>H18</f>
        <v>Hilltop Commons Apartments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629</v>
      </c>
      <c r="E187" s="25"/>
      <c r="F187" s="25"/>
      <c r="G187" s="25"/>
      <c r="H187" s="25"/>
      <c r="I187" s="1223" t="s">
        <v>1655</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329</v>
      </c>
      <c r="BA189" s="36" t="s">
        <v>251</v>
      </c>
      <c r="BG189" s="12" t="s">
        <v>72</v>
      </c>
    </row>
    <row r="190" spans="1:59" ht="12.7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1193</v>
      </c>
      <c r="BA190" s="36" t="s">
        <v>685</v>
      </c>
      <c r="BG190" s="12" t="s">
        <v>73</v>
      </c>
    </row>
    <row r="191" spans="1:59" ht="12.75">
      <c r="A191" s="25"/>
      <c r="C191" s="45"/>
      <c r="D191" s="25" t="s">
        <v>630</v>
      </c>
      <c r="E191" s="25"/>
      <c r="I191" s="1095" t="s">
        <v>1651</v>
      </c>
      <c r="J191" s="1095"/>
      <c r="K191" s="1095"/>
      <c r="L191" s="1095"/>
      <c r="M191" s="1095"/>
      <c r="N191" s="1095"/>
      <c r="O191" s="1095"/>
      <c r="P191" s="1095"/>
      <c r="Q191" s="25" t="s">
        <v>632</v>
      </c>
      <c r="T191" s="1095" t="s">
        <v>528</v>
      </c>
      <c r="U191" s="1095"/>
      <c r="V191" s="1095"/>
      <c r="W191" s="1095"/>
      <c r="X191" s="1095"/>
      <c r="Y191" s="1095"/>
      <c r="Z191" s="1095"/>
      <c r="AA191" s="1095"/>
      <c r="AB191" s="1095"/>
      <c r="AC191" s="1095"/>
      <c r="AD191" s="1095"/>
      <c r="AE191" s="1095"/>
      <c r="AH191" s="25"/>
      <c r="AJ191" s="3"/>
      <c r="AK191" s="3"/>
      <c r="AL191" s="3"/>
      <c r="AP191" s="12" t="s">
        <v>1194</v>
      </c>
      <c r="BA191" s="36" t="s">
        <v>742</v>
      </c>
      <c r="BG191" s="12" t="s">
        <v>788</v>
      </c>
    </row>
    <row r="192" spans="1:59" ht="12.75">
      <c r="A192" s="25"/>
      <c r="C192" s="46"/>
      <c r="D192" s="25" t="s">
        <v>633</v>
      </c>
      <c r="E192" s="25"/>
      <c r="F192" s="25"/>
      <c r="G192" s="25"/>
      <c r="I192" s="1117">
        <v>94806</v>
      </c>
      <c r="J192" s="1117"/>
      <c r="K192" s="1117"/>
      <c r="L192" s="1117"/>
      <c r="M192" s="1117"/>
      <c r="N192" s="1117"/>
      <c r="O192" s="25" t="s">
        <v>635</v>
      </c>
      <c r="P192" s="25"/>
      <c r="Q192" s="25"/>
      <c r="R192" s="25"/>
      <c r="S192" s="25"/>
      <c r="T192" s="1488">
        <v>3640.2</v>
      </c>
      <c r="U192" s="1488"/>
      <c r="V192" s="1488"/>
      <c r="W192" s="1488"/>
      <c r="X192" s="1488"/>
      <c r="Y192" s="1488"/>
      <c r="Z192" s="1488"/>
      <c r="AA192" s="1488"/>
      <c r="AB192" s="1488"/>
      <c r="AC192" s="1488"/>
      <c r="AD192" s="1488"/>
      <c r="AE192" s="1488"/>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4" t="s">
        <v>1656</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6" t="s">
        <v>591</v>
      </c>
      <c r="U195" s="1096"/>
      <c r="W195" s="25" t="s">
        <v>738</v>
      </c>
      <c r="X195" s="25"/>
      <c r="Y195" s="25"/>
      <c r="Z195" s="25"/>
      <c r="AA195" s="25"/>
      <c r="AB195" s="25"/>
      <c r="AC195" s="25"/>
      <c r="AD195" s="25"/>
      <c r="AE195" s="25"/>
      <c r="AF195" s="25"/>
      <c r="AG195" s="25"/>
      <c r="AH195" s="1096">
        <v>5</v>
      </c>
      <c r="AI195" s="109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1" t="s">
        <v>722</v>
      </c>
      <c r="U196" s="1221"/>
      <c r="W196" s="25" t="s">
        <v>739</v>
      </c>
      <c r="X196" s="25"/>
      <c r="Y196" s="25"/>
      <c r="Z196" s="25"/>
      <c r="AA196" s="25"/>
      <c r="AB196" s="25"/>
      <c r="AC196" s="25"/>
      <c r="AD196" s="25"/>
      <c r="AE196" s="25"/>
      <c r="AF196" s="25"/>
      <c r="AG196" s="25"/>
      <c r="AH196" s="1096">
        <v>15</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1" t="s">
        <v>722</v>
      </c>
      <c r="U197" s="1221"/>
      <c r="V197" s="12"/>
      <c r="W197" s="25" t="s">
        <v>740</v>
      </c>
      <c r="X197" s="25"/>
      <c r="Y197" s="25"/>
      <c r="Z197" s="25"/>
      <c r="AA197" s="25"/>
      <c r="AB197" s="25"/>
      <c r="AC197" s="25"/>
      <c r="AD197" s="25"/>
      <c r="AE197" s="25"/>
      <c r="AF197" s="25"/>
      <c r="AG197" s="25"/>
      <c r="AH197" s="1096">
        <v>9</v>
      </c>
      <c r="AI197" s="109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1" t="s">
        <v>722</v>
      </c>
      <c r="Z198" s="1221"/>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7" t="s">
        <v>417</v>
      </c>
      <c r="E203" s="1097"/>
      <c r="F203" s="1097"/>
      <c r="G203" s="1097"/>
      <c r="H203" s="1097"/>
      <c r="I203" s="1097"/>
      <c r="J203" s="1097"/>
      <c r="K203" s="1097"/>
      <c r="L203" s="1097"/>
      <c r="M203" s="1097"/>
      <c r="P203" s="1483">
        <f>M26</f>
        <v>5057980.5999999996</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3" t="s">
        <v>1533</v>
      </c>
      <c r="E204" s="1097"/>
      <c r="F204" s="1097"/>
      <c r="G204" s="1097"/>
      <c r="H204" s="1097"/>
      <c r="I204" s="1097"/>
      <c r="J204" s="1097"/>
      <c r="K204" s="1097"/>
      <c r="L204" s="1097"/>
      <c r="M204" s="1097"/>
      <c r="P204" s="1312">
        <f>M27</f>
        <v>0</v>
      </c>
      <c r="Q204" s="1312"/>
      <c r="R204" s="1312"/>
      <c r="S204" s="1312"/>
      <c r="T204" s="1312"/>
      <c r="U204" s="1312"/>
      <c r="V204" s="47"/>
      <c r="W204" s="25" t="s">
        <v>1534</v>
      </c>
      <c r="X204" s="25"/>
      <c r="Y204" s="25"/>
      <c r="Z204" s="25"/>
      <c r="AA204" s="25"/>
      <c r="AB204" s="25"/>
      <c r="AC204" s="25"/>
      <c r="AD204" s="25"/>
      <c r="AE204" s="25"/>
      <c r="AF204" s="1096" t="s">
        <v>722</v>
      </c>
      <c r="AG204" s="1096"/>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6" t="s">
        <v>1657</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6" t="s">
        <v>1194</v>
      </c>
      <c r="E210" s="1216"/>
      <c r="F210" s="1216"/>
      <c r="G210" s="1216"/>
      <c r="H210" s="1216"/>
      <c r="I210" s="1216"/>
      <c r="J210" s="1216"/>
      <c r="K210" s="1216"/>
      <c r="L210" s="1216"/>
      <c r="M210" s="1216"/>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16" t="s">
        <v>1222</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7" t="s">
        <v>586</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641</v>
      </c>
      <c r="AJ221" s="109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641</v>
      </c>
      <c r="AJ222" s="109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641</v>
      </c>
      <c r="AJ223" s="1096"/>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641</v>
      </c>
      <c r="AJ224" s="109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7" t="str">
        <f>H16</f>
        <v>Fairfield Hilltop LP,  a California limited partnership</v>
      </c>
      <c r="N227" s="1497"/>
      <c r="O227" s="1497"/>
      <c r="P227" s="1497"/>
      <c r="Q227" s="1497"/>
      <c r="R227" s="1497"/>
      <c r="S227" s="1497"/>
      <c r="T227" s="1497"/>
      <c r="U227" s="1497"/>
      <c r="V227" s="1497"/>
      <c r="W227" s="1497"/>
      <c r="X227" s="1497"/>
      <c r="Y227" s="1497"/>
      <c r="Z227" s="1497"/>
      <c r="AA227" s="1497"/>
      <c r="AB227" s="1497"/>
      <c r="AC227" s="1497"/>
      <c r="AD227" s="1497"/>
      <c r="AE227" s="1497"/>
      <c r="AF227" s="1497"/>
      <c r="AG227" s="1497"/>
      <c r="AH227" s="1497"/>
      <c r="AI227" s="1497"/>
      <c r="AJ227" s="1497"/>
      <c r="AK227" s="1497"/>
      <c r="AO227" s="344" t="s">
        <v>584</v>
      </c>
      <c r="AT227" s="406">
        <f>IF(AND(AND($M$244="nonprofit",$M$252="for profit",$M$260="nonprofit")),2,0)</f>
        <v>0</v>
      </c>
    </row>
    <row r="228" spans="1:59" ht="12.75">
      <c r="D228" s="57" t="s">
        <v>92</v>
      </c>
      <c r="E228" s="57"/>
      <c r="F228" s="57"/>
      <c r="G228" s="57"/>
      <c r="H228" s="57"/>
      <c r="I228" s="57"/>
      <c r="J228" s="57"/>
      <c r="K228" s="7"/>
      <c r="M228" s="1093" t="s">
        <v>1660</v>
      </c>
      <c r="N228" s="1216"/>
      <c r="O228" s="1216"/>
      <c r="P228" s="1216"/>
      <c r="Q228" s="1216"/>
      <c r="R228" s="1216"/>
      <c r="S228" s="1216"/>
      <c r="T228" s="1216"/>
      <c r="U228" s="1216"/>
      <c r="V228" s="1216"/>
      <c r="W228" s="1216"/>
      <c r="X228" s="1216"/>
      <c r="Y228" s="1216"/>
      <c r="Z228" s="1216"/>
      <c r="AA228" s="1216"/>
      <c r="AB228" s="1216"/>
      <c r="AC228" s="1216"/>
      <c r="AD228" s="1216"/>
      <c r="AE228" s="1216"/>
      <c r="AM228" s="7"/>
      <c r="AO228" s="344" t="s">
        <v>584</v>
      </c>
      <c r="AT228" s="405">
        <f>IF(AND(AND($M$244="for profit",$M$252="nonprofit",$M$260="nonprofit")),2,0)</f>
        <v>0</v>
      </c>
      <c r="BB228" s="61"/>
    </row>
    <row r="229" spans="1:59" ht="12.75">
      <c r="D229" s="57" t="s">
        <v>630</v>
      </c>
      <c r="E229" s="57"/>
      <c r="M229" s="1093" t="s">
        <v>790</v>
      </c>
      <c r="N229" s="1216"/>
      <c r="O229" s="1216"/>
      <c r="P229" s="1216"/>
      <c r="Q229" s="1216"/>
      <c r="R229" s="1216"/>
      <c r="S229" s="1216"/>
      <c r="T229" s="1216"/>
      <c r="V229" s="59" t="s">
        <v>93</v>
      </c>
      <c r="W229" s="1223" t="s">
        <v>1659</v>
      </c>
      <c r="X229" s="1100"/>
      <c r="Y229" s="57" t="s">
        <v>633</v>
      </c>
      <c r="AC229" s="1216">
        <v>92121</v>
      </c>
      <c r="AD229" s="1216"/>
      <c r="AE229" s="1216"/>
      <c r="AO229" s="402"/>
      <c r="AT229" s="403"/>
    </row>
    <row r="230" spans="1:59" ht="12.75">
      <c r="D230" s="60" t="s">
        <v>94</v>
      </c>
      <c r="E230" s="7"/>
      <c r="F230" s="7"/>
      <c r="G230" s="7"/>
      <c r="H230" s="7"/>
      <c r="I230" s="7"/>
      <c r="J230" s="7"/>
      <c r="K230" s="29"/>
      <c r="M230" s="1093" t="s">
        <v>1661</v>
      </c>
      <c r="N230" s="1216"/>
      <c r="O230" s="1216"/>
      <c r="P230" s="1216"/>
      <c r="Q230" s="1216"/>
      <c r="R230" s="1216"/>
      <c r="S230" s="1216"/>
      <c r="T230" s="1216"/>
      <c r="U230" s="1216"/>
      <c r="V230" s="1216"/>
      <c r="W230" s="1216"/>
      <c r="X230" s="1216"/>
      <c r="Y230" s="1216"/>
      <c r="Z230" s="1216"/>
      <c r="AA230" s="1216"/>
      <c r="AB230" s="1216"/>
      <c r="AC230" s="1216"/>
      <c r="AD230" s="1216"/>
      <c r="AE230" s="1216"/>
      <c r="AI230" s="7"/>
      <c r="AJ230" s="7"/>
      <c r="AK230" s="7"/>
      <c r="AL230" s="7"/>
      <c r="AM230" s="7"/>
      <c r="AO230" s="400" t="s">
        <v>583</v>
      </c>
      <c r="AT230" s="406">
        <f>IF(AND(AND($M$244="nonprofit",$M$252="nonprofit",$M$260="(select one)")),1,0)</f>
        <v>0</v>
      </c>
    </row>
    <row r="231" spans="1:59" ht="12.75">
      <c r="D231" s="60" t="s">
        <v>95</v>
      </c>
      <c r="E231" s="7"/>
      <c r="F231" s="7"/>
      <c r="M231" s="1098" t="s">
        <v>1662</v>
      </c>
      <c r="N231" s="1099"/>
      <c r="O231" s="1099"/>
      <c r="P231" s="1099"/>
      <c r="Q231" s="1099"/>
      <c r="R231" s="1099"/>
      <c r="S231" s="7" t="s">
        <v>220</v>
      </c>
      <c r="T231" s="7"/>
      <c r="U231" s="1100"/>
      <c r="V231" s="1100"/>
      <c r="W231" s="1100"/>
      <c r="X231" s="7" t="s">
        <v>96</v>
      </c>
      <c r="Z231" s="1099"/>
      <c r="AA231" s="1099"/>
      <c r="AB231" s="1099"/>
      <c r="AC231" s="1099"/>
      <c r="AD231" s="1099"/>
      <c r="AE231" s="1099"/>
      <c r="AO231" s="400" t="s">
        <v>583</v>
      </c>
      <c r="AT231" s="406">
        <f>IF(AND(AND($M$244="nonprofit",$M$252="nonprofit",$M$260="nonprofit")),1,0)</f>
        <v>0</v>
      </c>
    </row>
    <row r="232" spans="1:59" ht="12.75">
      <c r="D232" s="60" t="s">
        <v>97</v>
      </c>
      <c r="E232" s="7"/>
      <c r="F232" s="7"/>
      <c r="M232" s="1490" t="s">
        <v>1663</v>
      </c>
      <c r="N232" s="1490"/>
      <c r="O232" s="1490"/>
      <c r="P232" s="1490"/>
      <c r="Q232" s="1490"/>
      <c r="R232" s="1490"/>
      <c r="S232" s="1490"/>
      <c r="T232" s="1490"/>
      <c r="U232" s="1490"/>
      <c r="V232" s="1490"/>
      <c r="W232" s="1490"/>
      <c r="X232" s="1490"/>
      <c r="Y232" s="1490"/>
      <c r="Z232" s="1490"/>
      <c r="AA232" s="1490"/>
      <c r="AB232" s="1490"/>
      <c r="AC232" s="1490"/>
      <c r="AD232" s="1490"/>
      <c r="AE232" s="1490"/>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7" t="s">
        <v>574</v>
      </c>
      <c r="N233" s="1117"/>
      <c r="O233" s="1117"/>
      <c r="P233" s="1117"/>
      <c r="Q233" s="1117"/>
      <c r="R233" s="1117"/>
      <c r="S233" s="1117"/>
      <c r="T233" s="1117"/>
      <c r="U233" s="404" t="s">
        <v>1004</v>
      </c>
      <c r="V233" s="335"/>
      <c r="W233" s="335"/>
      <c r="X233" s="335"/>
      <c r="Y233" s="335"/>
      <c r="Z233" s="335"/>
      <c r="AA233" s="1259" t="s">
        <v>1664</v>
      </c>
      <c r="AB233" s="1260"/>
      <c r="AC233" s="1260"/>
      <c r="AD233" s="1260"/>
      <c r="AE233" s="1260"/>
      <c r="AF233" s="1260"/>
      <c r="AG233" s="1260"/>
      <c r="AH233" s="1260"/>
      <c r="AI233" s="1260"/>
      <c r="AJ233" s="1260"/>
      <c r="AK233" s="1260"/>
      <c r="AL233" s="58"/>
      <c r="AO233" s="400" t="s">
        <v>971</v>
      </c>
      <c r="AT233" s="406">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87" t="s">
        <v>1665</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1666</v>
      </c>
      <c r="AG238" s="1252"/>
      <c r="AH238" s="1252"/>
      <c r="AI238" s="1252"/>
      <c r="AJ238" s="1252"/>
      <c r="AK238" s="1252"/>
      <c r="AT238" s="12">
        <v>1</v>
      </c>
      <c r="AU238" s="12" t="s">
        <v>580</v>
      </c>
      <c r="AZ238" s="25"/>
      <c r="BA238" s="3"/>
      <c r="BB238" s="3"/>
    </row>
    <row r="239" spans="1:59" ht="12.75">
      <c r="A239" s="29"/>
      <c r="B239" s="7"/>
      <c r="C239" s="7"/>
      <c r="D239" s="57" t="s">
        <v>92</v>
      </c>
      <c r="E239" s="57"/>
      <c r="F239" s="57"/>
      <c r="G239" s="57"/>
      <c r="H239" s="57"/>
      <c r="I239" s="57"/>
      <c r="J239" s="57"/>
      <c r="K239" s="57"/>
      <c r="L239" s="7"/>
      <c r="M239" s="1093" t="s">
        <v>1660</v>
      </c>
      <c r="N239" s="1216"/>
      <c r="O239" s="1216"/>
      <c r="P239" s="1216"/>
      <c r="Q239" s="1216"/>
      <c r="R239" s="1216"/>
      <c r="S239" s="1216"/>
      <c r="T239" s="1216"/>
      <c r="U239" s="1216"/>
      <c r="V239" s="1216"/>
      <c r="W239" s="1216"/>
      <c r="X239" s="1216"/>
      <c r="Y239" s="1216"/>
      <c r="Z239" s="1216"/>
      <c r="AA239" s="1216"/>
      <c r="AB239" s="1216"/>
      <c r="AC239" s="1216"/>
      <c r="AD239" s="1216"/>
      <c r="AE239" s="1216"/>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3" t="s">
        <v>790</v>
      </c>
      <c r="N240" s="1216"/>
      <c r="O240" s="1216"/>
      <c r="P240" s="1216"/>
      <c r="Q240" s="1216"/>
      <c r="R240" s="1216"/>
      <c r="S240" s="1216"/>
      <c r="T240" s="1216"/>
      <c r="V240" s="59" t="s">
        <v>93</v>
      </c>
      <c r="W240" s="1223" t="s">
        <v>1659</v>
      </c>
      <c r="X240" s="1100"/>
      <c r="Y240" s="57" t="s">
        <v>633</v>
      </c>
      <c r="AC240" s="1216">
        <v>92121</v>
      </c>
      <c r="AD240" s="1216"/>
      <c r="AE240" s="1216"/>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3" t="s">
        <v>1667</v>
      </c>
      <c r="N241" s="1216"/>
      <c r="O241" s="1216"/>
      <c r="P241" s="1216"/>
      <c r="Q241" s="1216"/>
      <c r="R241" s="1216"/>
      <c r="S241" s="1216"/>
      <c r="T241" s="1216"/>
      <c r="U241" s="1216"/>
      <c r="V241" s="1216"/>
      <c r="W241" s="1216"/>
      <c r="X241" s="1216"/>
      <c r="Y241" s="1216"/>
      <c r="Z241" s="1216"/>
      <c r="AA241" s="1216"/>
      <c r="AB241" s="1216"/>
      <c r="AC241" s="1216"/>
      <c r="AD241" s="1216"/>
      <c r="AE241" s="1216"/>
      <c r="AH241" s="1577">
        <v>1E-3</v>
      </c>
      <c r="AI241" s="1578"/>
      <c r="AJ241" s="1578"/>
      <c r="AK241" s="1578"/>
      <c r="AL241" s="7"/>
      <c r="AN241" s="7" t="s">
        <v>296</v>
      </c>
      <c r="BA241" s="61"/>
    </row>
    <row r="242" spans="1:53" ht="12.75">
      <c r="A242" s="29"/>
      <c r="B242" s="7"/>
      <c r="C242" s="7"/>
      <c r="D242" s="60" t="s">
        <v>95</v>
      </c>
      <c r="E242" s="7"/>
      <c r="F242" s="7"/>
      <c r="M242" s="1098" t="s">
        <v>1668</v>
      </c>
      <c r="N242" s="1099"/>
      <c r="O242" s="1099"/>
      <c r="P242" s="1099"/>
      <c r="Q242" s="1099"/>
      <c r="R242" s="1099"/>
      <c r="S242" s="7" t="s">
        <v>220</v>
      </c>
      <c r="T242" s="7"/>
      <c r="U242" s="1100">
        <v>8216</v>
      </c>
      <c r="V242" s="1100"/>
      <c r="W242" s="1100"/>
      <c r="X242" s="7" t="s">
        <v>96</v>
      </c>
      <c r="Z242" s="1099"/>
      <c r="AA242" s="1099"/>
      <c r="AB242" s="1099"/>
      <c r="AC242" s="1099"/>
      <c r="AD242" s="1099"/>
      <c r="AE242" s="1099"/>
      <c r="AN242" s="7" t="s">
        <v>186</v>
      </c>
      <c r="BA242" s="61"/>
    </row>
    <row r="243" spans="1:53" ht="12.75">
      <c r="A243" s="29"/>
      <c r="B243" s="7"/>
      <c r="C243" s="7"/>
      <c r="D243" s="60" t="s">
        <v>97</v>
      </c>
      <c r="E243" s="7"/>
      <c r="F243" s="7"/>
      <c r="M243" s="1490" t="s">
        <v>1669</v>
      </c>
      <c r="N243" s="1490"/>
      <c r="O243" s="1490"/>
      <c r="P243" s="1490"/>
      <c r="Q243" s="1490"/>
      <c r="R243" s="1490"/>
      <c r="S243" s="1490"/>
      <c r="T243" s="1490"/>
      <c r="U243" s="1490"/>
      <c r="V243" s="1490"/>
      <c r="W243" s="1490"/>
      <c r="X243" s="1490"/>
      <c r="Y243" s="1490"/>
      <c r="Z243" s="1490"/>
      <c r="AA243" s="1490"/>
      <c r="AB243" s="1490"/>
      <c r="AC243" s="1490"/>
      <c r="AD243" s="1490"/>
      <c r="AE243" s="1490"/>
      <c r="AG243" s="7"/>
      <c r="AH243" s="7"/>
      <c r="AI243" s="7"/>
      <c r="AJ243" s="7"/>
      <c r="AK243" s="7"/>
      <c r="AL243" s="7"/>
      <c r="BA243" s="61"/>
    </row>
    <row r="244" spans="1:53" ht="12.75">
      <c r="A244" s="23"/>
      <c r="B244" s="7"/>
      <c r="C244" s="139"/>
      <c r="D244" s="60" t="s">
        <v>581</v>
      </c>
      <c r="E244" s="7"/>
      <c r="F244" s="7"/>
      <c r="G244" s="7"/>
      <c r="H244" s="7"/>
      <c r="I244" s="7"/>
      <c r="J244" s="7"/>
      <c r="K244" s="7"/>
      <c r="L244" s="7"/>
      <c r="M244" s="1117" t="s">
        <v>582</v>
      </c>
      <c r="N244" s="1117"/>
      <c r="O244" s="1117"/>
      <c r="P244" s="1117"/>
      <c r="Q244" s="1117"/>
      <c r="R244" s="1117"/>
      <c r="S244" s="1117"/>
      <c r="T244" s="1117"/>
      <c r="U244" s="404" t="s">
        <v>1004</v>
      </c>
      <c r="V244" s="335"/>
      <c r="W244" s="335"/>
      <c r="X244" s="335"/>
      <c r="Y244" s="335"/>
      <c r="Z244" s="335"/>
      <c r="AA244" s="1259" t="s">
        <v>1664</v>
      </c>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87" t="s">
        <v>1670</v>
      </c>
      <c r="N246" s="1252"/>
      <c r="O246" s="1252"/>
      <c r="P246" s="1252"/>
      <c r="Q246" s="1252"/>
      <c r="R246" s="1252"/>
      <c r="S246" s="1252"/>
      <c r="T246" s="1252"/>
      <c r="U246" s="1252"/>
      <c r="V246" s="1252"/>
      <c r="W246" s="1252"/>
      <c r="X246" s="1252"/>
      <c r="Y246" s="1252"/>
      <c r="Z246" s="1252"/>
      <c r="AA246" s="1252"/>
      <c r="AB246" s="1252"/>
      <c r="AC246" s="1252"/>
      <c r="AD246" s="1252"/>
      <c r="AE246" s="1252"/>
      <c r="AF246" s="1252" t="s">
        <v>1671</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3" t="s">
        <v>1672</v>
      </c>
      <c r="N247" s="1216"/>
      <c r="O247" s="1216"/>
      <c r="P247" s="1216"/>
      <c r="Q247" s="1216"/>
      <c r="R247" s="1216"/>
      <c r="S247" s="1216"/>
      <c r="T247" s="1216"/>
      <c r="U247" s="1216"/>
      <c r="V247" s="1216"/>
      <c r="W247" s="1216"/>
      <c r="X247" s="1216"/>
      <c r="Y247" s="1216"/>
      <c r="Z247" s="1216"/>
      <c r="AA247" s="1216"/>
      <c r="AB247" s="1216"/>
      <c r="AC247" s="1216"/>
      <c r="AD247" s="1216"/>
      <c r="AE247" s="1216"/>
      <c r="AF247" s="58" t="s">
        <v>1419</v>
      </c>
      <c r="AG247" s="743"/>
      <c r="AH247" s="743"/>
      <c r="AI247" s="743"/>
      <c r="AJ247" s="743"/>
      <c r="AK247" s="743"/>
      <c r="AL247" s="7"/>
      <c r="BA247" s="61"/>
    </row>
    <row r="248" spans="1:53" ht="12.75">
      <c r="A248" s="29"/>
      <c r="B248" s="7"/>
      <c r="C248" s="7"/>
      <c r="D248" s="57" t="s">
        <v>630</v>
      </c>
      <c r="E248" s="57"/>
      <c r="M248" s="1093" t="s">
        <v>1673</v>
      </c>
      <c r="N248" s="1216"/>
      <c r="O248" s="1216"/>
      <c r="P248" s="1216"/>
      <c r="Q248" s="1216"/>
      <c r="R248" s="1216"/>
      <c r="S248" s="1216"/>
      <c r="T248" s="1216"/>
      <c r="V248" s="59" t="s">
        <v>93</v>
      </c>
      <c r="W248" s="1223" t="s">
        <v>1659</v>
      </c>
      <c r="X248" s="1100"/>
      <c r="Y248" s="57" t="s">
        <v>633</v>
      </c>
      <c r="AC248" s="1216">
        <v>92780</v>
      </c>
      <c r="AD248" s="1216"/>
      <c r="AE248" s="121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3" t="s">
        <v>1674</v>
      </c>
      <c r="N249" s="1216"/>
      <c r="O249" s="1216"/>
      <c r="P249" s="1216"/>
      <c r="Q249" s="1216"/>
      <c r="R249" s="1216"/>
      <c r="S249" s="1216"/>
      <c r="T249" s="1216"/>
      <c r="U249" s="1216"/>
      <c r="V249" s="1216"/>
      <c r="W249" s="1216"/>
      <c r="X249" s="1216"/>
      <c r="Y249" s="1216"/>
      <c r="Z249" s="1216"/>
      <c r="AA249" s="1216"/>
      <c r="AB249" s="1216"/>
      <c r="AC249" s="1216"/>
      <c r="AD249" s="1216"/>
      <c r="AE249" s="1216"/>
      <c r="AF249" s="743"/>
      <c r="AG249" s="743"/>
      <c r="AH249" s="1577">
        <v>1.0000000000000001E-5</v>
      </c>
      <c r="AI249" s="1578"/>
      <c r="AJ249" s="1578"/>
      <c r="AK249" s="1578"/>
      <c r="AL249" s="7"/>
      <c r="BA249" s="61"/>
    </row>
    <row r="250" spans="1:53" ht="12.75">
      <c r="A250" s="29"/>
      <c r="B250" s="7"/>
      <c r="C250" s="7"/>
      <c r="D250" s="60" t="s">
        <v>95</v>
      </c>
      <c r="E250" s="7"/>
      <c r="F250" s="7"/>
      <c r="M250" s="1098" t="s">
        <v>1675</v>
      </c>
      <c r="N250" s="1099"/>
      <c r="O250" s="1099"/>
      <c r="P250" s="1099"/>
      <c r="Q250" s="1099"/>
      <c r="R250" s="1099"/>
      <c r="S250" s="7" t="s">
        <v>220</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490" t="s">
        <v>1676</v>
      </c>
      <c r="N251" s="1490"/>
      <c r="O251" s="1490"/>
      <c r="P251" s="1490"/>
      <c r="Q251" s="1490"/>
      <c r="R251" s="1490"/>
      <c r="S251" s="1490"/>
      <c r="T251" s="1490"/>
      <c r="U251" s="1490"/>
      <c r="V251" s="1490"/>
      <c r="W251" s="1490"/>
      <c r="X251" s="1490"/>
      <c r="Y251" s="1490"/>
      <c r="Z251" s="1490"/>
      <c r="AA251" s="1490"/>
      <c r="AB251" s="1490"/>
      <c r="AC251" s="1490"/>
      <c r="AD251" s="1490"/>
      <c r="AE251" s="149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7" t="s">
        <v>580</v>
      </c>
      <c r="N252" s="1117"/>
      <c r="O252" s="1117"/>
      <c r="P252" s="1117"/>
      <c r="Q252" s="1117"/>
      <c r="R252" s="1117"/>
      <c r="S252" s="1117"/>
      <c r="T252" s="1117"/>
      <c r="U252" s="404" t="s">
        <v>1004</v>
      </c>
      <c r="V252" s="335"/>
      <c r="W252" s="335"/>
      <c r="X252" s="335"/>
      <c r="Y252" s="335"/>
      <c r="Z252" s="335"/>
      <c r="AA252" s="1259" t="s">
        <v>1677</v>
      </c>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1419</v>
      </c>
      <c r="AG255" s="743"/>
      <c r="AH255" s="743"/>
      <c r="AI255" s="743"/>
      <c r="AJ255" s="743"/>
      <c r="AK255" s="743"/>
      <c r="AL255" s="58"/>
      <c r="BA255" s="61"/>
    </row>
    <row r="256" spans="1:53" ht="12.75">
      <c r="A256" s="23"/>
      <c r="B256" s="7"/>
      <c r="C256" s="7"/>
      <c r="D256" s="57" t="s">
        <v>630</v>
      </c>
      <c r="E256" s="57"/>
      <c r="M256" s="1216"/>
      <c r="N256" s="1216"/>
      <c r="O256" s="1216"/>
      <c r="P256" s="1216"/>
      <c r="Q256" s="1216"/>
      <c r="R256" s="1216"/>
      <c r="S256" s="1216"/>
      <c r="T256" s="1216"/>
      <c r="V256" s="59" t="s">
        <v>93</v>
      </c>
      <c r="W256" s="1100"/>
      <c r="X256" s="1100"/>
      <c r="Y256" s="57" t="s">
        <v>633</v>
      </c>
      <c r="AC256" s="1216"/>
      <c r="AD256" s="1216"/>
      <c r="AE256" s="121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78"/>
      <c r="AI257" s="1578"/>
      <c r="AJ257" s="1578"/>
      <c r="AK257" s="1578"/>
      <c r="AL257" s="58"/>
      <c r="BA257" s="61"/>
    </row>
    <row r="258" spans="1:53" ht="12.75">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490"/>
      <c r="N259" s="1490"/>
      <c r="O259" s="1490"/>
      <c r="P259" s="1490"/>
      <c r="Q259" s="1490"/>
      <c r="R259" s="1490"/>
      <c r="S259" s="1490"/>
      <c r="T259" s="1490"/>
      <c r="U259" s="1490"/>
      <c r="V259" s="1490"/>
      <c r="W259" s="1490"/>
      <c r="X259" s="1490"/>
      <c r="Y259" s="1490"/>
      <c r="Z259" s="1490"/>
      <c r="AA259" s="1498"/>
      <c r="AB259" s="1498"/>
      <c r="AC259" s="1498"/>
      <c r="AD259" s="1498"/>
      <c r="AE259" s="1498"/>
      <c r="AG259" s="7"/>
      <c r="AH259" s="7"/>
      <c r="AI259" s="7"/>
      <c r="AJ259" s="7"/>
      <c r="AK259" s="7"/>
      <c r="AL259" s="58"/>
      <c r="BA259" s="61"/>
    </row>
    <row r="260" spans="1:53" ht="12.75">
      <c r="A260" s="23"/>
      <c r="B260" s="7"/>
      <c r="C260" s="139"/>
      <c r="D260" s="60" t="s">
        <v>581</v>
      </c>
      <c r="E260" s="7"/>
      <c r="F260" s="7"/>
      <c r="G260" s="7"/>
      <c r="H260" s="7"/>
      <c r="I260" s="7"/>
      <c r="J260" s="7"/>
      <c r="K260" s="7"/>
      <c r="L260" s="7"/>
      <c r="M260" s="1117" t="s">
        <v>329</v>
      </c>
      <c r="N260" s="1117"/>
      <c r="O260" s="1117"/>
      <c r="P260" s="1117"/>
      <c r="Q260" s="1117"/>
      <c r="R260" s="1117"/>
      <c r="S260" s="1117"/>
      <c r="T260" s="1117"/>
      <c r="U260" s="404" t="s">
        <v>1004</v>
      </c>
      <c r="V260" s="335"/>
      <c r="W260" s="335"/>
      <c r="X260" s="335"/>
      <c r="Y260" s="335"/>
      <c r="Z260" s="335"/>
      <c r="AA260" s="1499"/>
      <c r="AB260" s="1499"/>
      <c r="AC260" s="1499"/>
      <c r="AD260" s="1499"/>
      <c r="AE260" s="1499"/>
      <c r="AF260" s="1499"/>
      <c r="AG260" s="1499"/>
      <c r="AH260" s="1499"/>
      <c r="AI260" s="1499"/>
      <c r="AJ260" s="1499"/>
      <c r="AK260" s="149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3" t="str">
        <f>BB239</f>
        <v>Joint Venture</v>
      </c>
      <c r="U262" s="1493"/>
      <c r="V262" s="1493"/>
      <c r="W262" s="1493"/>
      <c r="X262" s="1493"/>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6" t="s">
        <v>296</v>
      </c>
      <c r="E265" s="1216"/>
      <c r="F265" s="1216"/>
      <c r="G265" s="1216"/>
      <c r="H265" s="1216"/>
      <c r="J265" s="12" t="s">
        <v>295</v>
      </c>
      <c r="X265" s="1419"/>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7" t="s">
        <v>1678</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093" t="s">
        <v>1658</v>
      </c>
      <c r="M270" s="1216"/>
      <c r="N270" s="1216"/>
      <c r="O270" s="1216"/>
      <c r="P270" s="1216"/>
      <c r="Q270" s="1216"/>
      <c r="R270" s="1216"/>
      <c r="S270" s="1216"/>
      <c r="T270" s="1216"/>
      <c r="U270" s="1216"/>
      <c r="V270" s="1216"/>
      <c r="W270" s="1216"/>
      <c r="X270" s="1216"/>
      <c r="Y270" s="1216"/>
      <c r="Z270" s="1216"/>
      <c r="AA270" s="1216"/>
      <c r="AB270" s="1216"/>
      <c r="AC270" s="1216"/>
      <c r="AD270" s="1216"/>
      <c r="AK270" s="58"/>
      <c r="AL270" s="58"/>
      <c r="BA270" s="61"/>
    </row>
    <row r="271" spans="1:53" ht="12.75">
      <c r="D271" s="57" t="s">
        <v>630</v>
      </c>
      <c r="E271" s="57"/>
      <c r="L271" s="1093" t="s">
        <v>790</v>
      </c>
      <c r="M271" s="1216"/>
      <c r="N271" s="1216"/>
      <c r="O271" s="1216"/>
      <c r="P271" s="1216"/>
      <c r="Q271" s="1216"/>
      <c r="R271" s="1216"/>
      <c r="S271" s="1216"/>
      <c r="U271" s="59" t="s">
        <v>93</v>
      </c>
      <c r="V271" s="1223" t="s">
        <v>1659</v>
      </c>
      <c r="W271" s="1100"/>
      <c r="X271" s="57" t="s">
        <v>633</v>
      </c>
      <c r="AB271" s="1216">
        <v>92121</v>
      </c>
      <c r="AC271" s="1216"/>
      <c r="AD271" s="1216"/>
      <c r="AK271" s="58"/>
      <c r="AL271" s="58"/>
      <c r="BA271" s="61"/>
    </row>
    <row r="272" spans="1:53" ht="12.75">
      <c r="D272" s="60" t="s">
        <v>94</v>
      </c>
      <c r="E272" s="7"/>
      <c r="F272" s="7"/>
      <c r="G272" s="7"/>
      <c r="H272" s="7"/>
      <c r="I272" s="7"/>
      <c r="J272" s="7"/>
      <c r="K272" s="29"/>
      <c r="L272" s="1093" t="s">
        <v>1661</v>
      </c>
      <c r="M272" s="1216"/>
      <c r="N272" s="1216"/>
      <c r="O272" s="1216"/>
      <c r="P272" s="1216"/>
      <c r="Q272" s="1216"/>
      <c r="R272" s="1216"/>
      <c r="S272" s="1216"/>
      <c r="T272" s="1216"/>
      <c r="U272" s="1216"/>
      <c r="V272" s="1216"/>
      <c r="W272" s="1216"/>
      <c r="X272" s="1216"/>
      <c r="Y272" s="1216"/>
      <c r="Z272" s="1216"/>
      <c r="AA272" s="1216"/>
      <c r="AB272" s="1216"/>
      <c r="AC272" s="1216"/>
      <c r="AD272" s="1216"/>
      <c r="AI272" s="7"/>
      <c r="AJ272" s="7"/>
      <c r="AK272" s="58"/>
      <c r="AL272" s="58"/>
      <c r="BA272" s="61"/>
    </row>
    <row r="273" spans="1:53" ht="12.75">
      <c r="D273" s="60" t="s">
        <v>95</v>
      </c>
      <c r="E273" s="7"/>
      <c r="F273" s="7"/>
      <c r="L273" s="1098" t="s">
        <v>1662</v>
      </c>
      <c r="M273" s="1099"/>
      <c r="N273" s="1099"/>
      <c r="O273" s="1099"/>
      <c r="P273" s="1099"/>
      <c r="Q273" s="1099"/>
      <c r="R273" s="7" t="s">
        <v>220</v>
      </c>
      <c r="S273" s="7"/>
      <c r="T273" s="1100"/>
      <c r="U273" s="1100"/>
      <c r="V273" s="1100"/>
      <c r="W273" s="7" t="s">
        <v>96</v>
      </c>
      <c r="Y273" s="1099"/>
      <c r="Z273" s="1099"/>
      <c r="AA273" s="1099"/>
      <c r="AB273" s="1099"/>
      <c r="AC273" s="1099"/>
      <c r="AD273" s="1099"/>
      <c r="BA273" s="61"/>
    </row>
    <row r="274" spans="1:53" ht="12.75">
      <c r="D274" s="60" t="s">
        <v>97</v>
      </c>
      <c r="E274" s="7"/>
      <c r="F274" s="7"/>
      <c r="L274" s="1490" t="s">
        <v>1663</v>
      </c>
      <c r="M274" s="1490"/>
      <c r="N274" s="1490"/>
      <c r="O274" s="1490"/>
      <c r="P274" s="1490"/>
      <c r="Q274" s="1490"/>
      <c r="R274" s="1490"/>
      <c r="S274" s="1490"/>
      <c r="T274" s="1490"/>
      <c r="U274" s="1490"/>
      <c r="V274" s="1490"/>
      <c r="W274" s="1490"/>
      <c r="X274" s="1490"/>
      <c r="Y274" s="1490"/>
      <c r="Z274" s="1490"/>
      <c r="AA274" s="1490"/>
      <c r="AB274" s="1490"/>
      <c r="AC274" s="1490"/>
      <c r="AD274" s="1490"/>
      <c r="AF274" s="7"/>
      <c r="AG274" s="7"/>
      <c r="AH274" s="7"/>
      <c r="AI274" s="7"/>
      <c r="AJ274" s="7"/>
      <c r="BA274" s="61"/>
    </row>
    <row r="275" spans="1:53" ht="12.75">
      <c r="D275" s="58" t="s">
        <v>673</v>
      </c>
      <c r="E275" s="58"/>
      <c r="F275" s="58"/>
      <c r="G275" s="58"/>
      <c r="H275" s="58"/>
      <c r="I275" s="58"/>
      <c r="L275" s="1223" t="s">
        <v>1679</v>
      </c>
      <c r="M275" s="1223"/>
      <c r="N275" s="1223"/>
      <c r="O275" s="1223"/>
      <c r="P275" s="1223"/>
      <c r="Q275" s="1223"/>
      <c r="R275" s="1223"/>
      <c r="S275" s="1223"/>
      <c r="T275" s="1223"/>
      <c r="U275" s="1223"/>
      <c r="V275" s="1223"/>
      <c r="W275" s="1223"/>
      <c r="X275" s="1223"/>
      <c r="Y275" s="1223"/>
      <c r="Z275" s="1223"/>
      <c r="AA275" s="1223"/>
      <c r="AB275" s="1223"/>
      <c r="AC275" s="1223"/>
      <c r="AD275" s="1223"/>
      <c r="AK275" s="58"/>
      <c r="AL275" s="58"/>
      <c r="BA275" s="61"/>
    </row>
    <row r="276" spans="1:53" ht="12.75">
      <c r="L276" s="35" t="s">
        <v>674</v>
      </c>
      <c r="BA276" s="61"/>
    </row>
    <row r="277" spans="1:53" ht="12.75">
      <c r="A277" s="1257" t="s">
        <v>587</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1680</v>
      </c>
      <c r="I282" s="1095"/>
      <c r="J282" s="1095"/>
      <c r="K282" s="1095"/>
      <c r="L282" s="1095"/>
      <c r="M282" s="1095"/>
      <c r="N282" s="1095"/>
      <c r="O282" s="1095"/>
      <c r="P282" s="1095"/>
      <c r="Q282" s="1095"/>
      <c r="R282" s="1095"/>
      <c r="T282" s="58" t="s">
        <v>615</v>
      </c>
      <c r="V282" s="58"/>
      <c r="W282" s="58"/>
      <c r="X282" s="58"/>
      <c r="Y282" s="58"/>
      <c r="AA282" s="1095" t="s">
        <v>1684</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117" t="s">
        <v>1681</v>
      </c>
      <c r="I283" s="1117"/>
      <c r="J283" s="1117"/>
      <c r="K283" s="1117"/>
      <c r="L283" s="1117"/>
      <c r="M283" s="1117"/>
      <c r="N283" s="1117"/>
      <c r="O283" s="1117"/>
      <c r="P283" s="1117"/>
      <c r="Q283" s="1117"/>
      <c r="R283" s="1117"/>
      <c r="T283" s="58" t="s">
        <v>517</v>
      </c>
      <c r="V283" s="58"/>
      <c r="W283" s="58"/>
      <c r="X283" s="58"/>
      <c r="Y283" s="58"/>
      <c r="AA283" s="1117" t="s">
        <v>1685</v>
      </c>
      <c r="AB283" s="1117"/>
      <c r="AC283" s="1117"/>
      <c r="AD283" s="1117"/>
      <c r="AE283" s="1117"/>
      <c r="AF283" s="1117"/>
      <c r="AG283" s="1117"/>
      <c r="AH283" s="1117"/>
      <c r="AI283" s="1117"/>
      <c r="AJ283" s="1117"/>
      <c r="AK283" s="1117"/>
      <c r="BA283" s="61"/>
    </row>
    <row r="284" spans="1:53" ht="12.75" customHeight="1">
      <c r="B284" s="58" t="s">
        <v>518</v>
      </c>
      <c r="C284" s="58"/>
      <c r="D284" s="58"/>
      <c r="E284" s="58"/>
      <c r="F284" s="58"/>
      <c r="H284" s="1117" t="s">
        <v>1682</v>
      </c>
      <c r="I284" s="1117"/>
      <c r="J284" s="1117"/>
      <c r="K284" s="1117"/>
      <c r="L284" s="1117"/>
      <c r="M284" s="1117"/>
      <c r="N284" s="1117"/>
      <c r="O284" s="1117"/>
      <c r="P284" s="1117"/>
      <c r="Q284" s="1117"/>
      <c r="R284" s="1117"/>
      <c r="T284" s="58" t="s">
        <v>81</v>
      </c>
      <c r="V284" s="58"/>
      <c r="W284" s="58"/>
      <c r="X284" s="58"/>
      <c r="Y284" s="58"/>
      <c r="AA284" s="1117" t="s">
        <v>1686</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1661</v>
      </c>
      <c r="I285" s="1117"/>
      <c r="J285" s="1117"/>
      <c r="K285" s="1117"/>
      <c r="L285" s="1117"/>
      <c r="M285" s="1117"/>
      <c r="N285" s="1117"/>
      <c r="O285" s="1117"/>
      <c r="P285" s="1117"/>
      <c r="Q285" s="1117"/>
      <c r="R285" s="1117"/>
      <c r="T285" s="58" t="s">
        <v>94</v>
      </c>
      <c r="V285" s="58"/>
      <c r="W285" s="58"/>
      <c r="X285" s="58"/>
      <c r="Y285" s="58"/>
      <c r="AA285" s="1117" t="s">
        <v>1687</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118" t="s">
        <v>1662</v>
      </c>
      <c r="I286" s="1119"/>
      <c r="J286" s="1119"/>
      <c r="K286" s="1119"/>
      <c r="L286" s="1119"/>
      <c r="M286" s="1119"/>
      <c r="N286" s="7" t="s">
        <v>220</v>
      </c>
      <c r="O286" s="7"/>
      <c r="P286" s="1216"/>
      <c r="Q286" s="1216"/>
      <c r="R286" s="1216"/>
      <c r="S286" s="58"/>
      <c r="T286" s="58" t="s">
        <v>95</v>
      </c>
      <c r="V286" s="58"/>
      <c r="W286" s="58"/>
      <c r="X286" s="58"/>
      <c r="Y286" s="58"/>
      <c r="AA286" s="1118" t="s">
        <v>1688</v>
      </c>
      <c r="AB286" s="1119"/>
      <c r="AC286" s="1119"/>
      <c r="AD286" s="1119"/>
      <c r="AE286" s="1119"/>
      <c r="AF286" s="1119"/>
      <c r="AG286" s="7" t="s">
        <v>220</v>
      </c>
      <c r="AH286" s="7"/>
      <c r="AI286" s="1216"/>
      <c r="AJ286" s="1216"/>
      <c r="AK286" s="1216"/>
      <c r="BA286" s="61"/>
    </row>
    <row r="287" spans="1:53" ht="12.75">
      <c r="B287" s="58" t="s">
        <v>96</v>
      </c>
      <c r="C287" s="58"/>
      <c r="D287" s="58"/>
      <c r="E287" s="58"/>
      <c r="F287" s="58"/>
      <c r="G287" s="58"/>
      <c r="H287" s="1098" t="s">
        <v>1683</v>
      </c>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117" t="s">
        <v>1663</v>
      </c>
      <c r="I288" s="1117"/>
      <c r="J288" s="1117"/>
      <c r="K288" s="1117"/>
      <c r="L288" s="1117"/>
      <c r="M288" s="1117"/>
      <c r="N288" s="1095"/>
      <c r="O288" s="1095"/>
      <c r="P288" s="1095"/>
      <c r="Q288" s="1095"/>
      <c r="R288" s="1095"/>
      <c r="S288" s="58"/>
      <c r="T288" s="58" t="s">
        <v>82</v>
      </c>
      <c r="V288" s="58"/>
      <c r="W288" s="58"/>
      <c r="X288" s="58"/>
      <c r="Y288" s="58"/>
      <c r="AA288" s="1117" t="s">
        <v>1689</v>
      </c>
      <c r="AB288" s="1117"/>
      <c r="AC288" s="1117"/>
      <c r="AD288" s="1117"/>
      <c r="AE288" s="1117"/>
      <c r="AF288" s="1117"/>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1690</v>
      </c>
      <c r="I290" s="1095"/>
      <c r="J290" s="1095"/>
      <c r="K290" s="1095"/>
      <c r="L290" s="1095"/>
      <c r="M290" s="1095"/>
      <c r="N290" s="1095"/>
      <c r="O290" s="1095"/>
      <c r="P290" s="1095"/>
      <c r="Q290" s="1095"/>
      <c r="R290" s="1095"/>
      <c r="T290" s="58" t="s">
        <v>388</v>
      </c>
      <c r="V290" s="58"/>
      <c r="W290" s="58"/>
      <c r="X290" s="58"/>
      <c r="Y290" s="58"/>
      <c r="AA290" s="1095" t="s">
        <v>1713</v>
      </c>
      <c r="AB290" s="1095"/>
      <c r="AC290" s="1095"/>
      <c r="AD290" s="1095"/>
      <c r="AE290" s="1095"/>
      <c r="AF290" s="1095"/>
      <c r="AG290" s="1095"/>
      <c r="AH290" s="1095"/>
      <c r="AI290" s="1095"/>
      <c r="AJ290" s="1095"/>
      <c r="AK290" s="1095"/>
      <c r="BA290" s="61"/>
    </row>
    <row r="291" spans="2:53" ht="12.75">
      <c r="B291" s="58" t="s">
        <v>517</v>
      </c>
      <c r="C291" s="58"/>
      <c r="D291" s="58"/>
      <c r="E291" s="58"/>
      <c r="F291" s="58"/>
      <c r="H291" s="1117" t="s">
        <v>1691</v>
      </c>
      <c r="I291" s="1117"/>
      <c r="J291" s="1117"/>
      <c r="K291" s="1117"/>
      <c r="L291" s="1117"/>
      <c r="M291" s="1117"/>
      <c r="N291" s="1117"/>
      <c r="O291" s="1117"/>
      <c r="P291" s="1117"/>
      <c r="Q291" s="1117"/>
      <c r="R291" s="1117"/>
      <c r="T291" s="58" t="s">
        <v>517</v>
      </c>
      <c r="V291" s="58"/>
      <c r="W291" s="58"/>
      <c r="X291" s="58"/>
      <c r="Y291" s="58"/>
      <c r="AA291" s="1117" t="s">
        <v>1658</v>
      </c>
      <c r="AB291" s="1117"/>
      <c r="AC291" s="1117"/>
      <c r="AD291" s="1117"/>
      <c r="AE291" s="1117"/>
      <c r="AF291" s="1117"/>
      <c r="AG291" s="1117"/>
      <c r="AH291" s="1117"/>
      <c r="AI291" s="1117"/>
      <c r="AJ291" s="1117"/>
      <c r="AK291" s="1117"/>
      <c r="BA291" s="61"/>
    </row>
    <row r="292" spans="2:53" ht="12.75">
      <c r="B292" s="58" t="s">
        <v>518</v>
      </c>
      <c r="C292" s="58"/>
      <c r="D292" s="58"/>
      <c r="E292" s="58"/>
      <c r="F292" s="58"/>
      <c r="H292" s="1117" t="s">
        <v>1693</v>
      </c>
      <c r="I292" s="1117"/>
      <c r="J292" s="1117"/>
      <c r="K292" s="1117"/>
      <c r="L292" s="1117"/>
      <c r="M292" s="1117"/>
      <c r="N292" s="1117"/>
      <c r="O292" s="1117"/>
      <c r="P292" s="1117"/>
      <c r="Q292" s="1117"/>
      <c r="R292" s="1117"/>
      <c r="T292" s="58" t="s">
        <v>81</v>
      </c>
      <c r="V292" s="58"/>
      <c r="W292" s="58"/>
      <c r="X292" s="58"/>
      <c r="Y292" s="58"/>
      <c r="AA292" s="1117" t="s">
        <v>1682</v>
      </c>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17" t="s">
        <v>1694</v>
      </c>
      <c r="I293" s="1117"/>
      <c r="J293" s="1117"/>
      <c r="K293" s="1117"/>
      <c r="L293" s="1117"/>
      <c r="M293" s="1117"/>
      <c r="N293" s="1117"/>
      <c r="O293" s="1117"/>
      <c r="P293" s="1117"/>
      <c r="Q293" s="1117"/>
      <c r="R293" s="1117"/>
      <c r="T293" s="58" t="s">
        <v>94</v>
      </c>
      <c r="V293" s="58"/>
      <c r="W293" s="58"/>
      <c r="X293" s="58"/>
      <c r="Y293" s="58"/>
      <c r="AA293" s="1117" t="s">
        <v>1714</v>
      </c>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1695</v>
      </c>
      <c r="I294" s="1119"/>
      <c r="J294" s="1119"/>
      <c r="K294" s="1119"/>
      <c r="L294" s="1119"/>
      <c r="M294" s="1119"/>
      <c r="N294" s="7" t="s">
        <v>220</v>
      </c>
      <c r="O294" s="7"/>
      <c r="P294" s="1216"/>
      <c r="Q294" s="1216"/>
      <c r="R294" s="1216"/>
      <c r="S294" s="58"/>
      <c r="T294" s="58" t="s">
        <v>95</v>
      </c>
      <c r="V294" s="58"/>
      <c r="W294" s="58"/>
      <c r="X294" s="58"/>
      <c r="Y294" s="58"/>
      <c r="AA294" s="1118" t="s">
        <v>1715</v>
      </c>
      <c r="AB294" s="1119"/>
      <c r="AC294" s="1119"/>
      <c r="AD294" s="1119"/>
      <c r="AE294" s="1119"/>
      <c r="AF294" s="1119"/>
      <c r="AG294" s="7" t="s">
        <v>220</v>
      </c>
      <c r="AH294" s="7"/>
      <c r="AI294" s="1216"/>
      <c r="AJ294" s="1216"/>
      <c r="AK294" s="1216"/>
      <c r="BA294" s="61"/>
    </row>
    <row r="295" spans="2:53" ht="12.75" customHeight="1">
      <c r="B295" s="58" t="s">
        <v>96</v>
      </c>
      <c r="C295" s="58"/>
      <c r="D295" s="58"/>
      <c r="E295" s="58"/>
      <c r="F295" s="58"/>
      <c r="G295" s="58"/>
      <c r="H295" s="1098" t="s">
        <v>1696</v>
      </c>
      <c r="I295" s="1099"/>
      <c r="J295" s="1099"/>
      <c r="K295" s="1099"/>
      <c r="L295" s="1099"/>
      <c r="M295" s="1099"/>
      <c r="N295" s="60"/>
      <c r="O295" s="60"/>
      <c r="P295" s="62"/>
      <c r="Q295" s="62"/>
      <c r="R295" s="62"/>
      <c r="S295" s="58"/>
      <c r="T295" s="58" t="s">
        <v>96</v>
      </c>
      <c r="V295" s="58"/>
      <c r="W295" s="58"/>
      <c r="X295" s="58"/>
      <c r="Y295" s="58"/>
      <c r="AA295" s="1098" t="s">
        <v>1683</v>
      </c>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17" t="s">
        <v>1697</v>
      </c>
      <c r="I296" s="1117"/>
      <c r="J296" s="1117"/>
      <c r="K296" s="1117"/>
      <c r="L296" s="1117"/>
      <c r="M296" s="1117"/>
      <c r="N296" s="1095"/>
      <c r="O296" s="1095"/>
      <c r="P296" s="1095"/>
      <c r="Q296" s="1095"/>
      <c r="R296" s="1095"/>
      <c r="S296" s="58"/>
      <c r="T296" s="58" t="s">
        <v>82</v>
      </c>
      <c r="V296" s="58"/>
      <c r="W296" s="58"/>
      <c r="X296" s="58"/>
      <c r="Y296" s="58"/>
      <c r="AA296" s="1117" t="s">
        <v>1716</v>
      </c>
      <c r="AB296" s="1117"/>
      <c r="AC296" s="1117"/>
      <c r="AD296" s="1117"/>
      <c r="AE296" s="1117"/>
      <c r="AF296" s="1117"/>
      <c r="AG296" s="1095"/>
      <c r="AH296" s="1095"/>
      <c r="AI296" s="1095"/>
      <c r="AJ296" s="1095"/>
      <c r="AK296" s="1095"/>
      <c r="BA296" s="61"/>
    </row>
    <row r="297" spans="2:53" ht="12.75">
      <c r="BA297" s="61"/>
    </row>
    <row r="298" spans="2:53" ht="12.75">
      <c r="B298" s="58" t="s">
        <v>83</v>
      </c>
      <c r="C298" s="58"/>
      <c r="D298" s="58"/>
      <c r="E298" s="58"/>
      <c r="F298" s="58"/>
      <c r="H298" s="1095" t="s">
        <v>1698</v>
      </c>
      <c r="I298" s="1095"/>
      <c r="J298" s="1095"/>
      <c r="K298" s="1095"/>
      <c r="L298" s="1095"/>
      <c r="M298" s="1095"/>
      <c r="N298" s="1095"/>
      <c r="O298" s="1095"/>
      <c r="P298" s="1095"/>
      <c r="Q298" s="1095"/>
      <c r="R298" s="1095"/>
      <c r="T298" s="7" t="s">
        <v>972</v>
      </c>
      <c r="V298" s="58"/>
      <c r="W298" s="58"/>
      <c r="X298" s="58"/>
      <c r="Y298" s="58"/>
      <c r="AA298" s="1095" t="s">
        <v>1717</v>
      </c>
      <c r="AB298" s="1095"/>
      <c r="AC298" s="1095"/>
      <c r="AD298" s="1095"/>
      <c r="AE298" s="1095"/>
      <c r="AF298" s="1095"/>
      <c r="AG298" s="1095"/>
      <c r="AH298" s="1095"/>
      <c r="AI298" s="1095"/>
      <c r="AJ298" s="1095"/>
      <c r="AK298" s="1095"/>
      <c r="BA298" s="61"/>
    </row>
    <row r="299" spans="2:53" ht="12.75">
      <c r="B299" s="58" t="s">
        <v>517</v>
      </c>
      <c r="C299" s="58"/>
      <c r="D299" s="58"/>
      <c r="E299" s="58"/>
      <c r="F299" s="58"/>
      <c r="H299" s="1117" t="s">
        <v>1699</v>
      </c>
      <c r="I299" s="1117"/>
      <c r="J299" s="1117"/>
      <c r="K299" s="1117"/>
      <c r="L299" s="1117"/>
      <c r="M299" s="1117"/>
      <c r="N299" s="1117"/>
      <c r="O299" s="1117"/>
      <c r="P299" s="1117"/>
      <c r="Q299" s="1117"/>
      <c r="R299" s="1117"/>
      <c r="T299" s="58" t="s">
        <v>517</v>
      </c>
      <c r="V299" s="58"/>
      <c r="W299" s="58"/>
      <c r="X299" s="58"/>
      <c r="Y299" s="58"/>
      <c r="AA299" s="1117" t="s">
        <v>1718</v>
      </c>
      <c r="AB299" s="1117"/>
      <c r="AC299" s="1117"/>
      <c r="AD299" s="1117"/>
      <c r="AE299" s="1117"/>
      <c r="AF299" s="1117"/>
      <c r="AG299" s="1117"/>
      <c r="AH299" s="1117"/>
      <c r="AI299" s="1117"/>
      <c r="AJ299" s="1117"/>
      <c r="AK299" s="1117"/>
      <c r="BA299" s="61"/>
    </row>
    <row r="300" spans="2:53" ht="12.75">
      <c r="B300" s="58" t="s">
        <v>518</v>
      </c>
      <c r="C300" s="58"/>
      <c r="D300" s="58"/>
      <c r="E300" s="58"/>
      <c r="F300" s="58"/>
      <c r="H300" s="1117" t="s">
        <v>1692</v>
      </c>
      <c r="I300" s="1117"/>
      <c r="J300" s="1117"/>
      <c r="K300" s="1117"/>
      <c r="L300" s="1117"/>
      <c r="M300" s="1117"/>
      <c r="N300" s="1117"/>
      <c r="O300" s="1117"/>
      <c r="P300" s="1117"/>
      <c r="Q300" s="1117"/>
      <c r="R300" s="1117"/>
      <c r="T300" s="58" t="s">
        <v>81</v>
      </c>
      <c r="V300" s="58"/>
      <c r="W300" s="58"/>
      <c r="X300" s="58"/>
      <c r="Y300" s="58"/>
      <c r="AA300" s="1117" t="s">
        <v>1719</v>
      </c>
      <c r="AB300" s="1117"/>
      <c r="AC300" s="1117"/>
      <c r="AD300" s="1117"/>
      <c r="AE300" s="1117"/>
      <c r="AF300" s="1117"/>
      <c r="AG300" s="1117"/>
      <c r="AH300" s="1117"/>
      <c r="AI300" s="1117"/>
      <c r="AJ300" s="1117"/>
      <c r="AK300" s="1117"/>
      <c r="BA300" s="61"/>
    </row>
    <row r="301" spans="2:53" ht="12.75">
      <c r="B301" s="58" t="s">
        <v>94</v>
      </c>
      <c r="C301" s="58"/>
      <c r="D301" s="58"/>
      <c r="E301" s="58"/>
      <c r="F301" s="58"/>
      <c r="H301" s="1117" t="s">
        <v>1700</v>
      </c>
      <c r="I301" s="1117"/>
      <c r="J301" s="1117"/>
      <c r="K301" s="1117"/>
      <c r="L301" s="1117"/>
      <c r="M301" s="1117"/>
      <c r="N301" s="1117"/>
      <c r="O301" s="1117"/>
      <c r="P301" s="1117"/>
      <c r="Q301" s="1117"/>
      <c r="R301" s="1117"/>
      <c r="T301" s="58" t="s">
        <v>94</v>
      </c>
      <c r="V301" s="58"/>
      <c r="W301" s="58"/>
      <c r="X301" s="58"/>
      <c r="Y301" s="58"/>
      <c r="AA301" s="1117" t="s">
        <v>1720</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8" t="s">
        <v>1701</v>
      </c>
      <c r="I302" s="1119"/>
      <c r="J302" s="1119"/>
      <c r="K302" s="1119"/>
      <c r="L302" s="1119"/>
      <c r="M302" s="1119"/>
      <c r="N302" s="7" t="s">
        <v>220</v>
      </c>
      <c r="O302" s="7"/>
      <c r="P302" s="1216"/>
      <c r="Q302" s="1216"/>
      <c r="R302" s="1216"/>
      <c r="S302" s="58"/>
      <c r="T302" s="58" t="s">
        <v>95</v>
      </c>
      <c r="V302" s="58"/>
      <c r="W302" s="58"/>
      <c r="X302" s="58"/>
      <c r="Y302" s="58"/>
      <c r="AA302" s="1118" t="s">
        <v>1721</v>
      </c>
      <c r="AB302" s="1119"/>
      <c r="AC302" s="1119"/>
      <c r="AD302" s="1119"/>
      <c r="AE302" s="1119"/>
      <c r="AF302" s="1119"/>
      <c r="AG302" s="7" t="s">
        <v>220</v>
      </c>
      <c r="AH302" s="7"/>
      <c r="AI302" s="1216"/>
      <c r="AJ302" s="1216"/>
      <c r="AK302" s="1216"/>
      <c r="BA302" s="61"/>
    </row>
    <row r="303" spans="2:53" ht="12.75">
      <c r="B303" s="58" t="s">
        <v>96</v>
      </c>
      <c r="C303" s="58"/>
      <c r="D303" s="58"/>
      <c r="E303" s="58"/>
      <c r="F303" s="58"/>
      <c r="G303" s="58"/>
      <c r="H303" s="1099"/>
      <c r="I303" s="1099"/>
      <c r="J303" s="1099"/>
      <c r="K303" s="1099"/>
      <c r="L303" s="1099"/>
      <c r="M303" s="1099"/>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75">
      <c r="B304" s="58" t="s">
        <v>82</v>
      </c>
      <c r="C304" s="58"/>
      <c r="D304" s="58"/>
      <c r="E304" s="58"/>
      <c r="F304" s="58"/>
      <c r="G304" s="58"/>
      <c r="H304" s="1117" t="s">
        <v>1702</v>
      </c>
      <c r="I304" s="1117"/>
      <c r="J304" s="1117"/>
      <c r="K304" s="1117"/>
      <c r="L304" s="1117"/>
      <c r="M304" s="1117"/>
      <c r="N304" s="1095"/>
      <c r="O304" s="1095"/>
      <c r="P304" s="1095"/>
      <c r="Q304" s="1095"/>
      <c r="R304" s="1095"/>
      <c r="S304" s="58"/>
      <c r="T304" s="58" t="s">
        <v>82</v>
      </c>
      <c r="V304" s="58"/>
      <c r="W304" s="58"/>
      <c r="X304" s="58"/>
      <c r="Y304" s="58"/>
      <c r="AA304" s="1117" t="s">
        <v>1722</v>
      </c>
      <c r="AB304" s="1117"/>
      <c r="AC304" s="1117"/>
      <c r="AD304" s="1117"/>
      <c r="AE304" s="1117"/>
      <c r="AF304" s="1117"/>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5" t="s">
        <v>1698</v>
      </c>
      <c r="I306" s="1095"/>
      <c r="J306" s="1095"/>
      <c r="K306" s="1095"/>
      <c r="L306" s="1095"/>
      <c r="M306" s="1095"/>
      <c r="N306" s="1095"/>
      <c r="O306" s="1095"/>
      <c r="P306" s="1095"/>
      <c r="Q306" s="1095"/>
      <c r="R306" s="1095"/>
      <c r="S306" s="58"/>
      <c r="T306" s="58" t="s">
        <v>389</v>
      </c>
      <c r="V306" s="58"/>
      <c r="W306" s="58"/>
      <c r="X306" s="58"/>
      <c r="Y306" s="58"/>
      <c r="AA306" s="1095" t="s">
        <v>1723</v>
      </c>
      <c r="AB306" s="1095"/>
      <c r="AC306" s="1095"/>
      <c r="AD306" s="1095"/>
      <c r="AE306" s="1095"/>
      <c r="AF306" s="1095"/>
      <c r="AG306" s="1095"/>
      <c r="AH306" s="1095"/>
      <c r="AI306" s="1095"/>
      <c r="AJ306" s="1095"/>
      <c r="AK306" s="1095"/>
      <c r="BA306" s="61"/>
    </row>
    <row r="307" spans="1:53" ht="12.75">
      <c r="B307" s="58" t="s">
        <v>517</v>
      </c>
      <c r="C307" s="58"/>
      <c r="D307" s="58"/>
      <c r="E307" s="58"/>
      <c r="F307" s="58"/>
      <c r="H307" s="1117" t="s">
        <v>1699</v>
      </c>
      <c r="I307" s="1117"/>
      <c r="J307" s="1117"/>
      <c r="K307" s="1117"/>
      <c r="L307" s="1117"/>
      <c r="M307" s="1117"/>
      <c r="N307" s="1117"/>
      <c r="O307" s="1117"/>
      <c r="P307" s="1117"/>
      <c r="Q307" s="1117"/>
      <c r="R307" s="1117"/>
      <c r="S307" s="58"/>
      <c r="T307" s="58" t="s">
        <v>517</v>
      </c>
      <c r="V307" s="58"/>
      <c r="W307" s="58"/>
      <c r="X307" s="58"/>
      <c r="Y307" s="58"/>
      <c r="AA307" s="1117" t="s">
        <v>1724</v>
      </c>
      <c r="AB307" s="1117"/>
      <c r="AC307" s="1117"/>
      <c r="AD307" s="1117"/>
      <c r="AE307" s="1117"/>
      <c r="AF307" s="1117"/>
      <c r="AG307" s="1117"/>
      <c r="AH307" s="1117"/>
      <c r="AI307" s="1117"/>
      <c r="AJ307" s="1117"/>
      <c r="AK307" s="1117"/>
      <c r="BA307" s="61"/>
    </row>
    <row r="308" spans="1:53" ht="12.75">
      <c r="B308" s="58" t="s">
        <v>518</v>
      </c>
      <c r="C308" s="58"/>
      <c r="D308" s="58"/>
      <c r="E308" s="58"/>
      <c r="F308" s="58"/>
      <c r="H308" s="1117" t="s">
        <v>1692</v>
      </c>
      <c r="I308" s="1117"/>
      <c r="J308" s="1117"/>
      <c r="K308" s="1117"/>
      <c r="L308" s="1117"/>
      <c r="M308" s="1117"/>
      <c r="N308" s="1117"/>
      <c r="O308" s="1117"/>
      <c r="P308" s="1117"/>
      <c r="Q308" s="1117"/>
      <c r="R308" s="1117"/>
      <c r="S308" s="58"/>
      <c r="T308" s="58" t="s">
        <v>81</v>
      </c>
      <c r="V308" s="58"/>
      <c r="W308" s="58"/>
      <c r="X308" s="58"/>
      <c r="Y308" s="58"/>
      <c r="AA308" s="1117" t="s">
        <v>1725</v>
      </c>
      <c r="AB308" s="1117"/>
      <c r="AC308" s="1117"/>
      <c r="AD308" s="1117"/>
      <c r="AE308" s="1117"/>
      <c r="AF308" s="1117"/>
      <c r="AG308" s="1117"/>
      <c r="AH308" s="1117"/>
      <c r="AI308" s="1117"/>
      <c r="AJ308" s="1117"/>
      <c r="AK308" s="1117"/>
      <c r="BA308" s="61"/>
    </row>
    <row r="309" spans="1:53" ht="12.75">
      <c r="B309" s="58" t="s">
        <v>94</v>
      </c>
      <c r="C309" s="58"/>
      <c r="D309" s="58"/>
      <c r="E309" s="58"/>
      <c r="F309" s="58"/>
      <c r="H309" s="1117" t="s">
        <v>1700</v>
      </c>
      <c r="I309" s="1117"/>
      <c r="J309" s="1117"/>
      <c r="K309" s="1117"/>
      <c r="L309" s="1117"/>
      <c r="M309" s="1117"/>
      <c r="N309" s="1117"/>
      <c r="O309" s="1117"/>
      <c r="P309" s="1117"/>
      <c r="Q309" s="1117"/>
      <c r="R309" s="1117"/>
      <c r="S309" s="58"/>
      <c r="T309" s="58" t="s">
        <v>94</v>
      </c>
      <c r="V309" s="58"/>
      <c r="W309" s="58"/>
      <c r="X309" s="58"/>
      <c r="Y309" s="58"/>
      <c r="AA309" s="1117" t="s">
        <v>1726</v>
      </c>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118" t="s">
        <v>1701</v>
      </c>
      <c r="I310" s="1119"/>
      <c r="J310" s="1119"/>
      <c r="K310" s="1119"/>
      <c r="L310" s="1119"/>
      <c r="M310" s="1119"/>
      <c r="N310" s="7" t="s">
        <v>220</v>
      </c>
      <c r="O310" s="7"/>
      <c r="P310" s="1216"/>
      <c r="Q310" s="1216"/>
      <c r="R310" s="1216"/>
      <c r="S310" s="58"/>
      <c r="T310" s="58" t="s">
        <v>95</v>
      </c>
      <c r="V310" s="58"/>
      <c r="W310" s="58"/>
      <c r="X310" s="58"/>
      <c r="Y310" s="58"/>
      <c r="AA310" s="1118" t="s">
        <v>1727</v>
      </c>
      <c r="AB310" s="1119"/>
      <c r="AC310" s="1119"/>
      <c r="AD310" s="1119"/>
      <c r="AE310" s="1119"/>
      <c r="AF310" s="1119"/>
      <c r="AG310" s="7" t="s">
        <v>220</v>
      </c>
      <c r="AH310" s="7"/>
      <c r="AI310" s="1216"/>
      <c r="AJ310" s="1216"/>
      <c r="AK310" s="1216"/>
      <c r="BA310" s="61"/>
    </row>
    <row r="311" spans="1:53" ht="12.75">
      <c r="B311" s="58" t="s">
        <v>96</v>
      </c>
      <c r="C311" s="58"/>
      <c r="D311" s="58"/>
      <c r="E311" s="58"/>
      <c r="F311" s="58"/>
      <c r="G311" s="58"/>
      <c r="H311" s="1099"/>
      <c r="I311" s="1099"/>
      <c r="J311" s="1099"/>
      <c r="K311" s="1099"/>
      <c r="L311" s="1099"/>
      <c r="M311" s="1099"/>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117" t="s">
        <v>1702</v>
      </c>
      <c r="I312" s="1117"/>
      <c r="J312" s="1117"/>
      <c r="K312" s="1117"/>
      <c r="L312" s="1117"/>
      <c r="M312" s="1117"/>
      <c r="N312" s="1095"/>
      <c r="O312" s="1095"/>
      <c r="P312" s="1095"/>
      <c r="Q312" s="1095"/>
      <c r="R312" s="1095"/>
      <c r="S312" s="58"/>
      <c r="T312" s="58" t="s">
        <v>82</v>
      </c>
      <c r="V312" s="58"/>
      <c r="W312" s="58"/>
      <c r="X312" s="58"/>
      <c r="Y312" s="58"/>
      <c r="AA312" s="1117" t="s">
        <v>1728</v>
      </c>
      <c r="AB312" s="1117"/>
      <c r="AC312" s="1117"/>
      <c r="AD312" s="1117"/>
      <c r="AE312" s="1117"/>
      <c r="AF312" s="1117"/>
      <c r="AG312" s="1095"/>
      <c r="AH312" s="1095"/>
      <c r="AI312" s="1095"/>
      <c r="AJ312" s="1095"/>
      <c r="AK312" s="1095"/>
      <c r="BA312" s="61"/>
    </row>
    <row r="313" spans="1:53" ht="12.75">
      <c r="BA313" s="61"/>
    </row>
    <row r="314" spans="1:53" ht="12.75">
      <c r="B314" s="7" t="s">
        <v>1006</v>
      </c>
      <c r="C314" s="58"/>
      <c r="D314" s="58"/>
      <c r="E314" s="58"/>
      <c r="F314" s="58"/>
      <c r="H314" s="1095"/>
      <c r="I314" s="1095"/>
      <c r="J314" s="1095"/>
      <c r="K314" s="1095"/>
      <c r="L314" s="1095"/>
      <c r="M314" s="1095"/>
      <c r="N314" s="1095"/>
      <c r="O314" s="1095"/>
      <c r="P314" s="1095"/>
      <c r="Q314" s="1095"/>
      <c r="R314" s="1095"/>
      <c r="T314" s="58" t="s">
        <v>390</v>
      </c>
      <c r="V314" s="58"/>
      <c r="W314" s="58"/>
      <c r="X314" s="58"/>
      <c r="Y314" s="58"/>
      <c r="AA314" s="1095" t="s">
        <v>1698</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117"/>
      <c r="I315" s="1117"/>
      <c r="J315" s="1117"/>
      <c r="K315" s="1117"/>
      <c r="L315" s="1117"/>
      <c r="M315" s="1117"/>
      <c r="N315" s="1117"/>
      <c r="O315" s="1117"/>
      <c r="P315" s="1117"/>
      <c r="Q315" s="1117"/>
      <c r="R315" s="1117"/>
      <c r="T315" s="58" t="s">
        <v>517</v>
      </c>
      <c r="V315" s="58"/>
      <c r="W315" s="58"/>
      <c r="X315" s="58"/>
      <c r="Y315" s="58"/>
      <c r="AA315" s="1117" t="s">
        <v>1699</v>
      </c>
      <c r="AB315" s="1117"/>
      <c r="AC315" s="1117"/>
      <c r="AD315" s="1117"/>
      <c r="AE315" s="1117"/>
      <c r="AF315" s="1117"/>
      <c r="AG315" s="1117"/>
      <c r="AH315" s="1117"/>
      <c r="AI315" s="1117"/>
      <c r="AJ315" s="1117"/>
      <c r="AK315" s="1117"/>
      <c r="BA315" s="61"/>
    </row>
    <row r="316" spans="1:53" ht="12.75">
      <c r="B316" s="58" t="s">
        <v>518</v>
      </c>
      <c r="C316" s="58"/>
      <c r="D316" s="58"/>
      <c r="E316" s="58"/>
      <c r="F316" s="58"/>
      <c r="H316" s="1117"/>
      <c r="I316" s="1117"/>
      <c r="J316" s="1117"/>
      <c r="K316" s="1117"/>
      <c r="L316" s="1117"/>
      <c r="M316" s="1117"/>
      <c r="N316" s="1117"/>
      <c r="O316" s="1117"/>
      <c r="P316" s="1117"/>
      <c r="Q316" s="1117"/>
      <c r="R316" s="1117"/>
      <c r="T316" s="58" t="s">
        <v>81</v>
      </c>
      <c r="V316" s="58"/>
      <c r="W316" s="58"/>
      <c r="X316" s="58"/>
      <c r="Y316" s="58"/>
      <c r="AA316" s="1117" t="s">
        <v>1692</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117"/>
      <c r="I317" s="1117"/>
      <c r="J317" s="1117"/>
      <c r="K317" s="1117"/>
      <c r="L317" s="1117"/>
      <c r="M317" s="1117"/>
      <c r="N317" s="1117"/>
      <c r="O317" s="1117"/>
      <c r="P317" s="1117"/>
      <c r="Q317" s="1117"/>
      <c r="R317" s="1117"/>
      <c r="T317" s="58" t="s">
        <v>94</v>
      </c>
      <c r="V317" s="58"/>
      <c r="W317" s="58"/>
      <c r="X317" s="58"/>
      <c r="Y317" s="58"/>
      <c r="AA317" s="1117" t="s">
        <v>1703</v>
      </c>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119"/>
      <c r="I318" s="1119"/>
      <c r="J318" s="1119"/>
      <c r="K318" s="1119"/>
      <c r="L318" s="1119"/>
      <c r="M318" s="1119"/>
      <c r="N318" s="7" t="s">
        <v>220</v>
      </c>
      <c r="O318" s="7"/>
      <c r="P318" s="1216"/>
      <c r="Q318" s="1216"/>
      <c r="R318" s="1216"/>
      <c r="S318" s="58"/>
      <c r="T318" s="58" t="s">
        <v>95</v>
      </c>
      <c r="V318" s="58"/>
      <c r="W318" s="58"/>
      <c r="X318" s="58"/>
      <c r="Y318" s="58"/>
      <c r="AA318" s="1118" t="s">
        <v>1704</v>
      </c>
      <c r="AB318" s="1119"/>
      <c r="AC318" s="1119"/>
      <c r="AD318" s="1119"/>
      <c r="AE318" s="1119"/>
      <c r="AF318" s="1119"/>
      <c r="AG318" s="7" t="s">
        <v>220</v>
      </c>
      <c r="AH318" s="7"/>
      <c r="AI318" s="1216"/>
      <c r="AJ318" s="1216"/>
      <c r="AK318" s="1216"/>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9"/>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17"/>
      <c r="I320" s="1117"/>
      <c r="J320" s="1117"/>
      <c r="K320" s="1117"/>
      <c r="L320" s="1117"/>
      <c r="M320" s="1117"/>
      <c r="N320" s="1095"/>
      <c r="O320" s="1095"/>
      <c r="P320" s="1095"/>
      <c r="Q320" s="1095"/>
      <c r="R320" s="1095"/>
      <c r="S320" s="58"/>
      <c r="T320" s="58" t="s">
        <v>82</v>
      </c>
      <c r="V320" s="58"/>
      <c r="W320" s="58"/>
      <c r="X320" s="58"/>
      <c r="Y320" s="58"/>
      <c r="AA320" s="1117" t="s">
        <v>1705</v>
      </c>
      <c r="AB320" s="1117"/>
      <c r="AC320" s="1117"/>
      <c r="AD320" s="1117"/>
      <c r="AE320" s="1117"/>
      <c r="AF320" s="1117"/>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1698</v>
      </c>
      <c r="I322" s="1095"/>
      <c r="J322" s="1095"/>
      <c r="K322" s="1095"/>
      <c r="L322" s="1095"/>
      <c r="M322" s="1095"/>
      <c r="N322" s="1095"/>
      <c r="O322" s="1095"/>
      <c r="P322" s="1095"/>
      <c r="Q322" s="1095"/>
      <c r="R322" s="1095"/>
      <c r="T322" s="58" t="s">
        <v>392</v>
      </c>
      <c r="V322" s="58"/>
      <c r="W322" s="58"/>
      <c r="X322" s="58"/>
      <c r="Y322" s="58"/>
      <c r="AA322" s="1095" t="s">
        <v>1729</v>
      </c>
      <c r="AB322" s="1095"/>
      <c r="AC322" s="1095"/>
      <c r="AD322" s="1095"/>
      <c r="AE322" s="1095"/>
      <c r="AF322" s="1095"/>
      <c r="AG322" s="1095"/>
      <c r="AH322" s="1095"/>
      <c r="AI322" s="1095"/>
      <c r="AJ322" s="1095"/>
      <c r="AK322" s="1095"/>
      <c r="AL322" s="39"/>
    </row>
    <row r="323" spans="1:53" ht="12.75">
      <c r="A323" s="39"/>
      <c r="B323" s="58" t="s">
        <v>517</v>
      </c>
      <c r="C323" s="58"/>
      <c r="D323" s="58"/>
      <c r="E323" s="58"/>
      <c r="F323" s="58"/>
      <c r="H323" s="1117" t="s">
        <v>1699</v>
      </c>
      <c r="I323" s="1117"/>
      <c r="J323" s="1117"/>
      <c r="K323" s="1117"/>
      <c r="L323" s="1117"/>
      <c r="M323" s="1117"/>
      <c r="N323" s="1117"/>
      <c r="O323" s="1117"/>
      <c r="P323" s="1117"/>
      <c r="Q323" s="1117"/>
      <c r="R323" s="1117"/>
      <c r="T323" s="58" t="s">
        <v>517</v>
      </c>
      <c r="V323" s="58"/>
      <c r="W323" s="58"/>
      <c r="X323" s="58"/>
      <c r="Y323" s="58"/>
      <c r="AA323" s="1117" t="s">
        <v>1730</v>
      </c>
      <c r="AB323" s="1117"/>
      <c r="AC323" s="1117"/>
      <c r="AD323" s="1117"/>
      <c r="AE323" s="1117"/>
      <c r="AF323" s="1117"/>
      <c r="AG323" s="1117"/>
      <c r="AH323" s="1117"/>
      <c r="AI323" s="1117"/>
      <c r="AJ323" s="1117"/>
      <c r="AK323" s="1117"/>
      <c r="AL323" s="39"/>
    </row>
    <row r="324" spans="1:53" ht="12.75" customHeight="1">
      <c r="A324" s="39"/>
      <c r="B324" s="58" t="s">
        <v>518</v>
      </c>
      <c r="C324" s="58"/>
      <c r="D324" s="58"/>
      <c r="E324" s="58"/>
      <c r="F324" s="58"/>
      <c r="H324" s="1117" t="s">
        <v>1692</v>
      </c>
      <c r="I324" s="1117"/>
      <c r="J324" s="1117"/>
      <c r="K324" s="1117"/>
      <c r="L324" s="1117"/>
      <c r="M324" s="1117"/>
      <c r="N324" s="1117"/>
      <c r="O324" s="1117"/>
      <c r="P324" s="1117"/>
      <c r="Q324" s="1117"/>
      <c r="R324" s="1117"/>
      <c r="T324" s="58" t="s">
        <v>81</v>
      </c>
      <c r="V324" s="58"/>
      <c r="W324" s="58"/>
      <c r="X324" s="58"/>
      <c r="Y324" s="58"/>
      <c r="AA324" s="1117" t="s">
        <v>1731</v>
      </c>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117" t="s">
        <v>1703</v>
      </c>
      <c r="I325" s="1117"/>
      <c r="J325" s="1117"/>
      <c r="K325" s="1117"/>
      <c r="L325" s="1117"/>
      <c r="M325" s="1117"/>
      <c r="N325" s="1117"/>
      <c r="O325" s="1117"/>
      <c r="P325" s="1117"/>
      <c r="Q325" s="1117"/>
      <c r="R325" s="1117"/>
      <c r="T325" s="58" t="s">
        <v>94</v>
      </c>
      <c r="V325" s="58"/>
      <c r="W325" s="58"/>
      <c r="X325" s="58"/>
      <c r="Y325" s="58"/>
      <c r="AA325" s="1117" t="s">
        <v>1732</v>
      </c>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8" t="s">
        <v>1704</v>
      </c>
      <c r="I326" s="1119"/>
      <c r="J326" s="1119"/>
      <c r="K326" s="1119"/>
      <c r="L326" s="1119"/>
      <c r="M326" s="1119"/>
      <c r="N326" s="7" t="s">
        <v>220</v>
      </c>
      <c r="O326" s="7"/>
      <c r="P326" s="1216"/>
      <c r="Q326" s="1216"/>
      <c r="R326" s="1216"/>
      <c r="S326" s="58"/>
      <c r="T326" s="58" t="s">
        <v>95</v>
      </c>
      <c r="V326" s="58"/>
      <c r="W326" s="58"/>
      <c r="X326" s="58"/>
      <c r="Y326" s="58"/>
      <c r="AA326" s="1118" t="s">
        <v>1733</v>
      </c>
      <c r="AB326" s="1119"/>
      <c r="AC326" s="1119"/>
      <c r="AD326" s="1119"/>
      <c r="AE326" s="1119"/>
      <c r="AF326" s="1119"/>
      <c r="AG326" s="7" t="s">
        <v>220</v>
      </c>
      <c r="AH326" s="7"/>
      <c r="AI326" s="1216"/>
      <c r="AJ326" s="1216"/>
      <c r="AK326" s="1216"/>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17" t="s">
        <v>1705</v>
      </c>
      <c r="I328" s="1117"/>
      <c r="J328" s="1117"/>
      <c r="K328" s="1117"/>
      <c r="L328" s="1117"/>
      <c r="M328" s="1117"/>
      <c r="N328" s="1095"/>
      <c r="O328" s="1095"/>
      <c r="P328" s="1095"/>
      <c r="Q328" s="1095"/>
      <c r="R328" s="1095"/>
      <c r="S328" s="58"/>
      <c r="T328" s="58" t="s">
        <v>82</v>
      </c>
      <c r="V328" s="58"/>
      <c r="W328" s="58"/>
      <c r="X328" s="58"/>
      <c r="Y328" s="58"/>
      <c r="AA328" s="1117" t="s">
        <v>1734</v>
      </c>
      <c r="AB328" s="1117"/>
      <c r="AC328" s="1117"/>
      <c r="AD328" s="1117"/>
      <c r="AE328" s="1117"/>
      <c r="AF328" s="1117"/>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1706</v>
      </c>
      <c r="I330" s="1095"/>
      <c r="J330" s="1095"/>
      <c r="K330" s="1095"/>
      <c r="L330" s="1095"/>
      <c r="M330" s="1095"/>
      <c r="N330" s="1095"/>
      <c r="O330" s="1095"/>
      <c r="P330" s="1095"/>
      <c r="Q330" s="1095"/>
      <c r="R330" s="1095"/>
      <c r="T330" s="422" t="s">
        <v>981</v>
      </c>
      <c r="V330" s="58"/>
      <c r="W330" s="58"/>
      <c r="X330" s="58"/>
      <c r="Y330" s="58"/>
      <c r="AA330" s="1095" t="s">
        <v>1712</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117" t="s">
        <v>1707</v>
      </c>
      <c r="I331" s="1117"/>
      <c r="J331" s="1117"/>
      <c r="K331" s="1117"/>
      <c r="L331" s="1117"/>
      <c r="M331" s="1117"/>
      <c r="N331" s="1117"/>
      <c r="O331" s="1117"/>
      <c r="P331" s="1117"/>
      <c r="Q331" s="1117"/>
      <c r="R331" s="1117"/>
      <c r="T331" s="58" t="s">
        <v>517</v>
      </c>
      <c r="V331" s="58"/>
      <c r="W331" s="58"/>
      <c r="X331" s="58"/>
      <c r="Y331" s="58"/>
      <c r="AA331" s="1117" t="s">
        <v>1660</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7" t="s">
        <v>1708</v>
      </c>
      <c r="I332" s="1117"/>
      <c r="J332" s="1117"/>
      <c r="K332" s="1117"/>
      <c r="L332" s="1117"/>
      <c r="M332" s="1117"/>
      <c r="N332" s="1117"/>
      <c r="O332" s="1117"/>
      <c r="P332" s="1117"/>
      <c r="Q332" s="1117"/>
      <c r="R332" s="1117"/>
      <c r="T332" s="58" t="s">
        <v>81</v>
      </c>
      <c r="V332" s="58"/>
      <c r="W332" s="58"/>
      <c r="X332" s="58"/>
      <c r="Y332" s="58"/>
      <c r="AA332" s="1117" t="s">
        <v>1682</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17" t="s">
        <v>1709</v>
      </c>
      <c r="I333" s="1117"/>
      <c r="J333" s="1117"/>
      <c r="K333" s="1117"/>
      <c r="L333" s="1117"/>
      <c r="M333" s="1117"/>
      <c r="N333" s="1117"/>
      <c r="O333" s="1117"/>
      <c r="P333" s="1117"/>
      <c r="Q333" s="1117"/>
      <c r="R333" s="1117"/>
      <c r="T333" s="58" t="s">
        <v>94</v>
      </c>
      <c r="V333" s="58"/>
      <c r="W333" s="58"/>
      <c r="X333" s="58"/>
      <c r="Y333" s="58"/>
      <c r="AA333" s="1117" t="s">
        <v>1735</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8" t="s">
        <v>1710</v>
      </c>
      <c r="I334" s="1119"/>
      <c r="J334" s="1119"/>
      <c r="K334" s="1119"/>
      <c r="L334" s="1119"/>
      <c r="M334" s="1119"/>
      <c r="N334" s="7" t="s">
        <v>220</v>
      </c>
      <c r="O334" s="7"/>
      <c r="P334" s="1216"/>
      <c r="Q334" s="1216"/>
      <c r="R334" s="1216"/>
      <c r="S334" s="58"/>
      <c r="T334" s="58" t="s">
        <v>95</v>
      </c>
      <c r="V334" s="58"/>
      <c r="W334" s="58"/>
      <c r="X334" s="58"/>
      <c r="Y334" s="58"/>
      <c r="AA334" s="1118" t="s">
        <v>1715</v>
      </c>
      <c r="AB334" s="1119"/>
      <c r="AC334" s="1119"/>
      <c r="AD334" s="1119"/>
      <c r="AE334" s="1119"/>
      <c r="AF334" s="1119"/>
      <c r="AG334" s="7" t="s">
        <v>220</v>
      </c>
      <c r="AH334" s="7"/>
      <c r="AI334" s="1216"/>
      <c r="AJ334" s="1216"/>
      <c r="AK334" s="1216"/>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8" t="s">
        <v>1683</v>
      </c>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17" t="s">
        <v>1711</v>
      </c>
      <c r="I336" s="1117"/>
      <c r="J336" s="1117"/>
      <c r="K336" s="1117"/>
      <c r="L336" s="1117"/>
      <c r="M336" s="1117"/>
      <c r="N336" s="1095"/>
      <c r="O336" s="1095"/>
      <c r="P336" s="1095"/>
      <c r="Q336" s="1095"/>
      <c r="R336" s="1095"/>
      <c r="S336" s="58"/>
      <c r="T336" s="58" t="s">
        <v>82</v>
      </c>
      <c r="V336" s="58"/>
      <c r="W336" s="58"/>
      <c r="X336" s="58"/>
      <c r="Y336" s="58"/>
      <c r="AA336" s="1117" t="s">
        <v>1736</v>
      </c>
      <c r="AB336" s="1117"/>
      <c r="AC336" s="1117"/>
      <c r="AD336" s="1117"/>
      <c r="AE336" s="1117"/>
      <c r="AF336" s="1117"/>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5" t="s">
        <v>1712</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117" t="s">
        <v>1658</v>
      </c>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t="s">
        <v>1682</v>
      </c>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t="s">
        <v>1661</v>
      </c>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098" t="s">
        <v>1662</v>
      </c>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8" t="s">
        <v>1683</v>
      </c>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5" t="s">
        <v>1663</v>
      </c>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588</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6" t="s">
        <v>641</v>
      </c>
      <c r="N350" s="1096"/>
      <c r="P350" s="12" t="s">
        <v>598</v>
      </c>
      <c r="AJ350" s="1096" t="s">
        <v>641</v>
      </c>
      <c r="AK350" s="1096"/>
    </row>
    <row r="351" spans="1:53" ht="12.75" customHeight="1">
      <c r="D351" s="7" t="s">
        <v>955</v>
      </c>
      <c r="R351" s="12" t="s">
        <v>599</v>
      </c>
      <c r="AJ351" s="1096" t="s">
        <v>641</v>
      </c>
      <c r="AK351" s="1096"/>
    </row>
    <row r="352" spans="1:53" ht="12.75" customHeight="1">
      <c r="D352" s="12" t="s">
        <v>765</v>
      </c>
      <c r="M352" s="1096" t="s">
        <v>641</v>
      </c>
      <c r="N352" s="1096"/>
      <c r="P352" s="7" t="s">
        <v>952</v>
      </c>
      <c r="AJ352" s="1096" t="s">
        <v>641</v>
      </c>
      <c r="AK352" s="1096"/>
    </row>
    <row r="353" spans="1:34" ht="12.75" customHeight="1">
      <c r="D353" s="12" t="s">
        <v>766</v>
      </c>
      <c r="M353" s="1096" t="s">
        <v>591</v>
      </c>
      <c r="N353" s="109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591</v>
      </c>
      <c r="O358" s="1096"/>
      <c r="P358" s="69"/>
      <c r="Q358" s="69"/>
      <c r="R358" s="69"/>
      <c r="S358" s="69"/>
      <c r="T358" s="69"/>
      <c r="U358" s="69"/>
      <c r="V358" s="69"/>
      <c r="W358" s="69"/>
      <c r="X358" s="69"/>
      <c r="Y358" s="70"/>
      <c r="Z358" s="70"/>
      <c r="AC358" s="69"/>
      <c r="AD358" s="69"/>
      <c r="AE358" s="69"/>
    </row>
    <row r="359" spans="1:34" ht="12.75" customHeight="1">
      <c r="E359" s="12" t="s">
        <v>395</v>
      </c>
      <c r="Y359" s="1096" t="s">
        <v>641</v>
      </c>
      <c r="Z359" s="1096"/>
    </row>
    <row r="360" spans="1:34" ht="12.75" customHeight="1">
      <c r="D360" s="7" t="s">
        <v>1092</v>
      </c>
      <c r="Q360" s="1095" t="s">
        <v>1737</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641</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767</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492</v>
      </c>
      <c r="F365" s="7"/>
      <c r="G365" s="7"/>
      <c r="H365" s="7"/>
      <c r="I365" s="7"/>
      <c r="J365" s="7"/>
      <c r="K365" s="7"/>
      <c r="L365" s="7"/>
      <c r="N365" s="1413">
        <v>1987</v>
      </c>
      <c r="O365" s="1413"/>
      <c r="P365" s="1413"/>
      <c r="Q365" s="1413"/>
      <c r="R365" s="7"/>
      <c r="U365" s="7" t="s">
        <v>493</v>
      </c>
      <c r="V365" s="7"/>
      <c r="W365" s="7"/>
      <c r="X365" s="7"/>
      <c r="Y365" s="7"/>
      <c r="Z365" s="7"/>
      <c r="AA365" s="7"/>
      <c r="AB365" s="7"/>
      <c r="AC365" s="1413">
        <v>24</v>
      </c>
      <c r="AD365" s="1413"/>
      <c r="AE365" s="1413"/>
      <c r="AF365" s="1413"/>
    </row>
    <row r="366" spans="1:34" ht="12.75" customHeight="1">
      <c r="E366" s="7" t="s">
        <v>494</v>
      </c>
      <c r="F366" s="7"/>
      <c r="G366" s="7"/>
      <c r="H366" s="7"/>
      <c r="I366" s="7"/>
      <c r="J366" s="7"/>
      <c r="K366" s="7"/>
      <c r="L366" s="7"/>
      <c r="N366" s="1413">
        <v>23</v>
      </c>
      <c r="O366" s="1413"/>
      <c r="P366" s="1413"/>
      <c r="Q366" s="1413"/>
      <c r="R366" s="7"/>
      <c r="U366" s="7" t="s">
        <v>0</v>
      </c>
      <c r="V366" s="7"/>
      <c r="W366" s="7"/>
      <c r="X366" s="7"/>
      <c r="Y366" s="7"/>
      <c r="Z366" s="7"/>
      <c r="AA366" s="7"/>
      <c r="AB366" s="7"/>
      <c r="AC366" s="1413">
        <v>324</v>
      </c>
      <c r="AD366" s="1413"/>
      <c r="AE366" s="1413"/>
      <c r="AF366" s="1413"/>
    </row>
    <row r="367" spans="1:34" ht="12.75" customHeight="1">
      <c r="E367" s="7" t="s">
        <v>1</v>
      </c>
      <c r="F367" s="7"/>
      <c r="G367" s="7"/>
      <c r="H367" s="7"/>
      <c r="I367" s="7"/>
      <c r="J367" s="7"/>
      <c r="K367" s="7"/>
      <c r="L367" s="7"/>
      <c r="N367" s="1413">
        <v>2</v>
      </c>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69" t="s">
        <v>1738</v>
      </c>
      <c r="O368" s="1570"/>
      <c r="P368" s="1570"/>
      <c r="Q368" s="1570"/>
      <c r="R368" s="1570"/>
      <c r="S368" s="1570"/>
      <c r="T368" s="1570"/>
      <c r="U368" s="1570"/>
      <c r="V368" s="1570"/>
      <c r="W368" s="1570"/>
      <c r="X368" s="1570"/>
      <c r="Y368" s="1570"/>
      <c r="Z368" s="1570"/>
      <c r="AA368" s="1570"/>
      <c r="AB368" s="1570"/>
      <c r="AC368" s="1570"/>
      <c r="AD368" s="1570"/>
      <c r="AE368" s="1570"/>
      <c r="AF368" s="1570"/>
    </row>
    <row r="369" spans="1:38" ht="12.75" customHeight="1">
      <c r="E369" s="7"/>
      <c r="F369" s="7"/>
      <c r="G369" s="7"/>
      <c r="H369" s="7"/>
      <c r="I369" s="7"/>
      <c r="J369" s="7"/>
      <c r="K369" s="7"/>
      <c r="L369" s="7"/>
      <c r="N369" s="1571"/>
      <c r="O369" s="1571"/>
      <c r="P369" s="1571"/>
      <c r="Q369" s="1571"/>
      <c r="R369" s="1571"/>
      <c r="S369" s="1571"/>
      <c r="T369" s="1571"/>
      <c r="U369" s="1571"/>
      <c r="V369" s="1571"/>
      <c r="W369" s="1571"/>
      <c r="X369" s="1571"/>
      <c r="Y369" s="1571"/>
      <c r="Z369" s="1571"/>
      <c r="AA369" s="1571"/>
      <c r="AB369" s="1571"/>
      <c r="AC369" s="1571"/>
      <c r="AD369" s="1571"/>
      <c r="AE369" s="1571"/>
      <c r="AF369" s="157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0">
        <v>1997</v>
      </c>
      <c r="T372" s="1120"/>
      <c r="U372" s="4" t="s">
        <v>328</v>
      </c>
      <c r="V372" s="1120">
        <v>930</v>
      </c>
      <c r="W372" s="1120"/>
      <c r="Y372" s="25" t="s">
        <v>326</v>
      </c>
      <c r="AA372" s="25"/>
      <c r="AB372" s="25" t="s">
        <v>327</v>
      </c>
      <c r="AD372" s="1120"/>
      <c r="AE372" s="1120"/>
      <c r="AF372" s="4" t="s">
        <v>328</v>
      </c>
      <c r="AG372" s="1120"/>
      <c r="AH372" s="1120"/>
    </row>
    <row r="373" spans="1:38" ht="12.75" customHeight="1">
      <c r="E373" s="7" t="s">
        <v>1127</v>
      </c>
      <c r="F373" s="7"/>
      <c r="G373" s="7"/>
      <c r="H373" s="7"/>
      <c r="I373" s="7"/>
      <c r="J373" s="7"/>
      <c r="K373" s="7"/>
      <c r="L373" s="7"/>
      <c r="N373" s="1120">
        <v>1999</v>
      </c>
      <c r="O373" s="1120"/>
      <c r="P373" s="1120"/>
    </row>
    <row r="374" spans="1:38" ht="12.75" customHeight="1">
      <c r="E374" s="399" t="s">
        <v>1129</v>
      </c>
      <c r="F374" s="7"/>
      <c r="G374" s="7"/>
      <c r="H374" s="7"/>
      <c r="I374" s="7"/>
      <c r="J374" s="7"/>
      <c r="K374" s="7"/>
      <c r="L374" s="7"/>
      <c r="AG374" s="1115" t="s">
        <v>722</v>
      </c>
      <c r="AH374" s="1115"/>
    </row>
    <row r="375" spans="1:38" ht="12.75" customHeight="1">
      <c r="E375" s="7"/>
      <c r="F375" s="7"/>
      <c r="G375" s="7" t="s">
        <v>1150</v>
      </c>
      <c r="H375" s="7"/>
      <c r="I375" s="7"/>
      <c r="J375" s="7"/>
      <c r="K375" s="7"/>
      <c r="L375" s="7"/>
      <c r="AG375" s="1115" t="s">
        <v>722</v>
      </c>
      <c r="AH375" s="1115"/>
    </row>
    <row r="376" spans="1:38" ht="12.75" customHeight="1">
      <c r="E376" s="7"/>
      <c r="F376" s="7"/>
      <c r="G376" s="530" t="s">
        <v>1130</v>
      </c>
      <c r="H376" s="7"/>
      <c r="I376" s="7"/>
      <c r="J376" s="7"/>
      <c r="K376" s="7"/>
      <c r="L376" s="7"/>
      <c r="V376" s="1096" t="s">
        <v>641</v>
      </c>
      <c r="W376" s="1096"/>
      <c r="Y376" s="35" t="s">
        <v>1094</v>
      </c>
    </row>
    <row r="377" spans="1:38" ht="12.75" customHeight="1">
      <c r="E377" s="7" t="s">
        <v>1095</v>
      </c>
      <c r="F377" s="7"/>
      <c r="G377" s="7"/>
      <c r="H377" s="7"/>
      <c r="I377" s="7"/>
      <c r="J377" s="7"/>
      <c r="K377" s="7"/>
      <c r="L377" s="7"/>
      <c r="V377" s="1096" t="s">
        <v>641</v>
      </c>
      <c r="W377" s="1096"/>
      <c r="Y377" s="7" t="s">
        <v>1096</v>
      </c>
    </row>
    <row r="378" spans="1:38" ht="12.75" customHeight="1"/>
    <row r="379" spans="1:38" ht="12.75" customHeight="1">
      <c r="A379" s="50" t="s">
        <v>84</v>
      </c>
      <c r="B379" s="50"/>
    </row>
    <row r="380" spans="1:38" ht="12.75" customHeight="1">
      <c r="D380" s="12" t="s">
        <v>463</v>
      </c>
      <c r="J380" s="1095" t="s">
        <v>1739</v>
      </c>
      <c r="K380" s="1095"/>
      <c r="L380" s="1095"/>
      <c r="M380" s="1095"/>
      <c r="N380" s="1095"/>
      <c r="O380" s="1095"/>
      <c r="P380" s="1095"/>
      <c r="Q380" s="1095"/>
      <c r="R380" s="1095"/>
      <c r="S380" s="1095"/>
      <c r="T380" s="1095"/>
      <c r="U380" s="1095"/>
      <c r="V380" s="14" t="s">
        <v>90</v>
      </c>
      <c r="W380" s="14"/>
      <c r="X380" s="14"/>
      <c r="Y380" s="14"/>
      <c r="Z380" s="14"/>
      <c r="AA380" s="14"/>
      <c r="AB380" s="14"/>
      <c r="AC380" s="1095" t="s">
        <v>1740</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17" t="s">
        <v>1740</v>
      </c>
      <c r="K381" s="1117"/>
      <c r="L381" s="1117"/>
      <c r="M381" s="1117"/>
      <c r="N381" s="1117"/>
      <c r="O381" s="1117"/>
      <c r="P381" s="1117"/>
      <c r="Q381" s="1117"/>
      <c r="R381" s="1117"/>
      <c r="S381" s="1117"/>
      <c r="T381" s="1117"/>
      <c r="U381" s="1117"/>
      <c r="V381" s="58" t="s">
        <v>1422</v>
      </c>
      <c r="W381" s="14"/>
      <c r="X381" s="14"/>
      <c r="Y381" s="14"/>
      <c r="Z381" s="14"/>
      <c r="AA381" s="14"/>
      <c r="AB381" s="14"/>
      <c r="AC381" s="1095" t="s">
        <v>1743</v>
      </c>
      <c r="AD381" s="1095"/>
      <c r="AE381" s="1095"/>
      <c r="AF381" s="1095"/>
      <c r="AG381" s="1095"/>
      <c r="AH381" s="1095"/>
      <c r="AI381" s="1095"/>
      <c r="AJ381" s="1095"/>
      <c r="AK381" s="743"/>
      <c r="AL381" s="743"/>
    </row>
    <row r="382" spans="1:38" ht="12.75" customHeight="1">
      <c r="A382" s="743"/>
      <c r="B382" s="743"/>
      <c r="C382" s="743"/>
      <c r="D382" s="58" t="s">
        <v>477</v>
      </c>
      <c r="E382" s="743"/>
      <c r="F382" s="743"/>
      <c r="G382" s="743"/>
      <c r="H382" s="743"/>
      <c r="I382" s="743"/>
      <c r="J382" s="1117" t="s">
        <v>1741</v>
      </c>
      <c r="K382" s="1117"/>
      <c r="L382" s="1117"/>
      <c r="M382" s="1117"/>
      <c r="N382" s="1117"/>
      <c r="O382" s="1117"/>
      <c r="P382" s="1117"/>
      <c r="Q382" s="1117"/>
      <c r="R382" s="1117"/>
      <c r="S382" s="1117"/>
      <c r="T382" s="1117"/>
      <c r="U382" s="1117"/>
      <c r="V382" s="58" t="s">
        <v>477</v>
      </c>
      <c r="W382" s="14"/>
      <c r="X382" s="14"/>
      <c r="Y382" s="14"/>
      <c r="Z382" s="14"/>
      <c r="AA382" s="14"/>
      <c r="AB382" s="14"/>
      <c r="AC382" s="1095" t="s">
        <v>1744</v>
      </c>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221" t="s">
        <v>1742</v>
      </c>
      <c r="K383" s="1221"/>
      <c r="L383" s="1221"/>
      <c r="M383" s="1221"/>
      <c r="N383" s="1221"/>
      <c r="O383" s="1221"/>
      <c r="P383" s="1221"/>
      <c r="Q383" s="1221"/>
      <c r="R383" s="1221"/>
      <c r="S383" s="1221"/>
      <c r="T383" s="1221"/>
      <c r="U383" s="1221"/>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39">
        <v>43712</v>
      </c>
      <c r="R384" s="1539"/>
      <c r="S384" s="1539"/>
      <c r="T384" s="1539"/>
      <c r="U384" s="1539"/>
      <c r="V384" s="12" t="s">
        <v>331</v>
      </c>
      <c r="AI384" s="1096" t="s">
        <v>722</v>
      </c>
      <c r="AJ384" s="1096"/>
    </row>
    <row r="385" spans="1:38" ht="12.75" customHeight="1">
      <c r="D385" s="12" t="s">
        <v>5</v>
      </c>
      <c r="Q385" s="1210">
        <v>43816</v>
      </c>
      <c r="R385" s="1211"/>
      <c r="S385" s="1211"/>
      <c r="T385" s="1211"/>
      <c r="U385" s="1211"/>
      <c r="W385" s="33" t="s">
        <v>80</v>
      </c>
      <c r="AG385" s="1564" t="s">
        <v>641</v>
      </c>
      <c r="AH385" s="1537"/>
      <c r="AI385" s="1537"/>
      <c r="AJ385" s="1537"/>
    </row>
    <row r="386" spans="1:38" ht="12.75" customHeight="1">
      <c r="D386" s="12" t="s">
        <v>462</v>
      </c>
      <c r="Q386" s="1568"/>
      <c r="R386" s="1568"/>
      <c r="S386" s="1568"/>
      <c r="T386" s="1568"/>
      <c r="U386" s="1568"/>
      <c r="V386" s="58" t="s">
        <v>1421</v>
      </c>
      <c r="AG386" s="1538"/>
      <c r="AH386" s="1538"/>
      <c r="AI386" s="1538"/>
      <c r="AJ386" s="1538"/>
    </row>
    <row r="387" spans="1:38" ht="12.75" customHeight="1">
      <c r="D387" s="12" t="s">
        <v>95</v>
      </c>
      <c r="I387" s="1119"/>
      <c r="J387" s="1119"/>
      <c r="K387" s="1119"/>
      <c r="L387" s="1119"/>
      <c r="M387" s="1119"/>
      <c r="N387" s="1119"/>
      <c r="Q387" s="57" t="s">
        <v>220</v>
      </c>
      <c r="S387" s="1565"/>
      <c r="T387" s="1565"/>
      <c r="U387" s="1565"/>
      <c r="V387" s="12" t="s">
        <v>79</v>
      </c>
      <c r="AI387" s="1096" t="s">
        <v>722</v>
      </c>
      <c r="AJ387" s="1096"/>
    </row>
    <row r="388" spans="1:38" ht="12.75">
      <c r="D388" s="12" t="s">
        <v>332</v>
      </c>
      <c r="Q388" s="1185"/>
      <c r="R388" s="1185"/>
      <c r="S388" s="1185"/>
      <c r="T388" s="1185"/>
      <c r="U388" s="1185"/>
      <c r="V388" s="12" t="s">
        <v>333</v>
      </c>
      <c r="AG388" s="1537">
        <v>0</v>
      </c>
      <c r="AH388" s="1537"/>
      <c r="AI388" s="1537"/>
      <c r="AJ388" s="1537"/>
    </row>
    <row r="389" spans="1:38" ht="12.75">
      <c r="D389" s="12" t="s">
        <v>334</v>
      </c>
      <c r="Q389" s="1536"/>
      <c r="R389" s="1536"/>
      <c r="S389" s="1536"/>
      <c r="T389" s="1536"/>
      <c r="U389" s="1536"/>
      <c r="V389" s="743" t="s">
        <v>1398</v>
      </c>
      <c r="AG389" s="1537"/>
      <c r="AH389" s="1537"/>
      <c r="AI389" s="1537"/>
      <c r="AJ389" s="1537"/>
    </row>
    <row r="390" spans="1:38" ht="12.75">
      <c r="D390" s="743" t="s">
        <v>1397</v>
      </c>
      <c r="V390" s="743"/>
      <c r="AG390" s="1537"/>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3" t="s">
        <v>1745</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641</v>
      </c>
      <c r="S394" s="1096"/>
      <c r="T394" s="12" t="s">
        <v>619</v>
      </c>
      <c r="U394" s="743"/>
      <c r="V394" s="743"/>
      <c r="W394" s="743"/>
      <c r="X394" s="743"/>
      <c r="Y394" s="743"/>
      <c r="Z394" s="743"/>
      <c r="AA394" s="743"/>
      <c r="AB394" s="743"/>
      <c r="AC394" s="743"/>
      <c r="AD394" s="1413">
        <v>0</v>
      </c>
      <c r="AE394" s="1413"/>
      <c r="AF394" s="743"/>
    </row>
    <row r="395" spans="1:38" ht="12.75" customHeight="1">
      <c r="C395" s="25"/>
      <c r="E395" s="12" t="s">
        <v>114</v>
      </c>
      <c r="F395" s="743"/>
      <c r="G395" s="743"/>
      <c r="H395" s="743"/>
      <c r="I395" s="743"/>
      <c r="J395" s="743"/>
      <c r="K395" s="743"/>
      <c r="L395" s="743"/>
      <c r="M395" s="743"/>
      <c r="N395" s="25"/>
      <c r="O395" s="25"/>
      <c r="P395" s="743"/>
      <c r="Q395" s="743"/>
      <c r="R395" s="1096" t="s">
        <v>591</v>
      </c>
      <c r="S395" s="1096"/>
      <c r="T395" s="12" t="s">
        <v>619</v>
      </c>
      <c r="U395" s="743"/>
      <c r="V395" s="743"/>
      <c r="W395" s="743"/>
      <c r="X395" s="743"/>
      <c r="Y395" s="743"/>
      <c r="Z395" s="743"/>
      <c r="AA395" s="743"/>
      <c r="AB395" s="743"/>
      <c r="AC395" s="743"/>
      <c r="AD395" s="1413">
        <v>2</v>
      </c>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641</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62" t="s">
        <v>357</v>
      </c>
      <c r="I397" s="1562"/>
      <c r="J397" s="1562"/>
      <c r="K397" s="1562"/>
      <c r="L397" s="1562"/>
      <c r="M397" s="1562"/>
      <c r="N397" s="1562"/>
      <c r="O397" s="1562"/>
      <c r="P397" s="1562"/>
      <c r="Q397" s="1562"/>
      <c r="R397" s="1562"/>
      <c r="S397" s="1562"/>
      <c r="T397" s="1562"/>
      <c r="U397" s="1562"/>
      <c r="V397" s="1562"/>
      <c r="W397" s="1562"/>
      <c r="X397" s="1562"/>
      <c r="Y397" s="1562"/>
      <c r="Z397" s="1562"/>
      <c r="AA397" s="1562"/>
      <c r="AB397" s="1562"/>
      <c r="AC397" s="1562"/>
      <c r="AD397" s="1562"/>
      <c r="AE397" s="1562"/>
      <c r="AF397" s="743"/>
    </row>
    <row r="398" spans="1:38" ht="12.75" customHeight="1">
      <c r="E398" s="25"/>
      <c r="F398" s="743"/>
      <c r="G398" s="74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0"/>
      <c r="F406" s="1120"/>
      <c r="G406" s="1120"/>
      <c r="H406" s="23" t="s">
        <v>122</v>
      </c>
      <c r="I406" s="1120"/>
      <c r="J406" s="1120"/>
      <c r="K406" s="1120"/>
      <c r="L406" s="12" t="s">
        <v>123</v>
      </c>
      <c r="N406" s="144" t="s">
        <v>625</v>
      </c>
      <c r="P406" s="1116">
        <v>14.68</v>
      </c>
      <c r="Q406" s="1116"/>
      <c r="R406" s="1116"/>
      <c r="S406" s="12" t="s">
        <v>124</v>
      </c>
      <c r="W406" s="1567">
        <f>IF(E406&gt;0,(E406*I406),(P406*43560))</f>
        <v>639460.79999999993</v>
      </c>
      <c r="X406" s="1567"/>
      <c r="Y406" s="1567"/>
      <c r="Z406" s="12" t="s">
        <v>125</v>
      </c>
      <c r="AF406" s="1116">
        <v>22.1</v>
      </c>
      <c r="AG406" s="1116"/>
      <c r="AH406" s="1116"/>
    </row>
    <row r="407" spans="1:36" ht="12.75">
      <c r="E407" s="12" t="s">
        <v>56</v>
      </c>
    </row>
    <row r="408" spans="1:36" ht="12.75">
      <c r="E408" s="1572" t="s">
        <v>1746</v>
      </c>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75"/>
    <row r="410" spans="1:36" ht="12.75">
      <c r="A410" s="50" t="s">
        <v>642</v>
      </c>
      <c r="B410" s="50"/>
      <c r="C410" s="50"/>
      <c r="D410" s="50" t="s">
        <v>127</v>
      </c>
    </row>
    <row r="411" spans="1:36" ht="12.75">
      <c r="E411" s="12" t="s">
        <v>128</v>
      </c>
      <c r="P411" s="1096">
        <v>21</v>
      </c>
      <c r="Q411" s="1096"/>
      <c r="S411" s="12" t="s">
        <v>203</v>
      </c>
      <c r="AE411" s="1096">
        <v>23</v>
      </c>
      <c r="AF411" s="1096"/>
    </row>
    <row r="412" spans="1:36" ht="12.75">
      <c r="E412" s="12" t="s">
        <v>204</v>
      </c>
      <c r="P412" s="1096">
        <v>1</v>
      </c>
      <c r="Q412" s="1096"/>
      <c r="S412" s="12" t="s">
        <v>138</v>
      </c>
      <c r="AE412" s="1096" t="s">
        <v>641</v>
      </c>
      <c r="AF412" s="1096"/>
    </row>
    <row r="413" spans="1:36" ht="12.75" customHeight="1">
      <c r="F413" s="67" t="s">
        <v>139</v>
      </c>
    </row>
    <row r="414" spans="1:36" ht="12.75" customHeight="1">
      <c r="F414" s="1314"/>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658</v>
      </c>
      <c r="N416" s="39"/>
      <c r="O416" s="39"/>
      <c r="P416" s="243"/>
      <c r="Q416" s="1096" t="s">
        <v>591</v>
      </c>
      <c r="R416" s="109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6" t="s">
        <v>641</v>
      </c>
      <c r="AG417" s="1579"/>
    </row>
    <row r="418" spans="1:96" ht="12.75" customHeight="1">
      <c r="S418" s="25"/>
      <c r="T418" s="25"/>
    </row>
    <row r="419" spans="1:96" ht="12.75" customHeight="1">
      <c r="A419" s="50"/>
      <c r="B419" s="50"/>
      <c r="C419" s="50"/>
      <c r="E419" s="7" t="s">
        <v>330</v>
      </c>
      <c r="Z419" s="1096" t="s">
        <v>722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6" t="s">
        <v>641</v>
      </c>
      <c r="AA421" s="1096"/>
    </row>
    <row r="422" spans="1:96" ht="12.75" customHeight="1"/>
    <row r="423" spans="1:96" ht="12.75" customHeight="1">
      <c r="A423" s="50" t="s">
        <v>513</v>
      </c>
      <c r="B423" s="50"/>
      <c r="C423" s="50"/>
      <c r="D423" s="50" t="s">
        <v>842</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22"/>
      <c r="AG424" s="1519">
        <v>324</v>
      </c>
      <c r="AH424" s="1519"/>
      <c r="AI424" s="1519"/>
      <c r="AJ424" s="1519"/>
    </row>
    <row r="425" spans="1:96" ht="12.75" customHeight="1">
      <c r="D425" s="1501" t="s">
        <v>1490</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3"/>
      <c r="AG425" s="1526">
        <v>0</v>
      </c>
      <c r="AH425" s="1169"/>
      <c r="AI425" s="1169"/>
      <c r="AJ425" s="1169"/>
    </row>
    <row r="426" spans="1:96" ht="12.75" customHeight="1">
      <c r="D426" s="1501" t="s">
        <v>1184</v>
      </c>
      <c r="E426" s="1502"/>
      <c r="F426" s="1502"/>
      <c r="G426" s="1502"/>
      <c r="H426" s="1502"/>
      <c r="I426" s="1502"/>
      <c r="J426" s="1502"/>
      <c r="K426" s="1502"/>
      <c r="L426" s="1502"/>
      <c r="M426" s="1502"/>
      <c r="N426" s="1502"/>
      <c r="O426" s="1502"/>
      <c r="P426" s="1502"/>
      <c r="Q426" s="1502"/>
      <c r="R426" s="1502"/>
      <c r="S426" s="1502"/>
      <c r="T426" s="1502"/>
      <c r="U426" s="1502"/>
      <c r="V426" s="1502"/>
      <c r="W426" s="1502"/>
      <c r="X426" s="1502"/>
      <c r="Y426" s="1502"/>
      <c r="Z426" s="1502"/>
      <c r="AA426" s="1502"/>
      <c r="AB426" s="1502"/>
      <c r="AC426" s="1502"/>
      <c r="AD426" s="1502"/>
      <c r="AE426" s="1502"/>
      <c r="AF426" s="1503"/>
      <c r="AG426" s="1519">
        <v>321</v>
      </c>
      <c r="AH426" s="1519"/>
      <c r="AI426" s="1519"/>
      <c r="AJ426" s="1519"/>
    </row>
    <row r="427" spans="1:96" ht="12.75" customHeight="1">
      <c r="D427" s="1501" t="s">
        <v>1185</v>
      </c>
      <c r="E427" s="1502"/>
      <c r="F427" s="1502"/>
      <c r="G427" s="1502"/>
      <c r="H427" s="1502"/>
      <c r="I427" s="1502"/>
      <c r="J427" s="1502"/>
      <c r="K427" s="1502"/>
      <c r="L427" s="1502"/>
      <c r="M427" s="1502"/>
      <c r="N427" s="1502"/>
      <c r="O427" s="1502"/>
      <c r="P427" s="1502"/>
      <c r="Q427" s="1502"/>
      <c r="R427" s="1502"/>
      <c r="S427" s="1502"/>
      <c r="T427" s="1502"/>
      <c r="U427" s="1502"/>
      <c r="V427" s="1502"/>
      <c r="W427" s="1502"/>
      <c r="X427" s="1502"/>
      <c r="Y427" s="1502"/>
      <c r="Z427" s="1502"/>
      <c r="AA427" s="1502"/>
      <c r="AB427" s="1502"/>
      <c r="AC427" s="1502"/>
      <c r="AD427" s="1502"/>
      <c r="AE427" s="1502"/>
      <c r="AF427" s="1503"/>
      <c r="AG427" s="1519">
        <v>321</v>
      </c>
      <c r="AH427" s="1519"/>
      <c r="AI427" s="1519"/>
      <c r="AJ427" s="1519"/>
    </row>
    <row r="428" spans="1:96" ht="12.75" customHeight="1">
      <c r="D428" s="1501" t="s">
        <v>1187</v>
      </c>
      <c r="E428" s="1502"/>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3"/>
      <c r="AG428" s="1566">
        <f>IF(ISERROR(AG427/AG426),"",AG427/AG426)</f>
        <v>1</v>
      </c>
      <c r="AH428" s="1566"/>
      <c r="AI428" s="1566"/>
      <c r="AJ428" s="1566"/>
    </row>
    <row r="429" spans="1:96" ht="12.75" customHeight="1">
      <c r="D429" s="1501" t="s">
        <v>1186</v>
      </c>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3"/>
      <c r="AG429" s="1446">
        <v>251042</v>
      </c>
      <c r="AH429" s="1446"/>
      <c r="AI429" s="1446"/>
      <c r="AJ429" s="1446"/>
    </row>
    <row r="430" spans="1:96" ht="12.75" customHeight="1">
      <c r="D430" s="1501" t="s">
        <v>1188</v>
      </c>
      <c r="E430" s="1502"/>
      <c r="F430" s="1502"/>
      <c r="G430" s="1502"/>
      <c r="H430" s="1502"/>
      <c r="I430" s="1502"/>
      <c r="J430" s="1502"/>
      <c r="K430" s="1502"/>
      <c r="L430" s="1502"/>
      <c r="M430" s="1502"/>
      <c r="N430" s="1502"/>
      <c r="O430" s="1502"/>
      <c r="P430" s="1502"/>
      <c r="Q430" s="1502"/>
      <c r="R430" s="1502"/>
      <c r="S430" s="1502"/>
      <c r="T430" s="1502"/>
      <c r="U430" s="1502"/>
      <c r="V430" s="1502"/>
      <c r="W430" s="1502"/>
      <c r="X430" s="1502"/>
      <c r="Y430" s="1502"/>
      <c r="Z430" s="1502"/>
      <c r="AA430" s="1502"/>
      <c r="AB430" s="1502"/>
      <c r="AC430" s="1502"/>
      <c r="AD430" s="1502"/>
      <c r="AE430" s="1502"/>
      <c r="AF430" s="1503"/>
      <c r="AG430" s="1446">
        <v>251042</v>
      </c>
      <c r="AH430" s="1446"/>
      <c r="AI430" s="1446"/>
      <c r="AJ430" s="1446"/>
    </row>
    <row r="431" spans="1:96" ht="12.75" customHeight="1">
      <c r="D431" s="1501" t="s">
        <v>1189</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3"/>
      <c r="AG431" s="1566">
        <f>IF(ISERROR(AG430/AG429),"",AG430/AG429)</f>
        <v>1</v>
      </c>
      <c r="AH431" s="1566"/>
      <c r="AI431" s="1566"/>
      <c r="AJ431" s="1566"/>
    </row>
    <row r="432" spans="1:96" ht="12.75" customHeight="1">
      <c r="D432" s="1501" t="s">
        <v>1190</v>
      </c>
      <c r="E432" s="1502"/>
      <c r="F432" s="1502"/>
      <c r="G432" s="1502"/>
      <c r="H432" s="1502"/>
      <c r="I432" s="1502"/>
      <c r="J432" s="1502"/>
      <c r="K432" s="1502"/>
      <c r="L432" s="1502"/>
      <c r="M432" s="1502"/>
      <c r="N432" s="1502"/>
      <c r="O432" s="1502"/>
      <c r="P432" s="1502"/>
      <c r="Q432" s="1502"/>
      <c r="R432" s="1502"/>
      <c r="S432" s="1502"/>
      <c r="T432" s="1502"/>
      <c r="U432" s="1502"/>
      <c r="V432" s="1502"/>
      <c r="W432" s="1502"/>
      <c r="X432" s="1502"/>
      <c r="Y432" s="1502"/>
      <c r="Z432" s="1502"/>
      <c r="AA432" s="1502"/>
      <c r="AB432" s="1502"/>
      <c r="AC432" s="1502"/>
      <c r="AD432" s="1502"/>
      <c r="AE432" s="1502"/>
      <c r="AF432" s="1503"/>
      <c r="AG432" s="1566">
        <f>MIN(IF(AG428&gt;AG431,AG431,AG428),1)</f>
        <v>1</v>
      </c>
      <c r="AH432" s="1566"/>
      <c r="AI432" s="1566"/>
      <c r="AJ432" s="156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22"/>
      <c r="AG433" s="1446">
        <v>2100</v>
      </c>
      <c r="AH433" s="1446"/>
      <c r="AI433" s="1446"/>
      <c r="AJ433" s="14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617</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22"/>
      <c r="AG434" s="1446">
        <v>0</v>
      </c>
      <c r="AH434" s="1446"/>
      <c r="AI434" s="1446"/>
      <c r="AJ434" s="14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22"/>
      <c r="AG435" s="1446">
        <v>4134</v>
      </c>
      <c r="AH435" s="1446"/>
      <c r="AI435" s="1446"/>
      <c r="AJ435" s="14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1"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22"/>
      <c r="AG436" s="1446">
        <v>0</v>
      </c>
      <c r="AH436" s="1446"/>
      <c r="AI436" s="1446"/>
      <c r="AJ436" s="14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2" t="s">
        <v>1192</v>
      </c>
      <c r="E437" s="1553"/>
      <c r="F437" s="1553"/>
      <c r="G437" s="1553"/>
      <c r="H437" s="1553"/>
      <c r="I437" s="1553"/>
      <c r="J437" s="1553"/>
      <c r="K437" s="1553"/>
      <c r="L437" s="1553"/>
      <c r="M437" s="1553"/>
      <c r="N437" s="1553"/>
      <c r="O437" s="1553"/>
      <c r="P437" s="1553"/>
      <c r="Q437" s="1553"/>
      <c r="R437" s="1553"/>
      <c r="S437" s="1553"/>
      <c r="T437" s="1553"/>
      <c r="U437" s="1553"/>
      <c r="V437" s="1553"/>
      <c r="W437" s="1553"/>
      <c r="X437" s="1553"/>
      <c r="Y437" s="1553"/>
      <c r="Z437" s="1553"/>
      <c r="AA437" s="1553"/>
      <c r="AB437" s="1553"/>
      <c r="AC437" s="1553"/>
      <c r="AD437" s="1553"/>
      <c r="AE437" s="1553"/>
      <c r="AF437" s="1554"/>
      <c r="AG437" s="1520">
        <f>AG429+AG433+AG435+AG436</f>
        <v>257276</v>
      </c>
      <c r="AH437" s="1520"/>
      <c r="AI437" s="1520"/>
      <c r="AJ437" s="15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5" t="s">
        <v>1463</v>
      </c>
      <c r="E438" s="1555"/>
      <c r="F438" s="1555"/>
      <c r="G438" s="1555"/>
      <c r="H438" s="1555"/>
      <c r="I438" s="1555"/>
      <c r="J438" s="1555"/>
      <c r="K438" s="1555"/>
      <c r="L438" s="1555"/>
      <c r="M438" s="1555"/>
      <c r="N438" s="1555"/>
      <c r="O438" s="1555"/>
      <c r="P438" s="1555"/>
      <c r="Q438" s="1555"/>
      <c r="R438" s="1555"/>
      <c r="S438" s="1555"/>
      <c r="T438" s="1555"/>
      <c r="U438" s="1555"/>
      <c r="V438" s="1555"/>
      <c r="W438" s="1555"/>
      <c r="X438" s="1555"/>
      <c r="Y438" s="1555"/>
      <c r="Z438" s="1555"/>
      <c r="AA438" s="1555"/>
      <c r="AB438" s="1555"/>
      <c r="AC438" s="1555"/>
      <c r="AD438" s="1555"/>
      <c r="AE438" s="1555"/>
      <c r="AF438" s="1555"/>
      <c r="AG438" s="1555"/>
      <c r="AH438" s="1555"/>
      <c r="AI438" s="1555"/>
      <c r="AJ438" s="155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6"/>
      <c r="E439" s="1556"/>
      <c r="F439" s="1556"/>
      <c r="G439" s="1556"/>
      <c r="H439" s="1556"/>
      <c r="I439" s="1556"/>
      <c r="J439" s="1556"/>
      <c r="K439" s="1556"/>
      <c r="L439" s="1556"/>
      <c r="M439" s="1556"/>
      <c r="N439" s="1556"/>
      <c r="O439" s="1556"/>
      <c r="P439" s="1556"/>
      <c r="Q439" s="1556"/>
      <c r="R439" s="1556"/>
      <c r="S439" s="1556"/>
      <c r="T439" s="1556"/>
      <c r="U439" s="1556"/>
      <c r="V439" s="1556"/>
      <c r="W439" s="1556"/>
      <c r="X439" s="1556"/>
      <c r="Y439" s="1556"/>
      <c r="Z439" s="1556"/>
      <c r="AA439" s="1556"/>
      <c r="AB439" s="1556"/>
      <c r="AC439" s="1556"/>
      <c r="AD439" s="1556"/>
      <c r="AE439" s="1556"/>
      <c r="AF439" s="1556"/>
      <c r="AG439" s="1556"/>
      <c r="AH439" s="1556"/>
      <c r="AI439" s="1556"/>
      <c r="AJ439" s="155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470804.07098765433</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470804.07098765433</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446205.68518518517</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7" t="s">
        <v>749</v>
      </c>
      <c r="E452" s="1448"/>
      <c r="F452" s="1448"/>
      <c r="G452" s="1448"/>
      <c r="H452" s="1448"/>
      <c r="I452" s="1448"/>
      <c r="J452" s="1448"/>
      <c r="K452" s="1448"/>
      <c r="L452" s="1448"/>
      <c r="M452" s="1448"/>
      <c r="N452" s="1448"/>
      <c r="O452" s="1448"/>
      <c r="P452" s="1448"/>
      <c r="Q452" s="1448"/>
      <c r="R452" s="1448"/>
      <c r="S452" s="1448"/>
      <c r="T452" s="1448"/>
      <c r="U452" s="1448"/>
      <c r="V452" s="1449"/>
      <c r="W452" s="1253" t="s">
        <v>641</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7" t="s">
        <v>750</v>
      </c>
      <c r="E453" s="1448"/>
      <c r="F453" s="1448"/>
      <c r="G453" s="1448"/>
      <c r="H453" s="1448"/>
      <c r="I453" s="1448"/>
      <c r="J453" s="1448"/>
      <c r="K453" s="1448"/>
      <c r="L453" s="1448"/>
      <c r="M453" s="1448"/>
      <c r="N453" s="1448"/>
      <c r="O453" s="1448"/>
      <c r="P453" s="1448"/>
      <c r="Q453" s="1448"/>
      <c r="R453" s="1448"/>
      <c r="S453" s="1448"/>
      <c r="T453" s="1448"/>
      <c r="U453" s="1448"/>
      <c r="V453" s="1449"/>
      <c r="W453" s="1253" t="s">
        <v>641</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7" t="s">
        <v>751</v>
      </c>
      <c r="E454" s="1448"/>
      <c r="F454" s="1448"/>
      <c r="G454" s="1448"/>
      <c r="H454" s="1448"/>
      <c r="I454" s="1448"/>
      <c r="J454" s="1448"/>
      <c r="K454" s="1448"/>
      <c r="L454" s="1448"/>
      <c r="M454" s="1448"/>
      <c r="N454" s="1448"/>
      <c r="O454" s="1448"/>
      <c r="P454" s="1448"/>
      <c r="Q454" s="1448"/>
      <c r="R454" s="1448"/>
      <c r="S454" s="1448"/>
      <c r="T454" s="1448"/>
      <c r="U454" s="1448"/>
      <c r="V454" s="1449"/>
      <c r="W454" s="1253" t="s">
        <v>641</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7" t="s">
        <v>752</v>
      </c>
      <c r="E455" s="1448"/>
      <c r="F455" s="1448"/>
      <c r="G455" s="1448"/>
      <c r="H455" s="1448"/>
      <c r="I455" s="1448"/>
      <c r="J455" s="1448"/>
      <c r="K455" s="1448"/>
      <c r="L455" s="1448"/>
      <c r="M455" s="1448"/>
      <c r="N455" s="1448"/>
      <c r="O455" s="1448"/>
      <c r="P455" s="1448"/>
      <c r="Q455" s="1448"/>
      <c r="R455" s="1448"/>
      <c r="S455" s="1448"/>
      <c r="T455" s="1448"/>
      <c r="U455" s="1448"/>
      <c r="V455" s="1449"/>
      <c r="W455" s="1253" t="s">
        <v>641</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7" t="s">
        <v>975</v>
      </c>
      <c r="E456" s="1448"/>
      <c r="F456" s="1448"/>
      <c r="G456" s="1448"/>
      <c r="H456" s="1448"/>
      <c r="I456" s="1448"/>
      <c r="J456" s="1448"/>
      <c r="K456" s="1448"/>
      <c r="L456" s="1448"/>
      <c r="M456" s="1448"/>
      <c r="N456" s="1448"/>
      <c r="O456" s="1448"/>
      <c r="P456" s="1448"/>
      <c r="Q456" s="1448"/>
      <c r="R456" s="1448"/>
      <c r="S456" s="1448"/>
      <c r="T456" s="1448"/>
      <c r="U456" s="1448"/>
      <c r="V456" s="1449"/>
      <c r="W456" s="1253" t="s">
        <v>641</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7" t="s">
        <v>753</v>
      </c>
      <c r="E457" s="1448"/>
      <c r="F457" s="1448"/>
      <c r="G457" s="1448"/>
      <c r="H457" s="1448"/>
      <c r="I457" s="1448"/>
      <c r="J457" s="1448"/>
      <c r="K457" s="1448"/>
      <c r="L457" s="1448"/>
      <c r="M457" s="1448"/>
      <c r="N457" s="1448"/>
      <c r="O457" s="1448"/>
      <c r="P457" s="1448"/>
      <c r="Q457" s="1448"/>
      <c r="R457" s="1448"/>
      <c r="S457" s="1448"/>
      <c r="T457" s="1448"/>
      <c r="U457" s="1448"/>
      <c r="V457" s="1449"/>
      <c r="W457" s="1253" t="s">
        <v>641</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7" t="s">
        <v>1157</v>
      </c>
      <c r="E458" s="1448"/>
      <c r="F458" s="1448"/>
      <c r="G458" s="1448"/>
      <c r="H458" s="1448"/>
      <c r="I458" s="1448"/>
      <c r="J458" s="1448"/>
      <c r="K458" s="1448"/>
      <c r="L458" s="1448"/>
      <c r="M458" s="1448"/>
      <c r="N458" s="1448"/>
      <c r="O458" s="1448"/>
      <c r="P458" s="1448"/>
      <c r="Q458" s="1448"/>
      <c r="R458" s="1448"/>
      <c r="S458" s="1448"/>
      <c r="T458" s="1448"/>
      <c r="U458" s="1448"/>
      <c r="V458" s="1449"/>
      <c r="W458" s="1253" t="s">
        <v>641</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6"/>
      <c r="H459" s="1517"/>
      <c r="I459" s="1517"/>
      <c r="J459" s="1517"/>
      <c r="K459" s="1517"/>
      <c r="L459" s="1517"/>
      <c r="M459" s="1517"/>
      <c r="N459" s="1517"/>
      <c r="O459" s="1517"/>
      <c r="P459" s="1517"/>
      <c r="Q459" s="1517"/>
      <c r="R459" s="1517"/>
      <c r="S459" s="1517"/>
      <c r="T459" s="1517"/>
      <c r="U459" s="1517"/>
      <c r="V459" s="1518"/>
      <c r="W459" s="1253" t="s">
        <v>641</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1" t="s">
        <v>754</v>
      </c>
      <c r="E463" s="1452"/>
      <c r="F463" s="1452"/>
      <c r="G463" s="1452"/>
      <c r="H463" s="1452"/>
      <c r="I463" s="1452"/>
      <c r="J463" s="1452"/>
      <c r="K463" s="1452"/>
      <c r="L463" s="1452"/>
      <c r="M463" s="1452"/>
      <c r="N463" s="1452"/>
      <c r="O463" s="1452"/>
      <c r="P463" s="1452"/>
      <c r="Q463" s="1452"/>
      <c r="R463" s="1452"/>
      <c r="S463" s="1452"/>
      <c r="T463" s="1452"/>
      <c r="U463" s="1452"/>
      <c r="V463" s="1452"/>
      <c r="W463" s="1557"/>
      <c r="X463" s="1557"/>
      <c r="Y463" s="155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7" t="s">
        <v>755</v>
      </c>
      <c r="E464" s="1448"/>
      <c r="F464" s="1448"/>
      <c r="G464" s="1448"/>
      <c r="H464" s="1448"/>
      <c r="I464" s="1448"/>
      <c r="J464" s="1448"/>
      <c r="K464" s="1448"/>
      <c r="L464" s="1448"/>
      <c r="M464" s="1448"/>
      <c r="N464" s="1448"/>
      <c r="O464" s="1448"/>
      <c r="P464" s="1448"/>
      <c r="Q464" s="1448"/>
      <c r="R464" s="1448"/>
      <c r="S464" s="1448"/>
      <c r="T464" s="1448"/>
      <c r="U464" s="1448"/>
      <c r="V464" s="1449"/>
      <c r="W464" s="1253" t="s">
        <v>641</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892</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8" t="s">
        <v>893</v>
      </c>
      <c r="U471" s="1459"/>
      <c r="V471" s="1459"/>
      <c r="W471" s="1459"/>
      <c r="X471" s="1459"/>
      <c r="Y471" s="1459"/>
      <c r="Z471" s="1459"/>
      <c r="AA471" s="1459"/>
      <c r="AB471" s="1459"/>
      <c r="AC471" s="1459"/>
      <c r="AD471" s="1459"/>
      <c r="AE471" s="1459"/>
      <c r="AF471" s="1459"/>
      <c r="AG471" s="1459"/>
      <c r="AH471" s="150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3" t="s">
        <v>38</v>
      </c>
      <c r="U472" s="1453"/>
      <c r="V472" s="1453"/>
      <c r="W472" s="1453"/>
      <c r="X472" s="1453"/>
      <c r="Y472" s="1453" t="s">
        <v>39</v>
      </c>
      <c r="Z472" s="1453"/>
      <c r="AA472" s="1453"/>
      <c r="AB472" s="1453"/>
      <c r="AC472" s="1453"/>
      <c r="AD472" s="1453" t="s">
        <v>362</v>
      </c>
      <c r="AE472" s="1453"/>
      <c r="AF472" s="1453"/>
      <c r="AG472" s="1453"/>
      <c r="AH472" s="145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3"/>
      <c r="U473" s="1453"/>
      <c r="V473" s="1453"/>
      <c r="W473" s="1453"/>
      <c r="X473" s="1453"/>
      <c r="Y473" s="1453"/>
      <c r="Z473" s="1453"/>
      <c r="AA473" s="1453"/>
      <c r="AB473" s="1453"/>
      <c r="AC473" s="1453"/>
      <c r="AD473" s="1453"/>
      <c r="AE473" s="1453"/>
      <c r="AF473" s="1453"/>
      <c r="AG473" s="1453"/>
      <c r="AH473" s="145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0" t="s">
        <v>641</v>
      </c>
      <c r="U474" s="1450"/>
      <c r="V474" s="1450"/>
      <c r="W474" s="1450"/>
      <c r="X474" s="1450"/>
      <c r="Y474" s="1450">
        <v>0</v>
      </c>
      <c r="Z474" s="1450"/>
      <c r="AA474" s="1450"/>
      <c r="AB474" s="1450"/>
      <c r="AC474" s="1450"/>
      <c r="AD474" s="1450">
        <v>0</v>
      </c>
      <c r="AE474" s="1450"/>
      <c r="AF474" s="1450"/>
      <c r="AG474" s="1450"/>
      <c r="AH474" s="145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0" t="s">
        <v>641</v>
      </c>
      <c r="U475" s="1450"/>
      <c r="V475" s="1450"/>
      <c r="W475" s="1450"/>
      <c r="X475" s="1450"/>
      <c r="Y475" s="1450">
        <v>0</v>
      </c>
      <c r="Z475" s="1450"/>
      <c r="AA475" s="1450"/>
      <c r="AB475" s="1450"/>
      <c r="AC475" s="1450"/>
      <c r="AD475" s="1450">
        <v>0</v>
      </c>
      <c r="AE475" s="1450"/>
      <c r="AF475" s="1450"/>
      <c r="AG475" s="1450"/>
      <c r="AH475" s="145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0" t="s">
        <v>641</v>
      </c>
      <c r="U476" s="1450"/>
      <c r="V476" s="1450"/>
      <c r="W476" s="1450"/>
      <c r="X476" s="1450"/>
      <c r="Y476" s="1450">
        <v>0</v>
      </c>
      <c r="Z476" s="1450"/>
      <c r="AA476" s="1450"/>
      <c r="AB476" s="1450"/>
      <c r="AC476" s="1450"/>
      <c r="AD476" s="1450">
        <v>0</v>
      </c>
      <c r="AE476" s="1450"/>
      <c r="AF476" s="1450"/>
      <c r="AG476" s="1450"/>
      <c r="AH476" s="145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0" t="s">
        <v>641</v>
      </c>
      <c r="U477" s="1450"/>
      <c r="V477" s="1450"/>
      <c r="W477" s="1450"/>
      <c r="X477" s="1450"/>
      <c r="Y477" s="1450">
        <v>0</v>
      </c>
      <c r="Z477" s="1450"/>
      <c r="AA477" s="1450"/>
      <c r="AB477" s="1450"/>
      <c r="AC477" s="1450"/>
      <c r="AD477" s="1450">
        <v>0</v>
      </c>
      <c r="AE477" s="1450"/>
      <c r="AF477" s="1450"/>
      <c r="AG477" s="1450"/>
      <c r="AH477" s="1450"/>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0" t="s">
        <v>641</v>
      </c>
      <c r="U478" s="1450"/>
      <c r="V478" s="1450"/>
      <c r="W478" s="1450"/>
      <c r="X478" s="1450"/>
      <c r="Y478" s="1450">
        <v>0</v>
      </c>
      <c r="Z478" s="1450"/>
      <c r="AA478" s="1450"/>
      <c r="AB478" s="1450"/>
      <c r="AC478" s="1450"/>
      <c r="AD478" s="1450">
        <v>0</v>
      </c>
      <c r="AE478" s="1450"/>
      <c r="AF478" s="1450"/>
      <c r="AG478" s="1450"/>
      <c r="AH478" s="145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0" t="s">
        <v>641</v>
      </c>
      <c r="U479" s="1450"/>
      <c r="V479" s="1450"/>
      <c r="W479" s="1450"/>
      <c r="X479" s="1450"/>
      <c r="Y479" s="1450">
        <v>0</v>
      </c>
      <c r="Z479" s="1450"/>
      <c r="AA479" s="1450"/>
      <c r="AB479" s="1450"/>
      <c r="AC479" s="1450"/>
      <c r="AD479" s="1450">
        <v>0</v>
      </c>
      <c r="AE479" s="1450"/>
      <c r="AF479" s="1450"/>
      <c r="AG479" s="1450"/>
      <c r="AH479" s="145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0" t="s">
        <v>641</v>
      </c>
      <c r="U480" s="1450"/>
      <c r="V480" s="1450"/>
      <c r="W480" s="1450"/>
      <c r="X480" s="1450"/>
      <c r="Y480" s="1450">
        <v>0</v>
      </c>
      <c r="Z480" s="1450"/>
      <c r="AA480" s="1450"/>
      <c r="AB480" s="1450"/>
      <c r="AC480" s="1450"/>
      <c r="AD480" s="1450">
        <v>0</v>
      </c>
      <c r="AE480" s="1450"/>
      <c r="AF480" s="1450"/>
      <c r="AG480" s="1450"/>
      <c r="AH480" s="145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0" t="s">
        <v>641</v>
      </c>
      <c r="U481" s="1450"/>
      <c r="V481" s="1450"/>
      <c r="W481" s="1450"/>
      <c r="X481" s="1450"/>
      <c r="Y481" s="1450">
        <v>0</v>
      </c>
      <c r="Z481" s="1450"/>
      <c r="AA481" s="1450"/>
      <c r="AB481" s="1450"/>
      <c r="AC481" s="1450"/>
      <c r="AD481" s="1450">
        <v>0</v>
      </c>
      <c r="AE481" s="1450"/>
      <c r="AF481" s="1450"/>
      <c r="AG481" s="1450"/>
      <c r="AH481" s="145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0" t="s">
        <v>641</v>
      </c>
      <c r="U482" s="1450"/>
      <c r="V482" s="1450"/>
      <c r="W482" s="1450"/>
      <c r="X482" s="1450"/>
      <c r="Y482" s="1450">
        <v>0</v>
      </c>
      <c r="Z482" s="1450"/>
      <c r="AA482" s="1450"/>
      <c r="AB482" s="1450"/>
      <c r="AC482" s="1450"/>
      <c r="AD482" s="1450">
        <v>0</v>
      </c>
      <c r="AE482" s="1450"/>
      <c r="AF482" s="1450"/>
      <c r="AG482" s="1450"/>
      <c r="AH482" s="145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0" t="s">
        <v>641</v>
      </c>
      <c r="U483" s="1450"/>
      <c r="V483" s="1450"/>
      <c r="W483" s="1450"/>
      <c r="X483" s="1450"/>
      <c r="Y483" s="1450">
        <v>0</v>
      </c>
      <c r="Z483" s="1450"/>
      <c r="AA483" s="1450"/>
      <c r="AB483" s="1450"/>
      <c r="AC483" s="1450"/>
      <c r="AD483" s="1450">
        <v>0</v>
      </c>
      <c r="AE483" s="1450"/>
      <c r="AF483" s="1450"/>
      <c r="AG483" s="1450"/>
      <c r="AH483" s="145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5" t="s">
        <v>428</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3">
        <v>0</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3">
        <v>0</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3">
        <v>0</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0" t="s">
        <v>432</v>
      </c>
      <c r="C489" s="1461"/>
      <c r="D489" s="1461"/>
      <c r="E489" s="1461"/>
      <c r="F489" s="1461"/>
      <c r="G489" s="1461"/>
      <c r="H489" s="1461"/>
      <c r="I489" s="1461"/>
      <c r="J489" s="1461"/>
      <c r="K489" s="1461"/>
      <c r="L489" s="1461"/>
      <c r="M489" s="1461"/>
      <c r="N489" s="1461"/>
      <c r="O489" s="1461"/>
      <c r="P489" s="146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3"/>
      <c r="C490" s="1464"/>
      <c r="D490" s="1464"/>
      <c r="E490" s="1464"/>
      <c r="F490" s="1464"/>
      <c r="G490" s="1464"/>
      <c r="H490" s="1464"/>
      <c r="I490" s="1464"/>
      <c r="J490" s="1464"/>
      <c r="K490" s="1464"/>
      <c r="L490" s="1464"/>
      <c r="M490" s="1464"/>
      <c r="N490" s="1464"/>
      <c r="O490" s="1464"/>
      <c r="P490" s="1465"/>
      <c r="Q490" s="1469" t="s">
        <v>722</v>
      </c>
      <c r="R490" s="1470"/>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6"/>
      <c r="C491" s="1467"/>
      <c r="D491" s="1467"/>
      <c r="E491" s="1467"/>
      <c r="F491" s="1467"/>
      <c r="G491" s="1467"/>
      <c r="H491" s="1467"/>
      <c r="I491" s="1467"/>
      <c r="J491" s="1467"/>
      <c r="K491" s="1467"/>
      <c r="L491" s="1467"/>
      <c r="M491" s="1467"/>
      <c r="N491" s="1467"/>
      <c r="O491" s="1467"/>
      <c r="P491" s="1468"/>
      <c r="Q491" s="1471"/>
      <c r="R491" s="1472"/>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3">
        <v>0</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3">
        <v>0</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5" t="s">
        <v>436</v>
      </c>
      <c r="AD498" s="1456"/>
      <c r="AE498" s="1456"/>
      <c r="AF498" s="1456"/>
      <c r="AG498" s="1456"/>
      <c r="AH498" s="1456"/>
      <c r="AI498" s="1456"/>
      <c r="AJ498" s="1456"/>
      <c r="AK498" s="145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8" t="s">
        <v>437</v>
      </c>
      <c r="AD499" s="1459"/>
      <c r="AE499" s="1459"/>
      <c r="AF499" s="1459"/>
      <c r="AG499" s="82" t="s">
        <v>438</v>
      </c>
      <c r="AH499" s="1459" t="s">
        <v>439</v>
      </c>
      <c r="AI499" s="1459"/>
      <c r="AJ499" s="1459"/>
      <c r="AK499" s="150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3" t="s">
        <v>440</v>
      </c>
      <c r="C500" s="1474"/>
      <c r="D500" s="1474"/>
      <c r="E500" s="1474"/>
      <c r="F500" s="1474"/>
      <c r="G500" s="1474"/>
      <c r="H500" s="1475"/>
      <c r="I500" s="72" t="s">
        <v>441</v>
      </c>
      <c r="J500" s="72"/>
      <c r="K500" s="72"/>
      <c r="L500" s="72"/>
      <c r="M500" s="72"/>
      <c r="N500" s="72"/>
      <c r="O500" s="72"/>
      <c r="P500" s="72"/>
      <c r="Q500" s="72"/>
      <c r="R500" s="72"/>
      <c r="S500" s="72"/>
      <c r="T500" s="72"/>
      <c r="U500" s="72"/>
      <c r="V500" s="72"/>
      <c r="W500" s="72"/>
      <c r="X500" s="25"/>
      <c r="Y500" s="25"/>
      <c r="AC500" s="1454" t="s">
        <v>641</v>
      </c>
      <c r="AD500" s="1413"/>
      <c r="AE500" s="1413"/>
      <c r="AF500" s="1413"/>
      <c r="AG500" s="75" t="s">
        <v>438</v>
      </c>
      <c r="AH500" s="1221">
        <v>0</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6"/>
      <c r="C501" s="1477"/>
      <c r="D501" s="1477"/>
      <c r="E501" s="1477"/>
      <c r="F501" s="1477"/>
      <c r="G501" s="1477"/>
      <c r="H501" s="1478"/>
      <c r="I501" s="80" t="s">
        <v>442</v>
      </c>
      <c r="J501" s="80"/>
      <c r="K501" s="80"/>
      <c r="L501" s="80"/>
      <c r="M501" s="80"/>
      <c r="N501" s="80"/>
      <c r="O501" s="80"/>
      <c r="P501" s="80"/>
      <c r="Q501" s="80"/>
      <c r="R501" s="80"/>
      <c r="S501" s="80"/>
      <c r="T501" s="80"/>
      <c r="U501" s="80"/>
      <c r="V501" s="80"/>
      <c r="W501" s="80"/>
      <c r="X501" s="80"/>
      <c r="Y501" s="80"/>
      <c r="Z501" s="80"/>
      <c r="AA501" s="80"/>
      <c r="AB501" s="80"/>
      <c r="AC501" s="1454">
        <v>12</v>
      </c>
      <c r="AD501" s="1413"/>
      <c r="AE501" s="1413"/>
      <c r="AF501" s="1413"/>
      <c r="AG501" s="65" t="s">
        <v>438</v>
      </c>
      <c r="AH501" s="1221">
        <v>2019</v>
      </c>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3" t="s">
        <v>443</v>
      </c>
      <c r="C502" s="1474"/>
      <c r="D502" s="1474"/>
      <c r="E502" s="1474"/>
      <c r="F502" s="1474"/>
      <c r="G502" s="1474"/>
      <c r="H502" s="1475"/>
      <c r="I502" s="72" t="s">
        <v>444</v>
      </c>
      <c r="J502" s="72"/>
      <c r="K502" s="72"/>
      <c r="L502" s="72"/>
      <c r="M502" s="72"/>
      <c r="N502" s="72"/>
      <c r="O502" s="72"/>
      <c r="P502" s="72"/>
      <c r="Q502" s="72"/>
      <c r="R502" s="72"/>
      <c r="S502" s="72"/>
      <c r="T502" s="72"/>
      <c r="U502" s="72"/>
      <c r="V502" s="72"/>
      <c r="W502" s="72"/>
      <c r="X502" s="25"/>
      <c r="Y502" s="25"/>
      <c r="AC502" s="1454" t="s">
        <v>641</v>
      </c>
      <c r="AD502" s="1413"/>
      <c r="AE502" s="1413"/>
      <c r="AF502" s="1413"/>
      <c r="AG502" s="75" t="s">
        <v>438</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6"/>
      <c r="C503" s="1477"/>
      <c r="D503" s="1477"/>
      <c r="E503" s="1477"/>
      <c r="F503" s="1477"/>
      <c r="G503" s="1477"/>
      <c r="H503" s="1478"/>
      <c r="I503" s="25" t="s">
        <v>445</v>
      </c>
      <c r="J503" s="25"/>
      <c r="K503" s="25"/>
      <c r="L503" s="25"/>
      <c r="M503" s="25"/>
      <c r="N503" s="25"/>
      <c r="O503" s="25"/>
      <c r="P503" s="25"/>
      <c r="Q503" s="25"/>
      <c r="R503" s="25"/>
      <c r="S503" s="25"/>
      <c r="T503" s="25"/>
      <c r="U503" s="25"/>
      <c r="V503" s="25"/>
      <c r="W503" s="25"/>
      <c r="X503" s="25"/>
      <c r="Y503" s="25"/>
      <c r="AC503" s="1454" t="s">
        <v>641</v>
      </c>
      <c r="AD503" s="1413"/>
      <c r="AE503" s="1413"/>
      <c r="AF503" s="1413"/>
      <c r="AG503" s="75" t="s">
        <v>438</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6"/>
      <c r="C504" s="1477"/>
      <c r="D504" s="1477"/>
      <c r="E504" s="1477"/>
      <c r="F504" s="1477"/>
      <c r="G504" s="1477"/>
      <c r="H504" s="1478"/>
      <c r="I504" s="25" t="s">
        <v>446</v>
      </c>
      <c r="J504" s="25"/>
      <c r="K504" s="25"/>
      <c r="L504" s="25"/>
      <c r="M504" s="25"/>
      <c r="N504" s="25"/>
      <c r="O504" s="25"/>
      <c r="P504" s="25"/>
      <c r="Q504" s="25"/>
      <c r="R504" s="25"/>
      <c r="S504" s="25"/>
      <c r="T504" s="25"/>
      <c r="U504" s="25"/>
      <c r="V504" s="25"/>
      <c r="W504" s="25"/>
      <c r="X504" s="25"/>
      <c r="Y504" s="25"/>
      <c r="AC504" s="1454" t="s">
        <v>641</v>
      </c>
      <c r="AD504" s="1413"/>
      <c r="AE504" s="1413"/>
      <c r="AF504" s="1413"/>
      <c r="AG504" s="75" t="s">
        <v>438</v>
      </c>
      <c r="AH504" s="1221"/>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6"/>
      <c r="C505" s="1477"/>
      <c r="D505" s="1477"/>
      <c r="E505" s="1477"/>
      <c r="F505" s="1477"/>
      <c r="G505" s="1477"/>
      <c r="H505" s="1478"/>
      <c r="I505" s="25" t="s">
        <v>447</v>
      </c>
      <c r="J505" s="25"/>
      <c r="K505" s="25"/>
      <c r="L505" s="25"/>
      <c r="M505" s="25"/>
      <c r="N505" s="25"/>
      <c r="O505" s="25"/>
      <c r="P505" s="25"/>
      <c r="Q505" s="25"/>
      <c r="R505" s="25"/>
      <c r="S505" s="25"/>
      <c r="T505" s="25"/>
      <c r="U505" s="25"/>
      <c r="V505" s="25"/>
      <c r="W505" s="25"/>
      <c r="X505" s="25"/>
      <c r="Y505" s="25"/>
      <c r="AC505" s="1454" t="s">
        <v>641</v>
      </c>
      <c r="AD505" s="1413"/>
      <c r="AE505" s="1413"/>
      <c r="AF505" s="1413"/>
      <c r="AG505" s="75" t="s">
        <v>438</v>
      </c>
      <c r="AH505" s="1221"/>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6"/>
      <c r="C506" s="1477"/>
      <c r="D506" s="1477"/>
      <c r="E506" s="1477"/>
      <c r="F506" s="1477"/>
      <c r="G506" s="1477"/>
      <c r="H506" s="1478"/>
      <c r="I506" s="80" t="s">
        <v>448</v>
      </c>
      <c r="J506" s="80"/>
      <c r="K506" s="80"/>
      <c r="L506" s="80"/>
      <c r="M506" s="80"/>
      <c r="N506" s="80"/>
      <c r="O506" s="80"/>
      <c r="P506" s="80"/>
      <c r="Q506" s="80"/>
      <c r="R506" s="80"/>
      <c r="S506" s="80"/>
      <c r="T506" s="80"/>
      <c r="U506" s="80"/>
      <c r="V506" s="80"/>
      <c r="W506" s="80"/>
      <c r="X506" s="80"/>
      <c r="Y506" s="80"/>
      <c r="Z506" s="80"/>
      <c r="AA506" s="80"/>
      <c r="AB506" s="80"/>
      <c r="AC506" s="1454" t="s">
        <v>641</v>
      </c>
      <c r="AD506" s="1413"/>
      <c r="AE506" s="1413"/>
      <c r="AF506" s="1413"/>
      <c r="AG506" s="65" t="s">
        <v>438</v>
      </c>
      <c r="AH506" s="1221"/>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3" t="s">
        <v>449</v>
      </c>
      <c r="C507" s="1474"/>
      <c r="D507" s="1474"/>
      <c r="E507" s="1474"/>
      <c r="F507" s="1474"/>
      <c r="G507" s="1474"/>
      <c r="H507" s="1475"/>
      <c r="I507" s="72" t="s">
        <v>450</v>
      </c>
      <c r="J507" s="72"/>
      <c r="K507" s="72"/>
      <c r="L507" s="72"/>
      <c r="M507" s="72"/>
      <c r="N507" s="72"/>
      <c r="O507" s="72"/>
      <c r="P507" s="72"/>
      <c r="Q507" s="72"/>
      <c r="R507" s="72"/>
      <c r="S507" s="72"/>
      <c r="T507" s="72"/>
      <c r="U507" s="72"/>
      <c r="V507" s="72"/>
      <c r="W507" s="72"/>
      <c r="X507" s="25"/>
      <c r="Y507" s="25"/>
      <c r="AC507" s="1454">
        <v>1</v>
      </c>
      <c r="AD507" s="1413"/>
      <c r="AE507" s="1413"/>
      <c r="AF507" s="1413"/>
      <c r="AG507" s="75" t="s">
        <v>438</v>
      </c>
      <c r="AH507" s="1221">
        <v>2020</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6"/>
      <c r="C508" s="1477"/>
      <c r="D508" s="1477"/>
      <c r="E508" s="1477"/>
      <c r="F508" s="1477"/>
      <c r="G508" s="1477"/>
      <c r="H508" s="1478"/>
      <c r="I508" s="25" t="s">
        <v>451</v>
      </c>
      <c r="J508" s="25"/>
      <c r="K508" s="25"/>
      <c r="L508" s="25"/>
      <c r="M508" s="25"/>
      <c r="N508" s="25"/>
      <c r="O508" s="25"/>
      <c r="P508" s="25"/>
      <c r="Q508" s="25"/>
      <c r="R508" s="25"/>
      <c r="S508" s="25"/>
      <c r="T508" s="25"/>
      <c r="U508" s="25"/>
      <c r="V508" s="25"/>
      <c r="W508" s="25"/>
      <c r="X508" s="25"/>
      <c r="Y508" s="25"/>
      <c r="AC508" s="1454">
        <v>3</v>
      </c>
      <c r="AD508" s="1413"/>
      <c r="AE508" s="1413"/>
      <c r="AF508" s="1413"/>
      <c r="AG508" s="75" t="s">
        <v>438</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6"/>
      <c r="C509" s="1477"/>
      <c r="D509" s="1477"/>
      <c r="E509" s="1477"/>
      <c r="F509" s="1477"/>
      <c r="G509" s="1477"/>
      <c r="H509" s="1478"/>
      <c r="I509" s="80" t="s">
        <v>452</v>
      </c>
      <c r="J509" s="80"/>
      <c r="K509" s="80"/>
      <c r="L509" s="80"/>
      <c r="M509" s="80"/>
      <c r="N509" s="80"/>
      <c r="O509" s="80"/>
      <c r="P509" s="80"/>
      <c r="Q509" s="80"/>
      <c r="R509" s="80"/>
      <c r="S509" s="80"/>
      <c r="T509" s="80"/>
      <c r="U509" s="80"/>
      <c r="V509" s="80"/>
      <c r="W509" s="80"/>
      <c r="X509" s="80"/>
      <c r="Y509" s="80"/>
      <c r="Z509" s="80"/>
      <c r="AA509" s="80"/>
      <c r="AB509" s="80"/>
      <c r="AC509" s="1454">
        <v>4</v>
      </c>
      <c r="AD509" s="1413"/>
      <c r="AE509" s="1413"/>
      <c r="AF509" s="1413"/>
      <c r="AG509" s="65" t="s">
        <v>438</v>
      </c>
      <c r="AH509" s="1221">
        <v>2020</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3" t="s">
        <v>453</v>
      </c>
      <c r="C510" s="1474"/>
      <c r="D510" s="1474"/>
      <c r="E510" s="1474"/>
      <c r="F510" s="1474"/>
      <c r="G510" s="1474"/>
      <c r="H510" s="1475"/>
      <c r="I510" s="72" t="s">
        <v>450</v>
      </c>
      <c r="J510" s="72"/>
      <c r="K510" s="72"/>
      <c r="L510" s="72"/>
      <c r="M510" s="72"/>
      <c r="N510" s="72"/>
      <c r="O510" s="72"/>
      <c r="P510" s="72"/>
      <c r="Q510" s="72"/>
      <c r="R510" s="72"/>
      <c r="S510" s="72"/>
      <c r="T510" s="72"/>
      <c r="U510" s="72"/>
      <c r="V510" s="72"/>
      <c r="W510" s="72"/>
      <c r="X510" s="72"/>
      <c r="Y510" s="72"/>
      <c r="Z510" s="72"/>
      <c r="AA510" s="72"/>
      <c r="AB510" s="72"/>
      <c r="AC510" s="1166">
        <v>1</v>
      </c>
      <c r="AD510" s="1167"/>
      <c r="AE510" s="1167"/>
      <c r="AF510" s="1167"/>
      <c r="AG510" s="204" t="s">
        <v>438</v>
      </c>
      <c r="AH510" s="1221">
        <v>2020</v>
      </c>
      <c r="AI510" s="1221"/>
      <c r="AJ510" s="1221"/>
      <c r="AK510" s="122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6"/>
      <c r="C511" s="1477"/>
      <c r="D511" s="1477"/>
      <c r="E511" s="1477"/>
      <c r="F511" s="1477"/>
      <c r="G511" s="1477"/>
      <c r="H511" s="1478"/>
      <c r="I511" s="25" t="s">
        <v>451</v>
      </c>
      <c r="J511" s="25"/>
      <c r="K511" s="25"/>
      <c r="L511" s="25"/>
      <c r="M511" s="25"/>
      <c r="N511" s="25"/>
      <c r="O511" s="25"/>
      <c r="P511" s="25"/>
      <c r="Q511" s="25"/>
      <c r="R511" s="25"/>
      <c r="S511" s="25"/>
      <c r="T511" s="25"/>
      <c r="U511" s="25"/>
      <c r="V511" s="25"/>
      <c r="W511" s="25"/>
      <c r="X511" s="25"/>
      <c r="Y511" s="25"/>
      <c r="Z511" s="25"/>
      <c r="AA511" s="25"/>
      <c r="AB511" s="25"/>
      <c r="AC511" s="1454">
        <v>3</v>
      </c>
      <c r="AD511" s="1413"/>
      <c r="AE511" s="1413"/>
      <c r="AF511" s="1413"/>
      <c r="AG511" s="75" t="s">
        <v>438</v>
      </c>
      <c r="AH511" s="1221">
        <v>2020</v>
      </c>
      <c r="AI511" s="1221"/>
      <c r="AJ511" s="1221"/>
      <c r="AK511" s="122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9"/>
      <c r="C512" s="1480"/>
      <c r="D512" s="1480"/>
      <c r="E512" s="1480"/>
      <c r="F512" s="1480"/>
      <c r="G512" s="1480"/>
      <c r="H512" s="1481"/>
      <c r="I512" s="80" t="s">
        <v>452</v>
      </c>
      <c r="J512" s="80"/>
      <c r="K512" s="80"/>
      <c r="L512" s="80"/>
      <c r="M512" s="80"/>
      <c r="N512" s="80"/>
      <c r="O512" s="80"/>
      <c r="P512" s="80"/>
      <c r="Q512" s="80"/>
      <c r="R512" s="80"/>
      <c r="S512" s="80"/>
      <c r="T512" s="80"/>
      <c r="U512" s="80"/>
      <c r="V512" s="80"/>
      <c r="W512" s="80"/>
      <c r="X512" s="80"/>
      <c r="Y512" s="80"/>
      <c r="Z512" s="80"/>
      <c r="AA512" s="80"/>
      <c r="AB512" s="80"/>
      <c r="AC512" s="1454">
        <v>4</v>
      </c>
      <c r="AD512" s="1413"/>
      <c r="AE512" s="1413"/>
      <c r="AF512" s="1413"/>
      <c r="AG512" s="65" t="s">
        <v>438</v>
      </c>
      <c r="AH512" s="1221">
        <v>2020</v>
      </c>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3" t="s">
        <v>454</v>
      </c>
      <c r="C513" s="1474"/>
      <c r="D513" s="1474"/>
      <c r="E513" s="1474"/>
      <c r="F513" s="1474"/>
      <c r="G513" s="1474"/>
      <c r="H513" s="1475"/>
      <c r="I513" s="71" t="s">
        <v>455</v>
      </c>
      <c r="J513" s="72"/>
      <c r="K513" s="72"/>
      <c r="L513" s="72"/>
      <c r="M513" s="72"/>
      <c r="N513" s="72"/>
      <c r="O513" s="1117" t="s">
        <v>357</v>
      </c>
      <c r="P513" s="1117"/>
      <c r="Q513" s="1117"/>
      <c r="R513" s="1117"/>
      <c r="S513" s="1117"/>
      <c r="T513" s="1117"/>
      <c r="U513" s="1117"/>
      <c r="V513" s="1117"/>
      <c r="W513" s="1117"/>
      <c r="X513" s="1117"/>
      <c r="Y513" s="1117"/>
      <c r="Z513" s="1117"/>
      <c r="AA513" s="1117"/>
      <c r="AB513" s="94"/>
      <c r="AC513" s="1166" t="s">
        <v>641</v>
      </c>
      <c r="AD513" s="1167"/>
      <c r="AE513" s="1167"/>
      <c r="AF513" s="1167"/>
      <c r="AG513" s="204" t="s">
        <v>438</v>
      </c>
      <c r="AH513" s="1221"/>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6"/>
      <c r="C514" s="1477"/>
      <c r="D514" s="1477"/>
      <c r="E514" s="1477"/>
      <c r="F514" s="1477"/>
      <c r="G514" s="1477"/>
      <c r="H514" s="1478"/>
      <c r="I514" s="175" t="s">
        <v>456</v>
      </c>
      <c r="J514" s="25"/>
      <c r="K514" s="25"/>
      <c r="L514" s="25"/>
      <c r="M514" s="25"/>
      <c r="N514" s="25"/>
      <c r="O514" s="25"/>
      <c r="P514" s="25"/>
      <c r="Q514" s="25"/>
      <c r="R514" s="25"/>
      <c r="S514" s="25"/>
      <c r="T514" s="25"/>
      <c r="U514" s="25"/>
      <c r="V514" s="25"/>
      <c r="W514" s="25"/>
      <c r="X514" s="25"/>
      <c r="Y514" s="25"/>
      <c r="Z514" s="25"/>
      <c r="AA514" s="25"/>
      <c r="AB514" s="101"/>
      <c r="AC514" s="1454" t="s">
        <v>641</v>
      </c>
      <c r="AD514" s="1413"/>
      <c r="AE514" s="1413"/>
      <c r="AF514" s="1413"/>
      <c r="AG514" s="75" t="s">
        <v>438</v>
      </c>
      <c r="AH514" s="1221"/>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6"/>
      <c r="C515" s="1477"/>
      <c r="D515" s="1477"/>
      <c r="E515" s="1477"/>
      <c r="F515" s="1477"/>
      <c r="G515" s="1477"/>
      <c r="H515" s="1478"/>
      <c r="I515" s="79" t="s">
        <v>457</v>
      </c>
      <c r="J515" s="80"/>
      <c r="K515" s="80"/>
      <c r="L515" s="80"/>
      <c r="M515" s="80"/>
      <c r="N515" s="80"/>
      <c r="O515" s="80"/>
      <c r="P515" s="80"/>
      <c r="Q515" s="80"/>
      <c r="R515" s="80"/>
      <c r="S515" s="80"/>
      <c r="T515" s="80"/>
      <c r="U515" s="80"/>
      <c r="V515" s="80"/>
      <c r="W515" s="80"/>
      <c r="X515" s="80"/>
      <c r="Y515" s="80"/>
      <c r="Z515" s="80"/>
      <c r="AA515" s="80"/>
      <c r="AB515" s="81"/>
      <c r="AC515" s="1454" t="s">
        <v>641</v>
      </c>
      <c r="AD515" s="1413"/>
      <c r="AE515" s="1413"/>
      <c r="AF515" s="1413"/>
      <c r="AG515" s="65" t="s">
        <v>438</v>
      </c>
      <c r="AH515" s="1221"/>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6"/>
      <c r="C516" s="1477"/>
      <c r="D516" s="1477"/>
      <c r="E516" s="1477"/>
      <c r="F516" s="1477"/>
      <c r="G516" s="1477"/>
      <c r="H516" s="1478"/>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454" t="s">
        <v>641</v>
      </c>
      <c r="AD516" s="1413"/>
      <c r="AE516" s="1413"/>
      <c r="AF516" s="1413"/>
      <c r="AG516" s="75" t="s">
        <v>438</v>
      </c>
      <c r="AH516" s="1221"/>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6"/>
      <c r="C517" s="1477"/>
      <c r="D517" s="1477"/>
      <c r="E517" s="1477"/>
      <c r="F517" s="1477"/>
      <c r="G517" s="1477"/>
      <c r="H517" s="1478"/>
      <c r="I517" s="25" t="s">
        <v>456</v>
      </c>
      <c r="J517" s="25"/>
      <c r="K517" s="25"/>
      <c r="L517" s="25"/>
      <c r="M517" s="25"/>
      <c r="N517" s="25"/>
      <c r="O517" s="25"/>
      <c r="P517" s="25"/>
      <c r="Q517" s="25"/>
      <c r="R517" s="25"/>
      <c r="S517" s="25"/>
      <c r="T517" s="25"/>
      <c r="U517" s="25"/>
      <c r="V517" s="25"/>
      <c r="W517" s="25"/>
      <c r="X517" s="25"/>
      <c r="Y517" s="25"/>
      <c r="AC517" s="1454" t="s">
        <v>641</v>
      </c>
      <c r="AD517" s="1413"/>
      <c r="AE517" s="1413"/>
      <c r="AF517" s="1413"/>
      <c r="AG517" s="75" t="s">
        <v>438</v>
      </c>
      <c r="AH517" s="1221"/>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6"/>
      <c r="C518" s="1477"/>
      <c r="D518" s="1477"/>
      <c r="E518" s="1477"/>
      <c r="F518" s="1477"/>
      <c r="G518" s="1477"/>
      <c r="H518" s="1478"/>
      <c r="I518" s="80" t="s">
        <v>457</v>
      </c>
      <c r="J518" s="80"/>
      <c r="K518" s="80"/>
      <c r="L518" s="80"/>
      <c r="M518" s="80"/>
      <c r="N518" s="80"/>
      <c r="O518" s="80"/>
      <c r="P518" s="80"/>
      <c r="Q518" s="80"/>
      <c r="R518" s="80"/>
      <c r="S518" s="80"/>
      <c r="T518" s="80"/>
      <c r="U518" s="80"/>
      <c r="V518" s="80"/>
      <c r="W518" s="80"/>
      <c r="X518" s="80"/>
      <c r="Y518" s="80"/>
      <c r="Z518" s="80"/>
      <c r="AA518" s="80"/>
      <c r="AB518" s="80"/>
      <c r="AC518" s="1454" t="s">
        <v>641</v>
      </c>
      <c r="AD518" s="1413"/>
      <c r="AE518" s="1413"/>
      <c r="AF518" s="1413"/>
      <c r="AG518" s="65" t="s">
        <v>438</v>
      </c>
      <c r="AH518" s="1221"/>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6"/>
      <c r="C519" s="1477"/>
      <c r="D519" s="1477"/>
      <c r="E519" s="1477"/>
      <c r="F519" s="1477"/>
      <c r="G519" s="1477"/>
      <c r="H519" s="1478"/>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4" t="s">
        <v>641</v>
      </c>
      <c r="AD519" s="1413"/>
      <c r="AE519" s="1413"/>
      <c r="AF519" s="1413"/>
      <c r="AG519" s="75" t="s">
        <v>438</v>
      </c>
      <c r="AH519" s="1221"/>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6"/>
      <c r="C520" s="1477"/>
      <c r="D520" s="1477"/>
      <c r="E520" s="1477"/>
      <c r="F520" s="1477"/>
      <c r="G520" s="1477"/>
      <c r="H520" s="1478"/>
      <c r="I520" s="25" t="s">
        <v>456</v>
      </c>
      <c r="J520" s="25"/>
      <c r="K520" s="25"/>
      <c r="L520" s="25"/>
      <c r="M520" s="25"/>
      <c r="N520" s="25"/>
      <c r="O520" s="25"/>
      <c r="P520" s="25"/>
      <c r="Q520" s="25"/>
      <c r="R520" s="25"/>
      <c r="S520" s="25"/>
      <c r="T520" s="25"/>
      <c r="U520" s="25"/>
      <c r="V520" s="25"/>
      <c r="W520" s="25"/>
      <c r="X520" s="25"/>
      <c r="Y520" s="25"/>
      <c r="AC520" s="1454" t="s">
        <v>641</v>
      </c>
      <c r="AD520" s="1413"/>
      <c r="AE520" s="1413"/>
      <c r="AF520" s="1413"/>
      <c r="AG520" s="75" t="s">
        <v>438</v>
      </c>
      <c r="AH520" s="1221"/>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6"/>
      <c r="C521" s="1477"/>
      <c r="D521" s="1477"/>
      <c r="E521" s="1477"/>
      <c r="F521" s="1477"/>
      <c r="G521" s="1477"/>
      <c r="H521" s="1478"/>
      <c r="I521" s="80" t="s">
        <v>457</v>
      </c>
      <c r="J521" s="80"/>
      <c r="K521" s="80"/>
      <c r="L521" s="80"/>
      <c r="M521" s="80"/>
      <c r="N521" s="80"/>
      <c r="O521" s="80"/>
      <c r="P521" s="80"/>
      <c r="Q521" s="80"/>
      <c r="R521" s="80"/>
      <c r="S521" s="80"/>
      <c r="T521" s="80"/>
      <c r="U521" s="80"/>
      <c r="V521" s="80"/>
      <c r="W521" s="80"/>
      <c r="X521" s="80"/>
      <c r="Y521" s="80"/>
      <c r="Z521" s="80"/>
      <c r="AA521" s="80"/>
      <c r="AB521" s="80"/>
      <c r="AC521" s="1454" t="s">
        <v>641</v>
      </c>
      <c r="AD521" s="1413"/>
      <c r="AE521" s="1413"/>
      <c r="AF521" s="1413"/>
      <c r="AG521" s="65" t="s">
        <v>438</v>
      </c>
      <c r="AH521" s="1221"/>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6"/>
      <c r="C522" s="1477"/>
      <c r="D522" s="1477"/>
      <c r="E522" s="1477"/>
      <c r="F522" s="1477"/>
      <c r="G522" s="1477"/>
      <c r="H522" s="1478"/>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4" t="s">
        <v>641</v>
      </c>
      <c r="AD522" s="1413"/>
      <c r="AE522" s="1413"/>
      <c r="AF522" s="1413"/>
      <c r="AG522" s="75" t="s">
        <v>438</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6"/>
      <c r="C523" s="1477"/>
      <c r="D523" s="1477"/>
      <c r="E523" s="1477"/>
      <c r="F523" s="1477"/>
      <c r="G523" s="1477"/>
      <c r="H523" s="1478"/>
      <c r="I523" s="25" t="s">
        <v>456</v>
      </c>
      <c r="J523" s="25"/>
      <c r="K523" s="25"/>
      <c r="L523" s="25"/>
      <c r="M523" s="25"/>
      <c r="N523" s="25"/>
      <c r="O523" s="25"/>
      <c r="P523" s="25"/>
      <c r="Q523" s="25"/>
      <c r="R523" s="25"/>
      <c r="S523" s="25"/>
      <c r="T523" s="25"/>
      <c r="U523" s="25"/>
      <c r="V523" s="25"/>
      <c r="W523" s="25"/>
      <c r="X523" s="25"/>
      <c r="Y523" s="25"/>
      <c r="AC523" s="1454" t="s">
        <v>641</v>
      </c>
      <c r="AD523" s="1413"/>
      <c r="AE523" s="1413"/>
      <c r="AF523" s="1413"/>
      <c r="AG523" s="75" t="s">
        <v>438</v>
      </c>
      <c r="AH523" s="1221"/>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6"/>
      <c r="C524" s="1477"/>
      <c r="D524" s="1477"/>
      <c r="E524" s="1477"/>
      <c r="F524" s="1477"/>
      <c r="G524" s="1477"/>
      <c r="H524" s="1478"/>
      <c r="I524" s="80" t="s">
        <v>457</v>
      </c>
      <c r="J524" s="80"/>
      <c r="K524" s="80"/>
      <c r="L524" s="80"/>
      <c r="M524" s="80"/>
      <c r="N524" s="80"/>
      <c r="O524" s="80"/>
      <c r="P524" s="80"/>
      <c r="Q524" s="80"/>
      <c r="R524" s="80"/>
      <c r="S524" s="80"/>
      <c r="T524" s="80"/>
      <c r="U524" s="80"/>
      <c r="V524" s="80"/>
      <c r="W524" s="80"/>
      <c r="X524" s="80"/>
      <c r="Y524" s="80"/>
      <c r="Z524" s="80"/>
      <c r="AA524" s="80"/>
      <c r="AB524" s="80"/>
      <c r="AC524" s="1454" t="s">
        <v>641</v>
      </c>
      <c r="AD524" s="1413"/>
      <c r="AE524" s="1413"/>
      <c r="AF524" s="1413"/>
      <c r="AG524" s="65" t="s">
        <v>438</v>
      </c>
      <c r="AH524" s="1221"/>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6"/>
      <c r="C525" s="1477"/>
      <c r="D525" s="1477"/>
      <c r="E525" s="1477"/>
      <c r="F525" s="1477"/>
      <c r="G525" s="1477"/>
      <c r="H525" s="1478"/>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4" t="s">
        <v>641</v>
      </c>
      <c r="AD525" s="1413"/>
      <c r="AE525" s="1413"/>
      <c r="AF525" s="1413"/>
      <c r="AG525" s="75" t="s">
        <v>438</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6"/>
      <c r="C526" s="1477"/>
      <c r="D526" s="1477"/>
      <c r="E526" s="1477"/>
      <c r="F526" s="1477"/>
      <c r="G526" s="1477"/>
      <c r="H526" s="1478"/>
      <c r="I526" s="25" t="s">
        <v>456</v>
      </c>
      <c r="J526" s="25"/>
      <c r="K526" s="25"/>
      <c r="L526" s="25"/>
      <c r="M526" s="25"/>
      <c r="N526" s="25"/>
      <c r="O526" s="25"/>
      <c r="P526" s="25"/>
      <c r="Q526" s="25"/>
      <c r="R526" s="25"/>
      <c r="S526" s="25"/>
      <c r="T526" s="25"/>
      <c r="U526" s="25"/>
      <c r="V526" s="25"/>
      <c r="W526" s="25"/>
      <c r="X526" s="25"/>
      <c r="Y526" s="25"/>
      <c r="AC526" s="1454" t="s">
        <v>641</v>
      </c>
      <c r="AD526" s="1413"/>
      <c r="AE526" s="1413"/>
      <c r="AF526" s="1413"/>
      <c r="AG526" s="65" t="s">
        <v>438</v>
      </c>
      <c r="AH526" s="1221"/>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6"/>
      <c r="C527" s="1477"/>
      <c r="D527" s="1477"/>
      <c r="E527" s="1477"/>
      <c r="F527" s="1477"/>
      <c r="G527" s="1477"/>
      <c r="H527" s="1478"/>
      <c r="I527" s="80" t="s">
        <v>457</v>
      </c>
      <c r="J527" s="80"/>
      <c r="K527" s="80"/>
      <c r="L527" s="80"/>
      <c r="M527" s="80"/>
      <c r="N527" s="80"/>
      <c r="O527" s="80"/>
      <c r="P527" s="80"/>
      <c r="Q527" s="80"/>
      <c r="R527" s="80"/>
      <c r="S527" s="80"/>
      <c r="T527" s="80"/>
      <c r="U527" s="80"/>
      <c r="V527" s="80"/>
      <c r="W527" s="80"/>
      <c r="X527" s="80"/>
      <c r="Y527" s="80"/>
      <c r="Z527" s="80"/>
      <c r="AA527" s="80"/>
      <c r="AB527" s="80"/>
      <c r="AC527" s="1454" t="s">
        <v>641</v>
      </c>
      <c r="AD527" s="1413"/>
      <c r="AE527" s="1413"/>
      <c r="AF527" s="1413"/>
      <c r="AG527" s="75" t="s">
        <v>438</v>
      </c>
      <c r="AH527" s="1221"/>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6"/>
      <c r="C528" s="1477"/>
      <c r="D528" s="1477"/>
      <c r="E528" s="1477"/>
      <c r="F528" s="1477"/>
      <c r="G528" s="1477"/>
      <c r="H528" s="1478"/>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4" t="s">
        <v>641</v>
      </c>
      <c r="AD528" s="1413"/>
      <c r="AE528" s="1413"/>
      <c r="AF528" s="1413"/>
      <c r="AG528" s="65" t="s">
        <v>438</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6"/>
      <c r="C529" s="1477"/>
      <c r="D529" s="1477"/>
      <c r="E529" s="1477"/>
      <c r="F529" s="1477"/>
      <c r="G529" s="1477"/>
      <c r="H529" s="1478"/>
      <c r="I529" s="25" t="s">
        <v>456</v>
      </c>
      <c r="J529" s="25"/>
      <c r="K529" s="25"/>
      <c r="L529" s="25"/>
      <c r="M529" s="25"/>
      <c r="N529" s="25"/>
      <c r="O529" s="25"/>
      <c r="P529" s="25"/>
      <c r="Q529" s="25"/>
      <c r="R529" s="25"/>
      <c r="S529" s="25"/>
      <c r="T529" s="25"/>
      <c r="U529" s="25"/>
      <c r="V529" s="25"/>
      <c r="W529" s="25"/>
      <c r="X529" s="25"/>
      <c r="Y529" s="25"/>
      <c r="AC529" s="1454" t="s">
        <v>641</v>
      </c>
      <c r="AD529" s="1413"/>
      <c r="AE529" s="1413"/>
      <c r="AF529" s="1413"/>
      <c r="AG529" s="75" t="s">
        <v>438</v>
      </c>
      <c r="AH529" s="1221"/>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6"/>
      <c r="C530" s="1477"/>
      <c r="D530" s="1477"/>
      <c r="E530" s="1477"/>
      <c r="F530" s="1477"/>
      <c r="G530" s="1477"/>
      <c r="H530" s="1478"/>
      <c r="I530" s="80" t="s">
        <v>457</v>
      </c>
      <c r="J530" s="80"/>
      <c r="K530" s="80"/>
      <c r="L530" s="80"/>
      <c r="M530" s="80"/>
      <c r="N530" s="80"/>
      <c r="O530" s="80"/>
      <c r="P530" s="80"/>
      <c r="Q530" s="80"/>
      <c r="R530" s="80"/>
      <c r="S530" s="80"/>
      <c r="T530" s="80"/>
      <c r="U530" s="80"/>
      <c r="V530" s="80"/>
      <c r="W530" s="80"/>
      <c r="X530" s="80"/>
      <c r="Y530" s="80"/>
      <c r="Z530" s="80"/>
      <c r="AA530" s="80"/>
      <c r="AB530" s="80"/>
      <c r="AC530" s="1454" t="s">
        <v>641</v>
      </c>
      <c r="AD530" s="1413"/>
      <c r="AE530" s="1413"/>
      <c r="AF530" s="1413"/>
      <c r="AG530" s="65" t="s">
        <v>438</v>
      </c>
      <c r="AH530" s="1221"/>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6"/>
      <c r="C531" s="1477"/>
      <c r="D531" s="1477"/>
      <c r="E531" s="1477"/>
      <c r="F531" s="1477"/>
      <c r="G531" s="1477"/>
      <c r="H531" s="1478"/>
      <c r="I531" s="72" t="s">
        <v>610</v>
      </c>
      <c r="J531" s="72"/>
      <c r="K531" s="72"/>
      <c r="L531" s="72"/>
      <c r="M531" s="72"/>
      <c r="N531" s="72"/>
      <c r="O531" s="72"/>
      <c r="P531" s="72"/>
      <c r="Q531" s="72"/>
      <c r="R531" s="72"/>
      <c r="S531" s="72"/>
      <c r="T531" s="72"/>
      <c r="U531" s="72"/>
      <c r="V531" s="72"/>
      <c r="W531" s="72"/>
      <c r="X531" s="25"/>
      <c r="Y531" s="25"/>
      <c r="AC531" s="1454" t="s">
        <v>641</v>
      </c>
      <c r="AD531" s="1413"/>
      <c r="AE531" s="1413"/>
      <c r="AF531" s="1413"/>
      <c r="AG531" s="65" t="s">
        <v>438</v>
      </c>
      <c r="AH531" s="1221"/>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6"/>
      <c r="C532" s="1477"/>
      <c r="D532" s="1477"/>
      <c r="E532" s="1477"/>
      <c r="F532" s="1477"/>
      <c r="G532" s="1477"/>
      <c r="H532" s="1478"/>
      <c r="I532" s="25" t="s">
        <v>611</v>
      </c>
      <c r="J532" s="25"/>
      <c r="K532" s="25"/>
      <c r="L532" s="25"/>
      <c r="M532" s="25"/>
      <c r="N532" s="25"/>
      <c r="O532" s="25"/>
      <c r="P532" s="25"/>
      <c r="Q532" s="25"/>
      <c r="R532" s="25"/>
      <c r="S532" s="25"/>
      <c r="T532" s="25"/>
      <c r="U532" s="25"/>
      <c r="V532" s="25"/>
      <c r="W532" s="25"/>
      <c r="X532" s="25"/>
      <c r="Y532" s="25"/>
      <c r="AC532" s="1454" t="s">
        <v>641</v>
      </c>
      <c r="AD532" s="1413"/>
      <c r="AE532" s="1413"/>
      <c r="AF532" s="1413"/>
      <c r="AG532" s="75" t="s">
        <v>438</v>
      </c>
      <c r="AH532" s="1221"/>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6"/>
      <c r="C533" s="1477"/>
      <c r="D533" s="1477"/>
      <c r="E533" s="1477"/>
      <c r="F533" s="1477"/>
      <c r="G533" s="1477"/>
      <c r="H533" s="1478"/>
      <c r="I533" s="25" t="s">
        <v>612</v>
      </c>
      <c r="J533" s="25"/>
      <c r="K533" s="25"/>
      <c r="L533" s="25"/>
      <c r="M533" s="25"/>
      <c r="N533" s="25"/>
      <c r="O533" s="25"/>
      <c r="P533" s="25"/>
      <c r="Q533" s="25"/>
      <c r="R533" s="25"/>
      <c r="S533" s="25"/>
      <c r="T533" s="25"/>
      <c r="U533" s="25"/>
      <c r="V533" s="25"/>
      <c r="W533" s="25"/>
      <c r="X533" s="25"/>
      <c r="Y533" s="25"/>
      <c r="AC533" s="1454" t="s">
        <v>641</v>
      </c>
      <c r="AD533" s="1413"/>
      <c r="AE533" s="1413"/>
      <c r="AF533" s="1413"/>
      <c r="AG533" s="65" t="s">
        <v>438</v>
      </c>
      <c r="AH533" s="1221"/>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6"/>
      <c r="C534" s="1477"/>
      <c r="D534" s="1477"/>
      <c r="E534" s="1477"/>
      <c r="F534" s="1477"/>
      <c r="G534" s="1477"/>
      <c r="H534" s="1478"/>
      <c r="I534" s="25" t="s">
        <v>613</v>
      </c>
      <c r="J534" s="25"/>
      <c r="K534" s="25"/>
      <c r="L534" s="25"/>
      <c r="M534" s="25"/>
      <c r="N534" s="25"/>
      <c r="O534" s="25"/>
      <c r="P534" s="25"/>
      <c r="Q534" s="25"/>
      <c r="R534" s="25"/>
      <c r="S534" s="25"/>
      <c r="T534" s="25"/>
      <c r="U534" s="25"/>
      <c r="V534" s="25"/>
      <c r="W534" s="25"/>
      <c r="X534" s="25"/>
      <c r="Y534" s="25"/>
      <c r="AC534" s="1454" t="s">
        <v>641</v>
      </c>
      <c r="AD534" s="1413"/>
      <c r="AE534" s="1413"/>
      <c r="AF534" s="1413"/>
      <c r="AG534" s="65" t="s">
        <v>438</v>
      </c>
      <c r="AH534" s="1221"/>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9"/>
      <c r="C535" s="1480"/>
      <c r="D535" s="1480"/>
      <c r="E535" s="1480"/>
      <c r="F535" s="1480"/>
      <c r="G535" s="1480"/>
      <c r="H535" s="1481"/>
      <c r="I535" s="80" t="s">
        <v>495</v>
      </c>
      <c r="J535" s="80"/>
      <c r="K535" s="80"/>
      <c r="L535" s="80"/>
      <c r="M535" s="80"/>
      <c r="N535" s="80"/>
      <c r="O535" s="80"/>
      <c r="P535" s="80"/>
      <c r="Q535" s="80"/>
      <c r="R535" s="80"/>
      <c r="S535" s="80"/>
      <c r="T535" s="80"/>
      <c r="U535" s="80"/>
      <c r="V535" s="80"/>
      <c r="W535" s="80"/>
      <c r="X535" s="80"/>
      <c r="Y535" s="80"/>
      <c r="Z535" s="80"/>
      <c r="AA535" s="80"/>
      <c r="AB535" s="80"/>
      <c r="AC535" s="1454" t="s">
        <v>641</v>
      </c>
      <c r="AD535" s="1413"/>
      <c r="AE535" s="1413"/>
      <c r="AF535" s="1413"/>
      <c r="AG535" s="65" t="s">
        <v>438</v>
      </c>
      <c r="AH535" s="1221"/>
      <c r="AI535" s="1221"/>
      <c r="AJ535" s="1221"/>
      <c r="AK535" s="1222"/>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589</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5" t="s">
        <v>497</v>
      </c>
      <c r="C544" s="1456"/>
      <c r="D544" s="1456"/>
      <c r="E544" s="1456"/>
      <c r="F544" s="1456"/>
      <c r="G544" s="1456"/>
      <c r="H544" s="1456"/>
      <c r="I544" s="1456"/>
      <c r="J544" s="1456"/>
      <c r="K544" s="1456"/>
      <c r="L544" s="1456"/>
      <c r="M544" s="1456"/>
      <c r="N544" s="1456"/>
      <c r="O544" s="1457"/>
      <c r="P544" s="1455" t="s">
        <v>346</v>
      </c>
      <c r="Q544" s="1456"/>
      <c r="R544" s="1456"/>
      <c r="S544" s="1456"/>
      <c r="T544" s="1457"/>
      <c r="U544" s="1455" t="s">
        <v>498</v>
      </c>
      <c r="V544" s="1456"/>
      <c r="W544" s="1456"/>
      <c r="X544" s="1456"/>
      <c r="Y544" s="1457"/>
      <c r="Z544" s="1510" t="s">
        <v>1424</v>
      </c>
      <c r="AA544" s="1511"/>
      <c r="AB544" s="1511"/>
      <c r="AC544" s="1511"/>
      <c r="AD544" s="1512"/>
      <c r="AE544" s="1455" t="s">
        <v>499</v>
      </c>
      <c r="AF544" s="1456"/>
      <c r="AG544" s="1456"/>
      <c r="AH544" s="1456"/>
      <c r="AI544" s="1456"/>
      <c r="AJ544" s="1456"/>
      <c r="AK544" s="145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3" t="s">
        <v>1747</v>
      </c>
      <c r="D545" s="1100"/>
      <c r="E545" s="1100"/>
      <c r="F545" s="1100"/>
      <c r="G545" s="1100"/>
      <c r="H545" s="1100"/>
      <c r="I545" s="1100"/>
      <c r="J545" s="1100"/>
      <c r="K545" s="1100"/>
      <c r="L545" s="1100"/>
      <c r="M545" s="1100"/>
      <c r="N545" s="1100"/>
      <c r="O545" s="1224"/>
      <c r="P545" s="1220">
        <v>480</v>
      </c>
      <c r="Q545" s="1221"/>
      <c r="R545" s="1221"/>
      <c r="S545" s="1221"/>
      <c r="T545" s="1222"/>
      <c r="U545" s="1422">
        <v>3.4000000000000002E-2</v>
      </c>
      <c r="V545" s="1423"/>
      <c r="W545" s="1423"/>
      <c r="X545" s="1423"/>
      <c r="Y545" s="1424"/>
      <c r="Z545" s="1218" t="s">
        <v>1752</v>
      </c>
      <c r="AA545" s="1218"/>
      <c r="AB545" s="1218"/>
      <c r="AC545" s="1218"/>
      <c r="AD545" s="1219"/>
      <c r="AE545" s="1138">
        <v>85000000</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3" t="s">
        <v>1768</v>
      </c>
      <c r="D546" s="1100"/>
      <c r="E546" s="1100"/>
      <c r="F546" s="1100"/>
      <c r="G546" s="1100"/>
      <c r="H546" s="1100"/>
      <c r="I546" s="1100"/>
      <c r="J546" s="1100"/>
      <c r="K546" s="1100"/>
      <c r="L546" s="1100"/>
      <c r="M546" s="1100"/>
      <c r="N546" s="1100"/>
      <c r="O546" s="1224"/>
      <c r="P546" s="1220">
        <v>480</v>
      </c>
      <c r="Q546" s="1221"/>
      <c r="R546" s="1221"/>
      <c r="S546" s="1221"/>
      <c r="T546" s="1222"/>
      <c r="U546" s="1422">
        <v>0.04</v>
      </c>
      <c r="V546" s="1423"/>
      <c r="W546" s="1423"/>
      <c r="X546" s="1423"/>
      <c r="Y546" s="1424"/>
      <c r="Z546" s="1218" t="s">
        <v>1752</v>
      </c>
      <c r="AA546" s="1218"/>
      <c r="AB546" s="1218"/>
      <c r="AC546" s="1218"/>
      <c r="AD546" s="1219"/>
      <c r="AE546" s="1138">
        <v>15000000</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3" t="s">
        <v>1748</v>
      </c>
      <c r="D547" s="1100"/>
      <c r="E547" s="1100"/>
      <c r="F547" s="1100"/>
      <c r="G547" s="1100"/>
      <c r="H547" s="1100"/>
      <c r="I547" s="1100"/>
      <c r="J547" s="1100"/>
      <c r="K547" s="1100"/>
      <c r="L547" s="1100"/>
      <c r="M547" s="1100"/>
      <c r="N547" s="1100"/>
      <c r="O547" s="1224"/>
      <c r="P547" s="1220"/>
      <c r="Q547" s="1221"/>
      <c r="R547" s="1221"/>
      <c r="S547" s="1221"/>
      <c r="T547" s="1222"/>
      <c r="U547" s="1422"/>
      <c r="V547" s="1423"/>
      <c r="W547" s="1423"/>
      <c r="X547" s="1423"/>
      <c r="Y547" s="1424"/>
      <c r="Z547" s="1218" t="s">
        <v>1425</v>
      </c>
      <c r="AA547" s="1218"/>
      <c r="AB547" s="1218"/>
      <c r="AC547" s="1218"/>
      <c r="AD547" s="1219"/>
      <c r="AE547" s="1138">
        <v>18763001</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3" t="s">
        <v>1749</v>
      </c>
      <c r="D548" s="1100"/>
      <c r="E548" s="1100"/>
      <c r="F548" s="1100"/>
      <c r="G548" s="1100"/>
      <c r="H548" s="1100"/>
      <c r="I548" s="1100"/>
      <c r="J548" s="1100"/>
      <c r="K548" s="1100"/>
      <c r="L548" s="1100"/>
      <c r="M548" s="1100"/>
      <c r="N548" s="1100"/>
      <c r="O548" s="1224"/>
      <c r="P548" s="1220">
        <v>204</v>
      </c>
      <c r="Q548" s="1221"/>
      <c r="R548" s="1221"/>
      <c r="S548" s="1221"/>
      <c r="T548" s="1222"/>
      <c r="U548" s="1422" t="s">
        <v>1751</v>
      </c>
      <c r="V548" s="1423"/>
      <c r="W548" s="1423"/>
      <c r="X548" s="1423"/>
      <c r="Y548" s="1424"/>
      <c r="Z548" s="1218" t="s">
        <v>1425</v>
      </c>
      <c r="AA548" s="1218"/>
      <c r="AB548" s="1218"/>
      <c r="AC548" s="1218"/>
      <c r="AD548" s="1219"/>
      <c r="AE548" s="1138">
        <f>18509232</f>
        <v>18509232</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3" t="s">
        <v>1750</v>
      </c>
      <c r="D549" s="1100"/>
      <c r="E549" s="1100"/>
      <c r="F549" s="1100"/>
      <c r="G549" s="1100"/>
      <c r="H549" s="1100"/>
      <c r="I549" s="1100"/>
      <c r="J549" s="1100"/>
      <c r="K549" s="1100"/>
      <c r="L549" s="1100"/>
      <c r="M549" s="1100"/>
      <c r="N549" s="1100"/>
      <c r="O549" s="1224"/>
      <c r="P549" s="1220"/>
      <c r="Q549" s="1221"/>
      <c r="R549" s="1221"/>
      <c r="S549" s="1221"/>
      <c r="T549" s="1222"/>
      <c r="U549" s="1422"/>
      <c r="V549" s="1423"/>
      <c r="W549" s="1423"/>
      <c r="X549" s="1423"/>
      <c r="Y549" s="1424"/>
      <c r="Z549" s="1218" t="s">
        <v>1425</v>
      </c>
      <c r="AA549" s="1218"/>
      <c r="AB549" s="1218"/>
      <c r="AC549" s="1218"/>
      <c r="AD549" s="1219"/>
      <c r="AE549" s="1138">
        <f>AG632-SUM(AE545:AK548)</f>
        <v>15268286</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0"/>
      <c r="D550" s="1100"/>
      <c r="E550" s="1100"/>
      <c r="F550" s="1100"/>
      <c r="G550" s="1100"/>
      <c r="H550" s="1100"/>
      <c r="I550" s="1100"/>
      <c r="J550" s="1100"/>
      <c r="K550" s="1100"/>
      <c r="L550" s="1100"/>
      <c r="M550" s="1100"/>
      <c r="N550" s="1100"/>
      <c r="O550" s="1224"/>
      <c r="P550" s="1220"/>
      <c r="Q550" s="1221"/>
      <c r="R550" s="1221"/>
      <c r="S550" s="1221"/>
      <c r="T550" s="1222"/>
      <c r="U550" s="1422"/>
      <c r="V550" s="1423"/>
      <c r="W550" s="1423"/>
      <c r="X550" s="1423"/>
      <c r="Y550" s="1424"/>
      <c r="Z550" s="1218" t="s">
        <v>1425</v>
      </c>
      <c r="AA550" s="1218"/>
      <c r="AB550" s="1218"/>
      <c r="AC550" s="1218"/>
      <c r="AD550" s="1219"/>
      <c r="AE550" s="1138"/>
      <c r="AF550" s="1139"/>
      <c r="AG550" s="1139"/>
      <c r="AH550" s="1139"/>
      <c r="AI550" s="1139"/>
      <c r="AJ550" s="1139"/>
      <c r="AK550" s="1140"/>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0"/>
      <c r="D551" s="1100"/>
      <c r="E551" s="1100"/>
      <c r="F551" s="1100"/>
      <c r="G551" s="1100"/>
      <c r="H551" s="1100"/>
      <c r="I551" s="1100"/>
      <c r="J551" s="1100"/>
      <c r="K551" s="1100"/>
      <c r="L551" s="1100"/>
      <c r="M551" s="1100"/>
      <c r="N551" s="1100"/>
      <c r="O551" s="1224"/>
      <c r="P551" s="1220"/>
      <c r="Q551" s="1221"/>
      <c r="R551" s="1221"/>
      <c r="S551" s="1221"/>
      <c r="T551" s="1222"/>
      <c r="U551" s="1422"/>
      <c r="V551" s="1423"/>
      <c r="W551" s="1423"/>
      <c r="X551" s="1423"/>
      <c r="Y551" s="1424"/>
      <c r="Z551" s="1218" t="s">
        <v>1425</v>
      </c>
      <c r="AA551" s="1218"/>
      <c r="AB551" s="1218"/>
      <c r="AC551" s="1218"/>
      <c r="AD551" s="1219"/>
      <c r="AE551" s="1138"/>
      <c r="AF551" s="1139"/>
      <c r="AG551" s="1139"/>
      <c r="AH551" s="1139"/>
      <c r="AI551" s="1139"/>
      <c r="AJ551" s="1139"/>
      <c r="AK551" s="1140"/>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0"/>
      <c r="D552" s="1100"/>
      <c r="E552" s="1100"/>
      <c r="F552" s="1100"/>
      <c r="G552" s="1100"/>
      <c r="H552" s="1100"/>
      <c r="I552" s="1100"/>
      <c r="J552" s="1100"/>
      <c r="K552" s="1100"/>
      <c r="L552" s="1100"/>
      <c r="M552" s="1100"/>
      <c r="N552" s="1100"/>
      <c r="O552" s="1224"/>
      <c r="P552" s="1220"/>
      <c r="Q552" s="1221"/>
      <c r="R552" s="1221"/>
      <c r="S552" s="1221"/>
      <c r="T552" s="1222"/>
      <c r="U552" s="1422"/>
      <c r="V552" s="1423"/>
      <c r="W552" s="1423"/>
      <c r="X552" s="1423"/>
      <c r="Y552" s="1424"/>
      <c r="Z552" s="1218" t="s">
        <v>1425</v>
      </c>
      <c r="AA552" s="1218"/>
      <c r="AB552" s="1218"/>
      <c r="AC552" s="1218"/>
      <c r="AD552" s="1219"/>
      <c r="AE552" s="1138"/>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c r="D553" s="1100"/>
      <c r="E553" s="1100"/>
      <c r="F553" s="1100"/>
      <c r="G553" s="1100"/>
      <c r="H553" s="1100"/>
      <c r="I553" s="1100"/>
      <c r="J553" s="1100"/>
      <c r="K553" s="1100"/>
      <c r="L553" s="1100"/>
      <c r="M553" s="1100"/>
      <c r="N553" s="1100"/>
      <c r="O553" s="1224"/>
      <c r="P553" s="1220"/>
      <c r="Q553" s="1221"/>
      <c r="R553" s="1221"/>
      <c r="S553" s="1221"/>
      <c r="T553" s="1222"/>
      <c r="U553" s="1422"/>
      <c r="V553" s="1423"/>
      <c r="W553" s="1423"/>
      <c r="X553" s="1423"/>
      <c r="Y553" s="1424"/>
      <c r="Z553" s="1218" t="s">
        <v>1425</v>
      </c>
      <c r="AA553" s="1218"/>
      <c r="AB553" s="1218"/>
      <c r="AC553" s="1218"/>
      <c r="AD553" s="1219"/>
      <c r="AE553" s="1138"/>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0"/>
      <c r="D554" s="1100"/>
      <c r="E554" s="1100"/>
      <c r="F554" s="1100"/>
      <c r="G554" s="1100"/>
      <c r="H554" s="1100"/>
      <c r="I554" s="1100"/>
      <c r="J554" s="1100"/>
      <c r="K554" s="1100"/>
      <c r="L554" s="1100"/>
      <c r="M554" s="1100"/>
      <c r="N554" s="1100"/>
      <c r="O554" s="1224"/>
      <c r="P554" s="1220"/>
      <c r="Q554" s="1221"/>
      <c r="R554" s="1221"/>
      <c r="S554" s="1221"/>
      <c r="T554" s="1222"/>
      <c r="U554" s="1422"/>
      <c r="V554" s="1423"/>
      <c r="W554" s="1423"/>
      <c r="X554" s="1423"/>
      <c r="Y554" s="1424"/>
      <c r="Z554" s="1218" t="s">
        <v>1425</v>
      </c>
      <c r="AA554" s="1218"/>
      <c r="AB554" s="1218"/>
      <c r="AC554" s="1218"/>
      <c r="AD554" s="1219"/>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4"/>
      <c r="P555" s="1220"/>
      <c r="Q555" s="1221"/>
      <c r="R555" s="1221"/>
      <c r="S555" s="1221"/>
      <c r="T555" s="1222"/>
      <c r="U555" s="1422"/>
      <c r="V555" s="1423"/>
      <c r="W555" s="1423"/>
      <c r="X555" s="1423"/>
      <c r="Y555" s="1424"/>
      <c r="Z555" s="1218" t="s">
        <v>1425</v>
      </c>
      <c r="AA555" s="1218"/>
      <c r="AB555" s="1218"/>
      <c r="AC555" s="1218"/>
      <c r="AD555" s="1219"/>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4"/>
      <c r="P556" s="1220"/>
      <c r="Q556" s="1221"/>
      <c r="R556" s="1221"/>
      <c r="S556" s="1221"/>
      <c r="T556" s="1222"/>
      <c r="U556" s="1422"/>
      <c r="V556" s="1423"/>
      <c r="W556" s="1423"/>
      <c r="X556" s="1423"/>
      <c r="Y556" s="1424"/>
      <c r="Z556" s="1218" t="s">
        <v>1425</v>
      </c>
      <c r="AA556" s="1218"/>
      <c r="AB556" s="1218"/>
      <c r="AC556" s="1218"/>
      <c r="AD556" s="1219"/>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152540519</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7" t="str">
        <f>C545</f>
        <v>Citibank (Tax Exempt Bonds)</v>
      </c>
      <c r="H559" s="1097"/>
      <c r="I559" s="1097"/>
      <c r="J559" s="1097"/>
      <c r="K559" s="1097"/>
      <c r="L559" s="1097"/>
      <c r="M559" s="1097"/>
      <c r="N559" s="1097"/>
      <c r="O559" s="1097"/>
      <c r="P559" s="1097"/>
      <c r="Q559" s="1097"/>
      <c r="R559" s="1097"/>
      <c r="S559" s="14"/>
      <c r="T559" s="87" t="s">
        <v>120</v>
      </c>
      <c r="U559" s="12" t="s">
        <v>509</v>
      </c>
      <c r="Z559" s="1097" t="str">
        <f>C546</f>
        <v>Citibank (Taxable Bonds)- Construction</v>
      </c>
      <c r="AA559" s="1097"/>
      <c r="AB559" s="1097"/>
      <c r="AC559" s="1097"/>
      <c r="AD559" s="1097"/>
      <c r="AE559" s="1097"/>
      <c r="AF559" s="1097"/>
      <c r="AG559" s="1097"/>
      <c r="AH559" s="1097"/>
      <c r="AI559" s="1097"/>
      <c r="AJ559" s="1097"/>
      <c r="AK559" s="109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1753</v>
      </c>
      <c r="H560" s="1095"/>
      <c r="I560" s="1095"/>
      <c r="J560" s="1095"/>
      <c r="K560" s="1095"/>
      <c r="L560" s="1095"/>
      <c r="M560" s="1095"/>
      <c r="N560" s="1095"/>
      <c r="O560" s="1095"/>
      <c r="P560" s="1095"/>
      <c r="Q560" s="1095"/>
      <c r="R560" s="1095"/>
      <c r="S560" s="14"/>
      <c r="T560" s="35"/>
      <c r="U560" s="12" t="s">
        <v>92</v>
      </c>
      <c r="Z560" s="1095" t="str">
        <f>G560</f>
        <v>1801 California Street, Suite 3700</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5" t="s">
        <v>1754</v>
      </c>
      <c r="H561" s="1095"/>
      <c r="I561" s="1095"/>
      <c r="J561" s="1095"/>
      <c r="K561" s="1095"/>
      <c r="L561" s="1095"/>
      <c r="M561" s="1095"/>
      <c r="N561" s="1095"/>
      <c r="O561" s="1095"/>
      <c r="P561" s="1095"/>
      <c r="Q561" s="1095"/>
      <c r="R561" s="1095"/>
      <c r="S561" s="88"/>
      <c r="T561" s="35"/>
      <c r="U561" s="12" t="s">
        <v>630</v>
      </c>
      <c r="Z561" s="1117" t="str">
        <f>G561</f>
        <v>Denver, CO 80202</v>
      </c>
      <c r="AA561" s="1117"/>
      <c r="AB561" s="1117"/>
      <c r="AC561" s="1117"/>
      <c r="AD561" s="1117"/>
      <c r="AE561" s="1117"/>
      <c r="AF561" s="1117"/>
      <c r="AG561" s="1117"/>
      <c r="AH561" s="1117"/>
      <c r="AI561" s="1117"/>
      <c r="AJ561" s="1117"/>
      <c r="AK561" s="111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1755</v>
      </c>
      <c r="H562" s="1095"/>
      <c r="I562" s="1095"/>
      <c r="J562" s="1095"/>
      <c r="K562" s="1095"/>
      <c r="L562" s="1095"/>
      <c r="M562" s="1095"/>
      <c r="N562" s="1095"/>
      <c r="O562" s="1095"/>
      <c r="P562" s="1095"/>
      <c r="Q562" s="1095"/>
      <c r="R562" s="1095"/>
      <c r="S562" s="14"/>
      <c r="T562" s="35"/>
      <c r="U562" s="12" t="s">
        <v>19</v>
      </c>
      <c r="Z562" s="1117" t="str">
        <f>G562</f>
        <v>Brian Dale</v>
      </c>
      <c r="AA562" s="1117"/>
      <c r="AB562" s="1117"/>
      <c r="AC562" s="1117"/>
      <c r="AD562" s="1117"/>
      <c r="AE562" s="1117"/>
      <c r="AF562" s="1117"/>
      <c r="AG562" s="1117"/>
      <c r="AH562" s="1117"/>
      <c r="AI562" s="1117"/>
      <c r="AJ562" s="1117"/>
      <c r="AK562" s="111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1756</v>
      </c>
      <c r="H563" s="1099"/>
      <c r="I563" s="1099"/>
      <c r="J563" s="1099"/>
      <c r="K563" s="1099"/>
      <c r="L563" s="1099"/>
      <c r="O563" s="140" t="s">
        <v>220</v>
      </c>
      <c r="P563" s="1100"/>
      <c r="Q563" s="1100"/>
      <c r="R563" s="1100"/>
      <c r="S563" s="16"/>
      <c r="T563" s="35"/>
      <c r="U563" s="12" t="s">
        <v>338</v>
      </c>
      <c r="Z563" s="1099" t="str">
        <f>G563</f>
        <v>303-824-6406</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1757</v>
      </c>
      <c r="I564" s="1095"/>
      <c r="J564" s="1095"/>
      <c r="K564" s="1095"/>
      <c r="L564" s="1095"/>
      <c r="M564" s="1095"/>
      <c r="N564" s="1095"/>
      <c r="O564" s="1095"/>
      <c r="P564" s="1095"/>
      <c r="Q564" s="1095"/>
      <c r="R564" s="1095"/>
      <c r="S564" s="14"/>
      <c r="T564" s="35"/>
      <c r="U564" s="12" t="s">
        <v>20</v>
      </c>
      <c r="AA564" s="1095" t="str">
        <f>H564</f>
        <v>Private Placement Fixed Rate</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5"/>
      <c r="N565" s="1515"/>
      <c r="O565" s="1515"/>
      <c r="P565" s="1515"/>
      <c r="Q565" s="1515"/>
      <c r="R565" s="1515"/>
      <c r="S565" s="14"/>
      <c r="T565" s="35"/>
      <c r="U565" s="530" t="s">
        <v>1426</v>
      </c>
      <c r="V565" s="743"/>
      <c r="W565" s="743"/>
      <c r="X565" s="743"/>
      <c r="Y565" s="743"/>
      <c r="Z565" s="743"/>
      <c r="AA565" s="14"/>
      <c r="AB565" s="14"/>
      <c r="AC565" s="14"/>
      <c r="AD565" s="14"/>
      <c r="AE565" s="14"/>
      <c r="AF565" s="1515"/>
      <c r="AG565" s="1515"/>
      <c r="AH565" s="1515"/>
      <c r="AI565" s="1515"/>
      <c r="AJ565" s="1515"/>
      <c r="AK565" s="151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722</v>
      </c>
      <c r="O566" s="1096"/>
      <c r="T566" s="35"/>
      <c r="U566" s="12" t="s">
        <v>22</v>
      </c>
      <c r="AG566" s="1096" t="s">
        <v>722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7" t="str">
        <f>C547</f>
        <v>Fairfield Affordable Housing Fund Tranche II</v>
      </c>
      <c r="H568" s="1097"/>
      <c r="I568" s="1097"/>
      <c r="J568" s="1097"/>
      <c r="K568" s="1097"/>
      <c r="L568" s="1097"/>
      <c r="M568" s="1097"/>
      <c r="N568" s="1097"/>
      <c r="O568" s="1097"/>
      <c r="P568" s="1097"/>
      <c r="Q568" s="1097"/>
      <c r="R568" s="1097"/>
      <c r="T568" s="87" t="s">
        <v>631</v>
      </c>
      <c r="U568" s="12" t="s">
        <v>509</v>
      </c>
      <c r="Z568" s="1097" t="str">
        <f>C548</f>
        <v>Deferred Developer Fee</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1660</v>
      </c>
      <c r="H569" s="1095"/>
      <c r="I569" s="1095"/>
      <c r="J569" s="1095"/>
      <c r="K569" s="1095"/>
      <c r="L569" s="1095"/>
      <c r="M569" s="1095"/>
      <c r="N569" s="1095"/>
      <c r="O569" s="1095"/>
      <c r="P569" s="1095"/>
      <c r="Q569" s="1095"/>
      <c r="R569" s="1095"/>
      <c r="T569" s="35"/>
      <c r="U569" s="12" t="s">
        <v>92</v>
      </c>
      <c r="Z569" s="1095" t="str">
        <f>G569</f>
        <v>5510 Morehouse Drive, Suite 200</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7" t="s">
        <v>1682</v>
      </c>
      <c r="H570" s="1117"/>
      <c r="I570" s="1117"/>
      <c r="J570" s="1117"/>
      <c r="K570" s="1117"/>
      <c r="L570" s="1117"/>
      <c r="M570" s="1117"/>
      <c r="N570" s="1117"/>
      <c r="O570" s="1117"/>
      <c r="P570" s="1117"/>
      <c r="Q570" s="1117"/>
      <c r="R570" s="1117"/>
      <c r="T570" s="35"/>
      <c r="U570" s="12" t="s">
        <v>630</v>
      </c>
      <c r="Z570" s="1117" t="str">
        <f>G570</f>
        <v>San Diego, CA 92121</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7" t="s">
        <v>1758</v>
      </c>
      <c r="H571" s="1117"/>
      <c r="I571" s="1117"/>
      <c r="J571" s="1117"/>
      <c r="K571" s="1117"/>
      <c r="L571" s="1117"/>
      <c r="M571" s="1117"/>
      <c r="N571" s="1117"/>
      <c r="O571" s="1117"/>
      <c r="P571" s="1117"/>
      <c r="Q571" s="1117"/>
      <c r="R571" s="1117"/>
      <c r="T571" s="35"/>
      <c r="U571" s="12" t="s">
        <v>19</v>
      </c>
      <c r="Z571" s="1117" t="str">
        <f>G571</f>
        <v>Paul Kudirka</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1759</v>
      </c>
      <c r="H572" s="1099"/>
      <c r="I572" s="1099"/>
      <c r="J572" s="1099"/>
      <c r="K572" s="1099"/>
      <c r="L572" s="1099"/>
      <c r="O572" s="140" t="s">
        <v>220</v>
      </c>
      <c r="P572" s="1100"/>
      <c r="Q572" s="1100"/>
      <c r="R572" s="1100"/>
      <c r="T572" s="35"/>
      <c r="U572" s="12" t="s">
        <v>338</v>
      </c>
      <c r="Z572" s="1099" t="str">
        <f>G572</f>
        <v>858-824-6406</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1760</v>
      </c>
      <c r="I573" s="1095"/>
      <c r="J573" s="1095"/>
      <c r="K573" s="1095"/>
      <c r="L573" s="1095"/>
      <c r="M573" s="1095"/>
      <c r="N573" s="1095"/>
      <c r="O573" s="1095"/>
      <c r="P573" s="1095"/>
      <c r="Q573" s="1095"/>
      <c r="R573" s="1095"/>
      <c r="T573" s="35"/>
      <c r="U573" s="12" t="s">
        <v>20</v>
      </c>
      <c r="AA573" s="1095" t="str">
        <f>H573</f>
        <v>Owner Equity</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722</v>
      </c>
      <c r="O574" s="1096"/>
      <c r="T574" s="35"/>
      <c r="U574" s="12" t="s">
        <v>22</v>
      </c>
      <c r="AG574" s="1096" t="s">
        <v>722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7" t="str">
        <f>C549</f>
        <v>Raymond James tax credit equity</v>
      </c>
      <c r="H576" s="1097"/>
      <c r="I576" s="1097"/>
      <c r="J576" s="1097"/>
      <c r="K576" s="1097"/>
      <c r="L576" s="1097"/>
      <c r="M576" s="1097"/>
      <c r="N576" s="1097"/>
      <c r="O576" s="1097"/>
      <c r="P576" s="1097"/>
      <c r="Q576" s="1097"/>
      <c r="R576" s="1097"/>
      <c r="T576" s="87" t="s">
        <v>634</v>
      </c>
      <c r="U576" s="12" t="s">
        <v>509</v>
      </c>
      <c r="Z576" s="1097">
        <f>C550</f>
        <v>0</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1724</v>
      </c>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5" t="s">
        <v>1761</v>
      </c>
      <c r="H578" s="1095"/>
      <c r="I578" s="1095"/>
      <c r="J578" s="1095"/>
      <c r="K578" s="1095"/>
      <c r="L578" s="1095"/>
      <c r="M578" s="1095"/>
      <c r="N578" s="1095"/>
      <c r="O578" s="1095"/>
      <c r="P578" s="1095"/>
      <c r="Q578" s="1095"/>
      <c r="R578" s="1095"/>
      <c r="T578" s="35"/>
      <c r="U578" s="12" t="s">
        <v>630</v>
      </c>
      <c r="Z578" s="1117"/>
      <c r="AA578" s="1117"/>
      <c r="AB578" s="1117"/>
      <c r="AC578" s="1117"/>
      <c r="AD578" s="1117"/>
      <c r="AE578" s="1117"/>
      <c r="AF578" s="1117"/>
      <c r="AG578" s="1117"/>
      <c r="AH578" s="1117"/>
      <c r="AI578" s="1117"/>
      <c r="AJ578" s="1117"/>
      <c r="AK578" s="111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1726</v>
      </c>
      <c r="H579" s="1095"/>
      <c r="I579" s="1095"/>
      <c r="J579" s="1095"/>
      <c r="K579" s="1095"/>
      <c r="L579" s="1095"/>
      <c r="M579" s="1095"/>
      <c r="N579" s="1095"/>
      <c r="O579" s="1095"/>
      <c r="P579" s="1095"/>
      <c r="Q579" s="1095"/>
      <c r="R579" s="1095"/>
      <c r="T579" s="35"/>
      <c r="U579" s="12" t="s">
        <v>19</v>
      </c>
      <c r="Z579" s="1117"/>
      <c r="AA579" s="1117"/>
      <c r="AB579" s="1117"/>
      <c r="AC579" s="1117"/>
      <c r="AD579" s="1117"/>
      <c r="AE579" s="1117"/>
      <c r="AF579" s="1117"/>
      <c r="AG579" s="1117"/>
      <c r="AH579" s="1117"/>
      <c r="AI579" s="1117"/>
      <c r="AJ579" s="1117"/>
      <c r="AK579" s="111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t="s">
        <v>1727</v>
      </c>
      <c r="H580" s="1099"/>
      <c r="I580" s="1099"/>
      <c r="J580" s="1099"/>
      <c r="K580" s="1099"/>
      <c r="L580" s="1099"/>
      <c r="O580" s="140" t="s">
        <v>220</v>
      </c>
      <c r="P580" s="1100"/>
      <c r="Q580" s="1100"/>
      <c r="R580" s="1100"/>
      <c r="T580" s="35"/>
      <c r="U580" s="12" t="s">
        <v>338</v>
      </c>
      <c r="Z580" s="1099"/>
      <c r="AA580" s="1099"/>
      <c r="AB580" s="1099"/>
      <c r="AC580" s="1099"/>
      <c r="AD580" s="1099"/>
      <c r="AE580" s="1099"/>
      <c r="AH580" s="140" t="s">
        <v>220</v>
      </c>
      <c r="AI580" s="1100"/>
      <c r="AJ580" s="1100"/>
      <c r="AK580" s="1100"/>
    </row>
    <row r="581" spans="1:112" ht="12.75">
      <c r="A581" s="35"/>
      <c r="B581" s="12" t="s">
        <v>20</v>
      </c>
      <c r="H581" s="1095" t="s">
        <v>1762</v>
      </c>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722</v>
      </c>
      <c r="O582" s="1096"/>
      <c r="T582" s="35"/>
      <c r="U582" s="12" t="s">
        <v>22</v>
      </c>
      <c r="AG582" s="1096" t="s">
        <v>722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7">
        <f>C551</f>
        <v>0</v>
      </c>
      <c r="H584" s="1097"/>
      <c r="I584" s="1097"/>
      <c r="J584" s="1097"/>
      <c r="K584" s="1097"/>
      <c r="L584" s="1097"/>
      <c r="M584" s="1097"/>
      <c r="N584" s="1097"/>
      <c r="O584" s="1097"/>
      <c r="P584" s="1097"/>
      <c r="Q584" s="1097"/>
      <c r="R584" s="1097"/>
      <c r="T584" s="87" t="s">
        <v>501</v>
      </c>
      <c r="U584" s="12" t="s">
        <v>509</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5"/>
      <c r="H586" s="1095"/>
      <c r="I586" s="1095"/>
      <c r="J586" s="1095"/>
      <c r="K586" s="1095"/>
      <c r="L586" s="1095"/>
      <c r="M586" s="1095"/>
      <c r="N586" s="1095"/>
      <c r="O586" s="1095"/>
      <c r="P586" s="1095"/>
      <c r="Q586" s="1095"/>
      <c r="R586" s="1095"/>
      <c r="S586" s="12"/>
      <c r="T586" s="35"/>
      <c r="U586" s="12" t="s">
        <v>630</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c r="H588" s="1099"/>
      <c r="I588" s="1099"/>
      <c r="J588" s="1099"/>
      <c r="K588" s="1099"/>
      <c r="L588" s="1099"/>
      <c r="M588" s="12"/>
      <c r="N588" s="12"/>
      <c r="O588" s="140" t="s">
        <v>220</v>
      </c>
      <c r="P588" s="1100"/>
      <c r="Q588" s="1100"/>
      <c r="R588" s="1100"/>
      <c r="S588" s="12"/>
      <c r="T588" s="35"/>
      <c r="U588" s="12" t="s">
        <v>338</v>
      </c>
      <c r="V588" s="12"/>
      <c r="W588" s="12"/>
      <c r="X588" s="12"/>
      <c r="Y588" s="12"/>
      <c r="Z588" s="1099"/>
      <c r="AA588" s="1099"/>
      <c r="AB588" s="1099"/>
      <c r="AC588" s="1099"/>
      <c r="AD588" s="1099"/>
      <c r="AE588" s="1099"/>
      <c r="AF588" s="12"/>
      <c r="AG588" s="12"/>
      <c r="AH588" s="140" t="s">
        <v>220</v>
      </c>
      <c r="AI588" s="1100"/>
      <c r="AJ588" s="1100"/>
      <c r="AK588" s="1100"/>
      <c r="AL588" s="12"/>
      <c r="AM588" s="7" t="s">
        <v>347</v>
      </c>
      <c r="AN588" s="58"/>
      <c r="AO588" s="58"/>
      <c r="AP588" s="58"/>
      <c r="AQ588" s="58"/>
      <c r="AR588" s="193" t="s">
        <v>520</v>
      </c>
      <c r="AS588" s="194"/>
      <c r="AT588" s="1130"/>
      <c r="AU588" s="1132"/>
      <c r="AV588" s="193" t="s">
        <v>521</v>
      </c>
      <c r="AW588" s="194"/>
      <c r="AX588" s="1130"/>
      <c r="AY588" s="1132"/>
      <c r="AZ588" s="58"/>
      <c r="BA588" s="1213" t="s">
        <v>683</v>
      </c>
      <c r="BB588" s="1214"/>
      <c r="BC588" s="1214"/>
      <c r="BD588" s="1214"/>
      <c r="BE588" s="1215"/>
      <c r="BF588" s="1199" t="s">
        <v>348</v>
      </c>
      <c r="BG588" s="1199"/>
      <c r="BH588" s="1199"/>
      <c r="BI588" s="1199"/>
      <c r="BJ588" s="1199"/>
      <c r="BK588" s="1199" t="s">
        <v>170</v>
      </c>
      <c r="BL588" s="1199"/>
      <c r="BM588" s="1199"/>
      <c r="BN588" s="1199"/>
      <c r="BO588" s="1199"/>
      <c r="BP588" s="1199" t="s">
        <v>171</v>
      </c>
      <c r="BQ588" s="1199"/>
      <c r="BR588" s="1199"/>
      <c r="BS588" s="1199"/>
      <c r="BT588" s="1199"/>
      <c r="BU588" s="1199" t="s">
        <v>506</v>
      </c>
      <c r="BV588" s="1199"/>
      <c r="BW588" s="1199"/>
      <c r="BX588" s="1199"/>
      <c r="BY588" s="1199"/>
      <c r="BZ588" s="1199" t="s">
        <v>33</v>
      </c>
      <c r="CA588" s="1199"/>
      <c r="CB588" s="1199"/>
      <c r="CC588" s="1199"/>
      <c r="CD588" s="1199"/>
      <c r="CE588" s="1199" t="s">
        <v>683</v>
      </c>
      <c r="CF588" s="1199"/>
      <c r="CG588" s="1199"/>
      <c r="CH588" s="1199"/>
      <c r="CI588" s="1199"/>
      <c r="CJ588" s="1199" t="s">
        <v>348</v>
      </c>
      <c r="CK588" s="1199"/>
      <c r="CL588" s="1199"/>
      <c r="CM588" s="1199"/>
      <c r="CN588" s="1199"/>
      <c r="CO588" s="1199" t="s">
        <v>170</v>
      </c>
      <c r="CP588" s="1199"/>
      <c r="CQ588" s="1199"/>
      <c r="CR588" s="1199"/>
      <c r="CS588" s="1199"/>
      <c r="CT588" s="1199" t="s">
        <v>171</v>
      </c>
      <c r="CU588" s="1199"/>
      <c r="CV588" s="1199"/>
      <c r="CW588" s="1199"/>
      <c r="CX588" s="1199"/>
      <c r="CY588" s="1199" t="s">
        <v>506</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3">
        <f t="shared" ref="AR589:AR613" si="0">IF(AND(AD709&lt;=0.5,AD709&gt;=0.36),1,0)</f>
        <v>1</v>
      </c>
      <c r="AS589" s="1514"/>
      <c r="AT589" s="1130">
        <f t="shared" ref="AT589:AT613" si="1">IF(AR589=1,G709,0)</f>
        <v>21</v>
      </c>
      <c r="AU589" s="1132"/>
      <c r="AV589" s="1513">
        <f t="shared" ref="AV589:AV613" si="2">IF(AND(AD709&lt;=0.35,AD709&gt;0),1,0)</f>
        <v>0</v>
      </c>
      <c r="AW589" s="1514"/>
      <c r="AX589" s="1130">
        <f t="shared" ref="AX589:AX613" si="3">IF(AV589=1,G709,0)</f>
        <v>0</v>
      </c>
      <c r="AY589" s="1132"/>
      <c r="AZ589" s="58"/>
      <c r="BA589" s="1130">
        <f t="shared" ref="BA589:BA613" si="4">IF(B709="SRO/Studio",G709,0)</f>
        <v>0</v>
      </c>
      <c r="BB589" s="1131"/>
      <c r="BC589" s="1131"/>
      <c r="BD589" s="1131"/>
      <c r="BE589" s="1132"/>
      <c r="BF589" s="1196">
        <f t="shared" ref="BF589:BF613" si="5">IF(B709="1 Bedroom",G709,0)</f>
        <v>21</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0</v>
      </c>
      <c r="CF589" s="1204"/>
      <c r="CG589" s="1204"/>
      <c r="CH589" s="1204"/>
      <c r="CI589" s="1204"/>
      <c r="CJ589" s="1204">
        <f t="shared" ref="CJ589:CJ613" si="11">IF(AND(B709="1 Bedroom",AD709&lt;=0.3),G709,0)</f>
        <v>0</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6" t="s">
        <v>722</v>
      </c>
      <c r="O590" s="1096"/>
      <c r="P590" s="12"/>
      <c r="Q590" s="12"/>
      <c r="R590" s="12"/>
      <c r="S590" s="12"/>
      <c r="T590" s="35"/>
      <c r="U590" s="12" t="s">
        <v>22</v>
      </c>
      <c r="V590" s="12"/>
      <c r="W590" s="12"/>
      <c r="X590" s="12"/>
      <c r="Y590" s="12"/>
      <c r="Z590" s="12"/>
      <c r="AA590" s="12"/>
      <c r="AB590" s="12"/>
      <c r="AC590" s="12"/>
      <c r="AD590" s="12"/>
      <c r="AE590" s="12"/>
      <c r="AF590" s="12"/>
      <c r="AG590" s="1096" t="s">
        <v>722</v>
      </c>
      <c r="AH590" s="1096"/>
      <c r="AI590" s="12"/>
      <c r="AJ590" s="12"/>
      <c r="AK590" s="12"/>
      <c r="AL590" s="12"/>
      <c r="AM590" s="7" t="s">
        <v>170</v>
      </c>
      <c r="AN590" s="58"/>
      <c r="AO590" s="58"/>
      <c r="AP590" s="58"/>
      <c r="AQ590" s="58"/>
      <c r="AR590" s="1513">
        <f t="shared" si="0"/>
        <v>0</v>
      </c>
      <c r="AS590" s="1514"/>
      <c r="AT590" s="1130">
        <f t="shared" si="1"/>
        <v>0</v>
      </c>
      <c r="AU590" s="1132"/>
      <c r="AV590" s="1513">
        <f t="shared" si="2"/>
        <v>0</v>
      </c>
      <c r="AW590" s="1514"/>
      <c r="AX590" s="1130">
        <f t="shared" si="3"/>
        <v>0</v>
      </c>
      <c r="AY590" s="1132"/>
      <c r="AZ590" s="58"/>
      <c r="BA590" s="1130">
        <f t="shared" si="4"/>
        <v>0</v>
      </c>
      <c r="BB590" s="1131"/>
      <c r="BC590" s="1131"/>
      <c r="BD590" s="1131"/>
      <c r="BE590" s="1132"/>
      <c r="BF590" s="1196">
        <f t="shared" si="5"/>
        <v>180</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13">
        <f t="shared" si="0"/>
        <v>1</v>
      </c>
      <c r="AS591" s="1514"/>
      <c r="AT591" s="1130">
        <f t="shared" si="1"/>
        <v>13</v>
      </c>
      <c r="AU591" s="1132"/>
      <c r="AV591" s="1513">
        <f t="shared" si="2"/>
        <v>0</v>
      </c>
      <c r="AW591" s="1514"/>
      <c r="AX591" s="1130">
        <f t="shared" si="3"/>
        <v>0</v>
      </c>
      <c r="AY591" s="1132"/>
      <c r="AZ591" s="58"/>
      <c r="BA591" s="1130">
        <f t="shared" si="4"/>
        <v>0</v>
      </c>
      <c r="BB591" s="1131"/>
      <c r="BC591" s="1131"/>
      <c r="BD591" s="1131"/>
      <c r="BE591" s="1132"/>
      <c r="BF591" s="1196">
        <f t="shared" si="5"/>
        <v>0</v>
      </c>
      <c r="BG591" s="1196"/>
      <c r="BH591" s="1196"/>
      <c r="BI591" s="1196"/>
      <c r="BJ591" s="1196"/>
      <c r="BK591" s="1196">
        <f t="shared" si="6"/>
        <v>13</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0</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507</v>
      </c>
      <c r="B592" s="12" t="s">
        <v>509</v>
      </c>
      <c r="G592" s="1097">
        <f>C553</f>
        <v>0</v>
      </c>
      <c r="H592" s="1097"/>
      <c r="I592" s="1097"/>
      <c r="J592" s="1097"/>
      <c r="K592" s="1097"/>
      <c r="L592" s="1097"/>
      <c r="M592" s="1097"/>
      <c r="N592" s="1097"/>
      <c r="O592" s="1097"/>
      <c r="P592" s="1097"/>
      <c r="Q592" s="1097"/>
      <c r="R592" s="1097"/>
      <c r="T592" s="87" t="s">
        <v>696</v>
      </c>
      <c r="U592" s="12" t="s">
        <v>509</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3">
        <f t="shared" si="0"/>
        <v>0</v>
      </c>
      <c r="AS592" s="1514"/>
      <c r="AT592" s="1130">
        <f t="shared" si="1"/>
        <v>0</v>
      </c>
      <c r="AU592" s="1132"/>
      <c r="AV592" s="1513">
        <f t="shared" si="2"/>
        <v>0</v>
      </c>
      <c r="AW592" s="1514"/>
      <c r="AX592" s="1130">
        <f t="shared" si="3"/>
        <v>0</v>
      </c>
      <c r="AY592" s="1132"/>
      <c r="AZ592" s="58"/>
      <c r="BA592" s="1130">
        <f t="shared" si="4"/>
        <v>0</v>
      </c>
      <c r="BB592" s="1131"/>
      <c r="BC592" s="1131"/>
      <c r="BD592" s="1131"/>
      <c r="BE592" s="1132"/>
      <c r="BF592" s="1196">
        <f t="shared" si="5"/>
        <v>0</v>
      </c>
      <c r="BG592" s="1196"/>
      <c r="BH592" s="1196"/>
      <c r="BI592" s="1196"/>
      <c r="BJ592" s="1196"/>
      <c r="BK592" s="1196">
        <f t="shared" si="6"/>
        <v>107</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0</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3">
        <f t="shared" si="0"/>
        <v>0</v>
      </c>
      <c r="AS593" s="1514"/>
      <c r="AT593" s="1130">
        <f t="shared" si="1"/>
        <v>0</v>
      </c>
      <c r="AU593" s="1132"/>
      <c r="AV593" s="1513">
        <f t="shared" si="2"/>
        <v>0</v>
      </c>
      <c r="AW593" s="1514"/>
      <c r="AX593" s="1130">
        <f t="shared" si="3"/>
        <v>0</v>
      </c>
      <c r="AY593" s="1132"/>
      <c r="AZ593" s="58"/>
      <c r="BA593" s="1130">
        <f t="shared" si="4"/>
        <v>0</v>
      </c>
      <c r="BB593" s="1131"/>
      <c r="BC593" s="1131"/>
      <c r="BD593" s="1131"/>
      <c r="BE593" s="1132"/>
      <c r="BF593" s="1196">
        <f t="shared" si="5"/>
        <v>0</v>
      </c>
      <c r="BG593" s="1196"/>
      <c r="BH593" s="1196"/>
      <c r="BI593" s="1196"/>
      <c r="BJ593" s="1196"/>
      <c r="BK593" s="1196">
        <f t="shared" si="6"/>
        <v>0</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0</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630</v>
      </c>
      <c r="G594" s="1095"/>
      <c r="H594" s="1095"/>
      <c r="I594" s="1095"/>
      <c r="J594" s="1095"/>
      <c r="K594" s="1095"/>
      <c r="L594" s="1095"/>
      <c r="M594" s="1095"/>
      <c r="N594" s="1095"/>
      <c r="O594" s="1095"/>
      <c r="P594" s="1095"/>
      <c r="Q594" s="1095"/>
      <c r="R594" s="1095"/>
      <c r="T594" s="35"/>
      <c r="U594" s="12" t="s">
        <v>630</v>
      </c>
      <c r="Z594" s="1117"/>
      <c r="AA594" s="1117"/>
      <c r="AB594" s="1117"/>
      <c r="AC594" s="1117"/>
      <c r="AD594" s="1117"/>
      <c r="AE594" s="1117"/>
      <c r="AF594" s="1117"/>
      <c r="AG594" s="1117"/>
      <c r="AH594" s="1117"/>
      <c r="AI594" s="1117"/>
      <c r="AJ594" s="1117"/>
      <c r="AK594" s="1117"/>
      <c r="AM594" s="58"/>
      <c r="AN594" s="58"/>
      <c r="AO594" s="58"/>
      <c r="AP594" s="58"/>
      <c r="AQ594" s="58"/>
      <c r="AR594" s="1513">
        <f t="shared" si="0"/>
        <v>0</v>
      </c>
      <c r="AS594" s="1514"/>
      <c r="AT594" s="1130">
        <f t="shared" si="1"/>
        <v>0</v>
      </c>
      <c r="AU594" s="1132"/>
      <c r="AV594" s="1513">
        <f t="shared" si="2"/>
        <v>0</v>
      </c>
      <c r="AW594" s="1514"/>
      <c r="AX594" s="1130">
        <f t="shared" si="3"/>
        <v>0</v>
      </c>
      <c r="AY594" s="1132"/>
      <c r="AZ594" s="58"/>
      <c r="BA594" s="1130">
        <f t="shared" si="4"/>
        <v>0</v>
      </c>
      <c r="BB594" s="1131"/>
      <c r="BC594" s="1131"/>
      <c r="BD594" s="1131"/>
      <c r="BE594" s="1132"/>
      <c r="BF594" s="1196">
        <f t="shared" si="5"/>
        <v>0</v>
      </c>
      <c r="BG594" s="1196"/>
      <c r="BH594" s="1196"/>
      <c r="BI594" s="1196"/>
      <c r="BJ594" s="1196"/>
      <c r="BK594" s="1196">
        <f t="shared" si="6"/>
        <v>0</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095"/>
      <c r="H595" s="1095"/>
      <c r="I595" s="1095"/>
      <c r="J595" s="1095"/>
      <c r="K595" s="1095"/>
      <c r="L595" s="1095"/>
      <c r="M595" s="1095"/>
      <c r="N595" s="1095"/>
      <c r="O595" s="1095"/>
      <c r="P595" s="1095"/>
      <c r="Q595" s="1095"/>
      <c r="R595" s="1095"/>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13">
        <f t="shared" si="0"/>
        <v>0</v>
      </c>
      <c r="AS595" s="1514"/>
      <c r="AT595" s="1130">
        <f t="shared" si="1"/>
        <v>0</v>
      </c>
      <c r="AU595" s="1132"/>
      <c r="AV595" s="1513">
        <f t="shared" si="2"/>
        <v>0</v>
      </c>
      <c r="AW595" s="1514"/>
      <c r="AX595" s="1130">
        <f t="shared" si="3"/>
        <v>0</v>
      </c>
      <c r="AY595" s="1132"/>
      <c r="AZ595" s="58"/>
      <c r="BA595" s="1130">
        <f t="shared" si="4"/>
        <v>0</v>
      </c>
      <c r="BB595" s="1131"/>
      <c r="BC595" s="1131"/>
      <c r="BD595" s="1131"/>
      <c r="BE595" s="1132"/>
      <c r="BF595" s="1196">
        <f t="shared" si="5"/>
        <v>0</v>
      </c>
      <c r="BG595" s="1196"/>
      <c r="BH595" s="1196"/>
      <c r="BI595" s="1196"/>
      <c r="BJ595" s="1196"/>
      <c r="BK595" s="1196">
        <f t="shared" si="6"/>
        <v>0</v>
      </c>
      <c r="BL595" s="1196"/>
      <c r="BM595" s="1196"/>
      <c r="BN595" s="1196"/>
      <c r="BO595" s="1196"/>
      <c r="BP595" s="1196">
        <f t="shared" si="7"/>
        <v>0</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0</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338</v>
      </c>
      <c r="G596" s="1099"/>
      <c r="H596" s="1099"/>
      <c r="I596" s="1099"/>
      <c r="J596" s="1099"/>
      <c r="K596" s="1099"/>
      <c r="L596" s="1099"/>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13">
        <f t="shared" si="0"/>
        <v>0</v>
      </c>
      <c r="AS596" s="1514"/>
      <c r="AT596" s="1130">
        <f t="shared" si="1"/>
        <v>0</v>
      </c>
      <c r="AU596" s="1132"/>
      <c r="AV596" s="1513">
        <f t="shared" si="2"/>
        <v>0</v>
      </c>
      <c r="AW596" s="1514"/>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0</v>
      </c>
      <c r="BL596" s="1196"/>
      <c r="BM596" s="1196"/>
      <c r="BN596" s="1196"/>
      <c r="BO596" s="1196"/>
      <c r="BP596" s="1196">
        <f t="shared" si="7"/>
        <v>0</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3">
        <f t="shared" si="0"/>
        <v>0</v>
      </c>
      <c r="AS597" s="1514"/>
      <c r="AT597" s="1130">
        <f t="shared" si="1"/>
        <v>0</v>
      </c>
      <c r="AU597" s="1132"/>
      <c r="AV597" s="1513">
        <f t="shared" si="2"/>
        <v>0</v>
      </c>
      <c r="AW597" s="1514"/>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0</v>
      </c>
      <c r="BL597" s="1196"/>
      <c r="BM597" s="1196"/>
      <c r="BN597" s="1196"/>
      <c r="BO597" s="1196"/>
      <c r="BP597" s="1196">
        <f t="shared" si="7"/>
        <v>0</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6" t="s">
        <v>722</v>
      </c>
      <c r="O598" s="1096"/>
      <c r="P598" s="12"/>
      <c r="Q598" s="12"/>
      <c r="R598" s="12"/>
      <c r="S598" s="12"/>
      <c r="T598" s="35"/>
      <c r="U598" s="12" t="s">
        <v>22</v>
      </c>
      <c r="V598" s="12"/>
      <c r="W598" s="12"/>
      <c r="X598" s="12"/>
      <c r="Y598" s="12"/>
      <c r="Z598" s="12"/>
      <c r="AA598" s="12"/>
      <c r="AB598" s="12"/>
      <c r="AC598" s="12"/>
      <c r="AD598" s="12"/>
      <c r="AE598" s="12"/>
      <c r="AF598" s="12"/>
      <c r="AG598" s="1096" t="s">
        <v>722</v>
      </c>
      <c r="AH598" s="1096"/>
      <c r="AI598" s="12"/>
      <c r="AJ598" s="12"/>
      <c r="AK598" s="12"/>
      <c r="AL598" s="12"/>
      <c r="AM598" s="58"/>
      <c r="AN598" s="58"/>
      <c r="AO598" s="58"/>
      <c r="AP598" s="58"/>
      <c r="AQ598" s="58"/>
      <c r="AR598" s="1513">
        <f t="shared" si="0"/>
        <v>0</v>
      </c>
      <c r="AS598" s="1514"/>
      <c r="AT598" s="1130">
        <f t="shared" si="1"/>
        <v>0</v>
      </c>
      <c r="AU598" s="1132"/>
      <c r="AV598" s="1513">
        <f t="shared" si="2"/>
        <v>0</v>
      </c>
      <c r="AW598" s="1514"/>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3">
        <f t="shared" si="0"/>
        <v>0</v>
      </c>
      <c r="AS599" s="1514"/>
      <c r="AT599" s="1130">
        <f t="shared" si="1"/>
        <v>0</v>
      </c>
      <c r="AU599" s="1132"/>
      <c r="AV599" s="1513">
        <f t="shared" si="2"/>
        <v>0</v>
      </c>
      <c r="AW599" s="1514"/>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386</v>
      </c>
      <c r="B600" s="12" t="s">
        <v>509</v>
      </c>
      <c r="G600" s="1097">
        <f>C555</f>
        <v>0</v>
      </c>
      <c r="H600" s="1097"/>
      <c r="I600" s="1097"/>
      <c r="J600" s="1097"/>
      <c r="K600" s="1097"/>
      <c r="L600" s="1097"/>
      <c r="M600" s="1097"/>
      <c r="N600" s="1097"/>
      <c r="O600" s="1097"/>
      <c r="P600" s="1097"/>
      <c r="Q600" s="1097"/>
      <c r="R600" s="1097"/>
      <c r="T600" s="87" t="s">
        <v>387</v>
      </c>
      <c r="U600" s="12" t="s">
        <v>509</v>
      </c>
      <c r="Z600" s="1097">
        <f>C556</f>
        <v>0</v>
      </c>
      <c r="AA600" s="1097"/>
      <c r="AB600" s="1097"/>
      <c r="AC600" s="1097"/>
      <c r="AD600" s="1097"/>
      <c r="AE600" s="1097"/>
      <c r="AF600" s="1097"/>
      <c r="AG600" s="1097"/>
      <c r="AH600" s="1097"/>
      <c r="AI600" s="1097"/>
      <c r="AJ600" s="1097"/>
      <c r="AK600" s="1097"/>
      <c r="AM600" s="58"/>
      <c r="AN600" s="58"/>
      <c r="AO600" s="58"/>
      <c r="AP600" s="58"/>
      <c r="AQ600" s="58"/>
      <c r="AR600" s="1513">
        <f t="shared" si="0"/>
        <v>0</v>
      </c>
      <c r="AS600" s="1514"/>
      <c r="AT600" s="1130">
        <f t="shared" si="1"/>
        <v>0</v>
      </c>
      <c r="AU600" s="1132"/>
      <c r="AV600" s="1513">
        <f t="shared" si="2"/>
        <v>0</v>
      </c>
      <c r="AW600" s="1514"/>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3">
        <f t="shared" si="0"/>
        <v>0</v>
      </c>
      <c r="AS601" s="1514"/>
      <c r="AT601" s="1130">
        <f t="shared" si="1"/>
        <v>0</v>
      </c>
      <c r="AU601" s="1132"/>
      <c r="AV601" s="1513">
        <f t="shared" si="2"/>
        <v>0</v>
      </c>
      <c r="AW601" s="1514"/>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630</v>
      </c>
      <c r="G602" s="1095"/>
      <c r="H602" s="1095"/>
      <c r="I602" s="1095"/>
      <c r="J602" s="1095"/>
      <c r="K602" s="1095"/>
      <c r="L602" s="1095"/>
      <c r="M602" s="1095"/>
      <c r="N602" s="1095"/>
      <c r="O602" s="1095"/>
      <c r="P602" s="1095"/>
      <c r="Q602" s="1095"/>
      <c r="R602" s="1095"/>
      <c r="U602" s="12" t="s">
        <v>630</v>
      </c>
      <c r="Z602" s="1117"/>
      <c r="AA602" s="1117"/>
      <c r="AB602" s="1117"/>
      <c r="AC602" s="1117"/>
      <c r="AD602" s="1117"/>
      <c r="AE602" s="1117"/>
      <c r="AF602" s="1117"/>
      <c r="AG602" s="1117"/>
      <c r="AH602" s="1117"/>
      <c r="AI602" s="1117"/>
      <c r="AJ602" s="1117"/>
      <c r="AK602" s="1117"/>
      <c r="AM602" s="58"/>
      <c r="AN602" s="58"/>
      <c r="AO602" s="58"/>
      <c r="AP602" s="58"/>
      <c r="AQ602" s="58"/>
      <c r="AR602" s="1513">
        <f t="shared" si="0"/>
        <v>0</v>
      </c>
      <c r="AS602" s="1514"/>
      <c r="AT602" s="1130">
        <f t="shared" si="1"/>
        <v>0</v>
      </c>
      <c r="AU602" s="1132"/>
      <c r="AV602" s="1513">
        <f t="shared" si="2"/>
        <v>0</v>
      </c>
      <c r="AW602" s="1514"/>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5"/>
      <c r="H603" s="1095"/>
      <c r="I603" s="1095"/>
      <c r="J603" s="1095"/>
      <c r="K603" s="1095"/>
      <c r="L603" s="1095"/>
      <c r="M603" s="1095"/>
      <c r="N603" s="1095"/>
      <c r="O603" s="1095"/>
      <c r="P603" s="1095"/>
      <c r="Q603" s="1095"/>
      <c r="R603" s="1095"/>
      <c r="U603" s="12" t="s">
        <v>19</v>
      </c>
      <c r="Z603" s="1117"/>
      <c r="AA603" s="1117"/>
      <c r="AB603" s="1117"/>
      <c r="AC603" s="1117"/>
      <c r="AD603" s="1117"/>
      <c r="AE603" s="1117"/>
      <c r="AF603" s="1117"/>
      <c r="AG603" s="1117"/>
      <c r="AH603" s="1117"/>
      <c r="AI603" s="1117"/>
      <c r="AJ603" s="1117"/>
      <c r="AK603" s="1117"/>
      <c r="AM603" s="58"/>
      <c r="AN603" s="58"/>
      <c r="AO603" s="58"/>
      <c r="AP603" s="58"/>
      <c r="AQ603" s="58"/>
      <c r="AR603" s="1513">
        <f t="shared" si="0"/>
        <v>0</v>
      </c>
      <c r="AS603" s="1514"/>
      <c r="AT603" s="1130">
        <f t="shared" si="1"/>
        <v>0</v>
      </c>
      <c r="AU603" s="1132"/>
      <c r="AV603" s="1513">
        <f t="shared" si="2"/>
        <v>0</v>
      </c>
      <c r="AW603" s="1514"/>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13">
        <f t="shared" si="0"/>
        <v>0</v>
      </c>
      <c r="AS604" s="1514"/>
      <c r="AT604" s="1130">
        <f t="shared" si="1"/>
        <v>0</v>
      </c>
      <c r="AU604" s="1132"/>
      <c r="AV604" s="1513">
        <f t="shared" si="2"/>
        <v>0</v>
      </c>
      <c r="AW604" s="1514"/>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3">
        <f t="shared" si="0"/>
        <v>0</v>
      </c>
      <c r="AS605" s="1514"/>
      <c r="AT605" s="1130">
        <f t="shared" si="1"/>
        <v>0</v>
      </c>
      <c r="AU605" s="1132"/>
      <c r="AV605" s="1513">
        <f t="shared" si="2"/>
        <v>0</v>
      </c>
      <c r="AW605" s="1514"/>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6" t="s">
        <v>722</v>
      </c>
      <c r="O606" s="1096"/>
      <c r="U606" s="12" t="s">
        <v>22</v>
      </c>
      <c r="AG606" s="1096" t="s">
        <v>722</v>
      </c>
      <c r="AH606" s="1096"/>
      <c r="AM606" s="58"/>
      <c r="AN606" s="58"/>
      <c r="AO606" s="58"/>
      <c r="AP606" s="58"/>
      <c r="AQ606" s="58"/>
      <c r="AR606" s="1513">
        <f t="shared" si="0"/>
        <v>0</v>
      </c>
      <c r="AS606" s="1514"/>
      <c r="AT606" s="1130">
        <f t="shared" si="1"/>
        <v>0</v>
      </c>
      <c r="AU606" s="1132"/>
      <c r="AV606" s="1513">
        <f t="shared" si="2"/>
        <v>0</v>
      </c>
      <c r="AW606" s="1514"/>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13">
        <f t="shared" si="0"/>
        <v>0</v>
      </c>
      <c r="AS607" s="1514"/>
      <c r="AT607" s="1130">
        <f t="shared" si="1"/>
        <v>0</v>
      </c>
      <c r="AU607" s="1132"/>
      <c r="AV607" s="1513">
        <f t="shared" si="2"/>
        <v>0</v>
      </c>
      <c r="AW607" s="1514"/>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10" t="s">
        <v>590</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3">
        <f t="shared" si="0"/>
        <v>0</v>
      </c>
      <c r="AS608" s="1514"/>
      <c r="AT608" s="1130">
        <f t="shared" si="1"/>
        <v>0</v>
      </c>
      <c r="AU608" s="1132"/>
      <c r="AV608" s="1513">
        <f t="shared" si="2"/>
        <v>0</v>
      </c>
      <c r="AW608" s="1514"/>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3">
        <f t="shared" si="0"/>
        <v>0</v>
      </c>
      <c r="AS609" s="1514"/>
      <c r="AT609" s="1130">
        <f t="shared" si="1"/>
        <v>0</v>
      </c>
      <c r="AU609" s="1132"/>
      <c r="AV609" s="1513">
        <f t="shared" si="2"/>
        <v>0</v>
      </c>
      <c r="AW609" s="1514"/>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13">
        <f t="shared" si="0"/>
        <v>0</v>
      </c>
      <c r="AS610" s="1514"/>
      <c r="AT610" s="1130">
        <f t="shared" si="1"/>
        <v>0</v>
      </c>
      <c r="AU610" s="1132"/>
      <c r="AV610" s="1513">
        <f t="shared" si="2"/>
        <v>0</v>
      </c>
      <c r="AW610" s="1514"/>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341</v>
      </c>
      <c r="B611" s="50"/>
      <c r="C611" s="50" t="s">
        <v>23</v>
      </c>
      <c r="AM611" s="58"/>
      <c r="AN611" s="58"/>
      <c r="AO611" s="58"/>
      <c r="AP611" s="58"/>
      <c r="AQ611" s="58"/>
      <c r="AR611" s="1513">
        <f t="shared" si="0"/>
        <v>0</v>
      </c>
      <c r="AS611" s="1514"/>
      <c r="AT611" s="1130">
        <f t="shared" si="1"/>
        <v>0</v>
      </c>
      <c r="AU611" s="1132"/>
      <c r="AV611" s="1513">
        <f t="shared" si="2"/>
        <v>0</v>
      </c>
      <c r="AW611" s="1514"/>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13">
        <f t="shared" si="0"/>
        <v>0</v>
      </c>
      <c r="AS612" s="1514"/>
      <c r="AT612" s="1130">
        <f t="shared" si="1"/>
        <v>0</v>
      </c>
      <c r="AU612" s="1132"/>
      <c r="AV612" s="1513">
        <f t="shared" si="2"/>
        <v>0</v>
      </c>
      <c r="AW612" s="1514"/>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3">
        <f t="shared" si="0"/>
        <v>0</v>
      </c>
      <c r="AS613" s="1514"/>
      <c r="AT613" s="1130">
        <f t="shared" si="1"/>
        <v>0</v>
      </c>
      <c r="AU613" s="1132"/>
      <c r="AV613" s="1513">
        <f t="shared" si="2"/>
        <v>0</v>
      </c>
      <c r="AW613" s="1514"/>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3">
        <f>SUM(AT589:AU613)</f>
        <v>34</v>
      </c>
      <c r="AU614" s="1514"/>
      <c r="AV614" s="58"/>
      <c r="AW614" s="58"/>
      <c r="AX614" s="1513">
        <f>SUM(AX589:AY613)</f>
        <v>0</v>
      </c>
      <c r="AY614" s="1514"/>
      <c r="AZ614" s="58"/>
      <c r="BA614" s="1513">
        <f>SUM(BA589:BE613)</f>
        <v>0</v>
      </c>
      <c r="BB614" s="1521"/>
      <c r="BC614" s="1521"/>
      <c r="BD614" s="1521"/>
      <c r="BE614" s="1514"/>
      <c r="BF614" s="1209">
        <f>SUM(BF589:BJ613)</f>
        <v>201</v>
      </c>
      <c r="BG614" s="1209"/>
      <c r="BH614" s="1209"/>
      <c r="BI614" s="1209"/>
      <c r="BJ614" s="1209"/>
      <c r="BK614" s="1209">
        <f>SUM(BK589:BO613)</f>
        <v>120</v>
      </c>
      <c r="BL614" s="1209"/>
      <c r="BM614" s="1209"/>
      <c r="BN614" s="1209"/>
      <c r="BO614" s="1209"/>
      <c r="BP614" s="1209">
        <f>SUM(BP589:BT613)</f>
        <v>0</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0</v>
      </c>
      <c r="CF614" s="1209"/>
      <c r="CG614" s="1209"/>
      <c r="CH614" s="1209"/>
      <c r="CI614" s="1209"/>
      <c r="CJ614" s="1209">
        <f>SUM(CJ589:CN613)</f>
        <v>0</v>
      </c>
      <c r="CK614" s="1209"/>
      <c r="CL614" s="1209"/>
      <c r="CM614" s="1209"/>
      <c r="CN614" s="1209"/>
      <c r="CO614" s="1209">
        <f>SUM(CO589:CS613)</f>
        <v>0</v>
      </c>
      <c r="CP614" s="1209"/>
      <c r="CQ614" s="1209"/>
      <c r="CR614" s="1209"/>
      <c r="CS614" s="1209"/>
      <c r="CT614" s="1209">
        <f>SUM(CT589:CX613)</f>
        <v>0</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28" t="s">
        <v>497</v>
      </c>
      <c r="C615" s="1429"/>
      <c r="D615" s="1429"/>
      <c r="E615" s="1429"/>
      <c r="F615" s="1429"/>
      <c r="G615" s="1429"/>
      <c r="H615" s="1429"/>
      <c r="I615" s="1429"/>
      <c r="J615" s="1429"/>
      <c r="K615" s="1429"/>
      <c r="L615" s="1429"/>
      <c r="M615" s="1429"/>
      <c r="N615" s="1429"/>
      <c r="O615" s="1430"/>
      <c r="P615" s="1437" t="s">
        <v>346</v>
      </c>
      <c r="Q615" s="1438"/>
      <c r="R615" s="1439"/>
      <c r="S615" s="1527" t="s">
        <v>498</v>
      </c>
      <c r="T615" s="1528"/>
      <c r="U615" s="1529"/>
      <c r="V615" s="1427" t="s">
        <v>18</v>
      </c>
      <c r="W615" s="1427"/>
      <c r="X615" s="1427"/>
      <c r="Y615" s="1427"/>
      <c r="Z615" s="1427"/>
      <c r="AA615" s="1427"/>
      <c r="AB615" s="1427" t="s">
        <v>17</v>
      </c>
      <c r="AC615" s="1427"/>
      <c r="AD615" s="1427"/>
      <c r="AE615" s="1427"/>
      <c r="AF615" s="1427"/>
      <c r="AG615" s="1427" t="s">
        <v>499</v>
      </c>
      <c r="AH615" s="1427"/>
      <c r="AI615" s="1427"/>
      <c r="AJ615" s="1427"/>
      <c r="AK615" s="142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1"/>
      <c r="C616" s="1432"/>
      <c r="D616" s="1432"/>
      <c r="E616" s="1432"/>
      <c r="F616" s="1432"/>
      <c r="G616" s="1432"/>
      <c r="H616" s="1432"/>
      <c r="I616" s="1432"/>
      <c r="J616" s="1432"/>
      <c r="K616" s="1432"/>
      <c r="L616" s="1432"/>
      <c r="M616" s="1432"/>
      <c r="N616" s="1432"/>
      <c r="O616" s="1433"/>
      <c r="P616" s="1440"/>
      <c r="Q616" s="1441"/>
      <c r="R616" s="1442"/>
      <c r="S616" s="1530"/>
      <c r="T616" s="1531"/>
      <c r="U616" s="1532"/>
      <c r="V616" s="1427"/>
      <c r="W616" s="1427"/>
      <c r="X616" s="1427"/>
      <c r="Y616" s="1427"/>
      <c r="Z616" s="1427"/>
      <c r="AA616" s="1427"/>
      <c r="AB616" s="1427"/>
      <c r="AC616" s="1427"/>
      <c r="AD616" s="1427"/>
      <c r="AE616" s="1427"/>
      <c r="AF616" s="1427"/>
      <c r="AG616" s="1427"/>
      <c r="AH616" s="1427"/>
      <c r="AI616" s="1427"/>
      <c r="AJ616" s="1427"/>
      <c r="AK616" s="142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4"/>
      <c r="C617" s="1435"/>
      <c r="D617" s="1435"/>
      <c r="E617" s="1435"/>
      <c r="F617" s="1435"/>
      <c r="G617" s="1435"/>
      <c r="H617" s="1435"/>
      <c r="I617" s="1435"/>
      <c r="J617" s="1435"/>
      <c r="K617" s="1435"/>
      <c r="L617" s="1435"/>
      <c r="M617" s="1435"/>
      <c r="N617" s="1435"/>
      <c r="O617" s="1436"/>
      <c r="P617" s="1443"/>
      <c r="Q617" s="1444"/>
      <c r="R617" s="1445"/>
      <c r="S617" s="1533"/>
      <c r="T617" s="1534"/>
      <c r="U617" s="1535"/>
      <c r="V617" s="1427"/>
      <c r="W617" s="1427"/>
      <c r="X617" s="1427"/>
      <c r="Y617" s="1427"/>
      <c r="Z617" s="1427"/>
      <c r="AA617" s="1427"/>
      <c r="AB617" s="1427"/>
      <c r="AC617" s="1427"/>
      <c r="AD617" s="1427"/>
      <c r="AE617" s="1427"/>
      <c r="AF617" s="1427"/>
      <c r="AG617" s="1427"/>
      <c r="AH617" s="1427"/>
      <c r="AI617" s="1427"/>
      <c r="AJ617" s="1427"/>
      <c r="AK617" s="1427"/>
      <c r="AL617" s="58"/>
      <c r="AM617" s="61"/>
      <c r="AN617" s="61"/>
      <c r="AO617" s="61"/>
      <c r="AP617" s="61"/>
      <c r="AQ617" s="61"/>
      <c r="AR617" s="61"/>
      <c r="AS617" s="61"/>
      <c r="AT617" s="61"/>
      <c r="AU617" s="61"/>
      <c r="AV617" s="61"/>
      <c r="AW617" s="61"/>
      <c r="AX617" s="61"/>
      <c r="AY617" s="61"/>
      <c r="AZ617" s="61"/>
      <c r="BA617" s="1130">
        <f>IF(J754="SRO/Studio",O754,0)</f>
        <v>0</v>
      </c>
      <c r="BB617" s="1131"/>
      <c r="BC617" s="1131"/>
      <c r="BD617" s="1131"/>
      <c r="BE617" s="1132"/>
      <c r="BF617" s="1196">
        <f>IF(J754="1 Bedroom",O754,0)</f>
        <v>3</v>
      </c>
      <c r="BG617" s="1196"/>
      <c r="BH617" s="1196"/>
      <c r="BI617" s="1196"/>
      <c r="BJ617" s="1196"/>
      <c r="BK617" s="1196">
        <f>IF(J754="2 Bedrooms",O754,0)</f>
        <v>0</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100" t="str">
        <f>C545</f>
        <v>Citibank (Tax Exempt Bonds)</v>
      </c>
      <c r="D618" s="1425"/>
      <c r="E618" s="1425"/>
      <c r="F618" s="1425"/>
      <c r="G618" s="1425"/>
      <c r="H618" s="1425"/>
      <c r="I618" s="1425"/>
      <c r="J618" s="1425"/>
      <c r="K618" s="1425"/>
      <c r="L618" s="1425"/>
      <c r="M618" s="1425"/>
      <c r="N618" s="1425"/>
      <c r="O618" s="1426"/>
      <c r="P618" s="1220">
        <v>480</v>
      </c>
      <c r="Q618" s="1221"/>
      <c r="R618" s="1222"/>
      <c r="S618" s="1217">
        <v>3.4000000000000002E-2</v>
      </c>
      <c r="T618" s="1218"/>
      <c r="U618" s="1219"/>
      <c r="V618" s="1220"/>
      <c r="W618" s="1221"/>
      <c r="X618" s="1221"/>
      <c r="Y618" s="1221"/>
      <c r="Z618" s="1221"/>
      <c r="AA618" s="1222"/>
      <c r="AB618" s="1225">
        <v>3254084</v>
      </c>
      <c r="AC618" s="1225"/>
      <c r="AD618" s="1225"/>
      <c r="AE618" s="1225"/>
      <c r="AF618" s="1225"/>
      <c r="AG618" s="1225">
        <v>70000000</v>
      </c>
      <c r="AH618" s="1225"/>
      <c r="AI618" s="1225"/>
      <c r="AJ618" s="1225"/>
      <c r="AK618" s="1225"/>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0</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100" t="str">
        <f>C547</f>
        <v>Fairfield Affordable Housing Fund Tranche II</v>
      </c>
      <c r="D619" s="1100"/>
      <c r="E619" s="1100"/>
      <c r="F619" s="1100"/>
      <c r="G619" s="1100"/>
      <c r="H619" s="1100"/>
      <c r="I619" s="1100"/>
      <c r="J619" s="1100"/>
      <c r="K619" s="1100"/>
      <c r="L619" s="1100"/>
      <c r="M619" s="1100"/>
      <c r="N619" s="1100"/>
      <c r="O619" s="1224"/>
      <c r="P619" s="1220"/>
      <c r="Q619" s="1221"/>
      <c r="R619" s="1222"/>
      <c r="S619" s="1217"/>
      <c r="T619" s="1218"/>
      <c r="U619" s="1219"/>
      <c r="V619" s="1220"/>
      <c r="W619" s="1221"/>
      <c r="X619" s="1221"/>
      <c r="Y619" s="1221"/>
      <c r="Z619" s="1221"/>
      <c r="AA619" s="1222"/>
      <c r="AB619" s="1225"/>
      <c r="AC619" s="1225"/>
      <c r="AD619" s="1225"/>
      <c r="AE619" s="1225"/>
      <c r="AF619" s="1225"/>
      <c r="AG619" s="1225">
        <f>AE547</f>
        <v>18763001</v>
      </c>
      <c r="AH619" s="1225"/>
      <c r="AI619" s="1225"/>
      <c r="AJ619" s="1225"/>
      <c r="AK619" s="1225"/>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223" t="s">
        <v>1749</v>
      </c>
      <c r="D620" s="1100"/>
      <c r="E620" s="1100"/>
      <c r="F620" s="1100"/>
      <c r="G620" s="1100"/>
      <c r="H620" s="1100"/>
      <c r="I620" s="1100"/>
      <c r="J620" s="1100"/>
      <c r="K620" s="1100"/>
      <c r="L620" s="1100"/>
      <c r="M620" s="1100"/>
      <c r="N620" s="1100"/>
      <c r="O620" s="1224"/>
      <c r="P620" s="1220"/>
      <c r="Q620" s="1221"/>
      <c r="R620" s="1222"/>
      <c r="S620" s="1217"/>
      <c r="T620" s="1218"/>
      <c r="U620" s="1219"/>
      <c r="V620" s="1220"/>
      <c r="W620" s="1221"/>
      <c r="X620" s="1221"/>
      <c r="Y620" s="1221"/>
      <c r="Z620" s="1221"/>
      <c r="AA620" s="1222"/>
      <c r="AB620" s="1225"/>
      <c r="AC620" s="1225"/>
      <c r="AD620" s="1225"/>
      <c r="AE620" s="1225"/>
      <c r="AF620" s="1225"/>
      <c r="AG620" s="1225">
        <f>+'Sources and Uses Budget'!H105</f>
        <v>18705853</v>
      </c>
      <c r="AH620" s="1225"/>
      <c r="AI620" s="1225"/>
      <c r="AJ620" s="1225"/>
      <c r="AK620" s="1225"/>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631</v>
      </c>
      <c r="C621" s="1100"/>
      <c r="D621" s="1100"/>
      <c r="E621" s="1100"/>
      <c r="F621" s="1100"/>
      <c r="G621" s="1100"/>
      <c r="H621" s="1100"/>
      <c r="I621" s="1100"/>
      <c r="J621" s="1100"/>
      <c r="K621" s="1100"/>
      <c r="L621" s="1100"/>
      <c r="M621" s="1100"/>
      <c r="N621" s="1100"/>
      <c r="O621" s="1224"/>
      <c r="P621" s="1220"/>
      <c r="Q621" s="1221"/>
      <c r="R621" s="1222"/>
      <c r="S621" s="1217"/>
      <c r="T621" s="1218"/>
      <c r="U621" s="1219"/>
      <c r="V621" s="1220"/>
      <c r="W621" s="1221"/>
      <c r="X621" s="1221"/>
      <c r="Y621" s="1221"/>
      <c r="Z621" s="1221"/>
      <c r="AA621" s="1222"/>
      <c r="AB621" s="1225"/>
      <c r="AC621" s="1225"/>
      <c r="AD621" s="1225"/>
      <c r="AE621" s="1225"/>
      <c r="AF621" s="1225"/>
      <c r="AG621" s="1225"/>
      <c r="AH621" s="1225"/>
      <c r="AI621" s="1225"/>
      <c r="AJ621" s="1225"/>
      <c r="AK621" s="1225"/>
      <c r="AL621" s="58"/>
      <c r="AM621" s="61"/>
      <c r="AN621" s="61"/>
      <c r="AO621" s="61"/>
      <c r="AP621" s="61"/>
      <c r="AQ621" s="61"/>
      <c r="AR621" s="61"/>
      <c r="AS621" s="61"/>
      <c r="AT621" s="61"/>
      <c r="AU621" s="61"/>
      <c r="AV621" s="61"/>
      <c r="AW621" s="61"/>
      <c r="AX621" s="61"/>
      <c r="AY621" s="61"/>
      <c r="AZ621" s="61"/>
      <c r="BA621" s="1133">
        <f>SUM(BA617:BE620)</f>
        <v>0</v>
      </c>
      <c r="BB621" s="1134"/>
      <c r="BC621" s="1134"/>
      <c r="BD621" s="1134"/>
      <c r="BE621" s="1135"/>
      <c r="BF621" s="1133">
        <f>SUM(BF617:BJ620)</f>
        <v>3</v>
      </c>
      <c r="BG621" s="1134"/>
      <c r="BH621" s="1134"/>
      <c r="BI621" s="1134"/>
      <c r="BJ621" s="1135"/>
      <c r="BK621" s="1133">
        <f>SUM(BK617:BO620)</f>
        <v>0</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841</v>
      </c>
      <c r="C622" s="1100"/>
      <c r="D622" s="1100"/>
      <c r="E622" s="1100"/>
      <c r="F622" s="1100"/>
      <c r="G622" s="1100"/>
      <c r="H622" s="1100"/>
      <c r="I622" s="1100"/>
      <c r="J622" s="1100"/>
      <c r="K622" s="1100"/>
      <c r="L622" s="1100"/>
      <c r="M622" s="1100"/>
      <c r="N622" s="1100"/>
      <c r="O622" s="1224"/>
      <c r="P622" s="1220"/>
      <c r="Q622" s="1221"/>
      <c r="R622" s="1222"/>
      <c r="S622" s="1217"/>
      <c r="T622" s="1218"/>
      <c r="U622" s="1219"/>
      <c r="V622" s="1220"/>
      <c r="W622" s="1221"/>
      <c r="X622" s="1221"/>
      <c r="Y622" s="1221"/>
      <c r="Z622" s="1221"/>
      <c r="AA622" s="1222"/>
      <c r="AB622" s="1225"/>
      <c r="AC622" s="1225"/>
      <c r="AD622" s="1225"/>
      <c r="AE622" s="1225"/>
      <c r="AF622" s="1225"/>
      <c r="AG622" s="1225"/>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0"/>
      <c r="D623" s="1100"/>
      <c r="E623" s="1100"/>
      <c r="F623" s="1100"/>
      <c r="G623" s="1100"/>
      <c r="H623" s="1100"/>
      <c r="I623" s="1100"/>
      <c r="J623" s="1100"/>
      <c r="K623" s="1100"/>
      <c r="L623" s="1100"/>
      <c r="M623" s="1100"/>
      <c r="N623" s="1100"/>
      <c r="O623" s="1224"/>
      <c r="P623" s="1220"/>
      <c r="Q623" s="1221"/>
      <c r="R623" s="1222"/>
      <c r="S623" s="1217"/>
      <c r="T623" s="1218"/>
      <c r="U623" s="1219"/>
      <c r="V623" s="1220"/>
      <c r="W623" s="1221"/>
      <c r="X623" s="1221"/>
      <c r="Y623" s="1221"/>
      <c r="Z623" s="1221"/>
      <c r="AA623" s="1222"/>
      <c r="AB623" s="1225"/>
      <c r="AC623" s="1225"/>
      <c r="AD623" s="1225"/>
      <c r="AE623" s="1225"/>
      <c r="AF623" s="1225"/>
      <c r="AG623" s="1225"/>
      <c r="AH623" s="1225"/>
      <c r="AI623" s="1225"/>
      <c r="AJ623" s="1225"/>
      <c r="AK623" s="1225"/>
      <c r="AL623" s="58"/>
      <c r="AM623" s="61"/>
      <c r="AN623" s="61"/>
      <c r="AO623" s="61"/>
      <c r="AP623" s="61"/>
      <c r="AQ623" s="61"/>
      <c r="AR623" s="61"/>
      <c r="AS623" s="61"/>
      <c r="AT623" s="61"/>
      <c r="AU623" s="61"/>
      <c r="AV623" s="61"/>
      <c r="AW623" s="61"/>
      <c r="AX623" s="61"/>
      <c r="AY623" s="61"/>
      <c r="AZ623" s="61"/>
      <c r="BA623" s="1130">
        <f t="shared" ref="BA623:BA632" si="16">IF(J768="SRO/Studio",O768,0)</f>
        <v>0</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500</v>
      </c>
      <c r="C624" s="1100"/>
      <c r="D624" s="1100"/>
      <c r="E624" s="1100"/>
      <c r="F624" s="1100"/>
      <c r="G624" s="1100"/>
      <c r="H624" s="1100"/>
      <c r="I624" s="1100"/>
      <c r="J624" s="1100"/>
      <c r="K624" s="1100"/>
      <c r="L624" s="1100"/>
      <c r="M624" s="1100"/>
      <c r="N624" s="1100"/>
      <c r="O624" s="1224"/>
      <c r="P624" s="1220"/>
      <c r="Q624" s="1221"/>
      <c r="R624" s="1222"/>
      <c r="S624" s="1217"/>
      <c r="T624" s="1218"/>
      <c r="U624" s="1219"/>
      <c r="V624" s="1220"/>
      <c r="W624" s="1221"/>
      <c r="X624" s="1221"/>
      <c r="Y624" s="1221"/>
      <c r="Z624" s="1221"/>
      <c r="AA624" s="1222"/>
      <c r="AB624" s="1225"/>
      <c r="AC624" s="1225"/>
      <c r="AD624" s="1225"/>
      <c r="AE624" s="1225"/>
      <c r="AF624" s="1225"/>
      <c r="AG624" s="1225"/>
      <c r="AH624" s="1225"/>
      <c r="AI624" s="1225"/>
      <c r="AJ624" s="1225"/>
      <c r="AK624" s="1225"/>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0</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501</v>
      </c>
      <c r="C625" s="1100"/>
      <c r="D625" s="1100"/>
      <c r="E625" s="1100"/>
      <c r="F625" s="1100"/>
      <c r="G625" s="1100"/>
      <c r="H625" s="1100"/>
      <c r="I625" s="1100"/>
      <c r="J625" s="1100"/>
      <c r="K625" s="1100"/>
      <c r="L625" s="1100"/>
      <c r="M625" s="1100"/>
      <c r="N625" s="1100"/>
      <c r="O625" s="1224"/>
      <c r="P625" s="1220"/>
      <c r="Q625" s="1221"/>
      <c r="R625" s="1222"/>
      <c r="S625" s="1217"/>
      <c r="T625" s="1218"/>
      <c r="U625" s="1219"/>
      <c r="V625" s="1220"/>
      <c r="W625" s="1221"/>
      <c r="X625" s="1221"/>
      <c r="Y625" s="1221"/>
      <c r="Z625" s="1221"/>
      <c r="AA625" s="1222"/>
      <c r="AB625" s="1225"/>
      <c r="AC625" s="1225"/>
      <c r="AD625" s="1225"/>
      <c r="AE625" s="1225"/>
      <c r="AF625" s="1225"/>
      <c r="AG625" s="1225"/>
      <c r="AH625" s="1225"/>
      <c r="AI625" s="1225"/>
      <c r="AJ625" s="1225"/>
      <c r="AK625" s="1225"/>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0</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507</v>
      </c>
      <c r="C626" s="1100"/>
      <c r="D626" s="1100"/>
      <c r="E626" s="1100"/>
      <c r="F626" s="1100"/>
      <c r="G626" s="1100"/>
      <c r="H626" s="1100"/>
      <c r="I626" s="1100"/>
      <c r="J626" s="1100"/>
      <c r="K626" s="1100"/>
      <c r="L626" s="1100"/>
      <c r="M626" s="1100"/>
      <c r="N626" s="1100"/>
      <c r="O626" s="1224"/>
      <c r="P626" s="1220"/>
      <c r="Q626" s="1221"/>
      <c r="R626" s="1222"/>
      <c r="S626" s="1217"/>
      <c r="T626" s="1218"/>
      <c r="U626" s="1219"/>
      <c r="V626" s="1220"/>
      <c r="W626" s="1221"/>
      <c r="X626" s="1221"/>
      <c r="Y626" s="1221"/>
      <c r="Z626" s="1221"/>
      <c r="AA626" s="1222"/>
      <c r="AB626" s="1225"/>
      <c r="AC626" s="1225"/>
      <c r="AD626" s="1225"/>
      <c r="AE626" s="1225"/>
      <c r="AF626" s="1225"/>
      <c r="AG626" s="1225"/>
      <c r="AH626" s="1225"/>
      <c r="AI626" s="1225"/>
      <c r="AJ626" s="1225"/>
      <c r="AK626" s="1225"/>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696</v>
      </c>
      <c r="C627" s="1100"/>
      <c r="D627" s="1100"/>
      <c r="E627" s="1100"/>
      <c r="F627" s="1100"/>
      <c r="G627" s="1100"/>
      <c r="H627" s="1100"/>
      <c r="I627" s="1100"/>
      <c r="J627" s="1100"/>
      <c r="K627" s="1100"/>
      <c r="L627" s="1100"/>
      <c r="M627" s="1100"/>
      <c r="N627" s="1100"/>
      <c r="O627" s="1224"/>
      <c r="P627" s="1220"/>
      <c r="Q627" s="1221"/>
      <c r="R627" s="1222"/>
      <c r="S627" s="1217"/>
      <c r="T627" s="1218"/>
      <c r="U627" s="1219"/>
      <c r="V627" s="1220"/>
      <c r="W627" s="1221"/>
      <c r="X627" s="1221"/>
      <c r="Y627" s="1221"/>
      <c r="Z627" s="1221"/>
      <c r="AA627" s="1222"/>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4"/>
      <c r="P628" s="1220"/>
      <c r="Q628" s="1221"/>
      <c r="R628" s="1222"/>
      <c r="S628" s="1217"/>
      <c r="T628" s="1218"/>
      <c r="U628" s="1219"/>
      <c r="V628" s="1220"/>
      <c r="W628" s="1221"/>
      <c r="X628" s="1221"/>
      <c r="Y628" s="1221"/>
      <c r="Z628" s="1221"/>
      <c r="AA628" s="1222"/>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387</v>
      </c>
      <c r="C629" s="1223"/>
      <c r="D629" s="1100"/>
      <c r="E629" s="1100"/>
      <c r="F629" s="1100"/>
      <c r="G629" s="1100"/>
      <c r="H629" s="1100"/>
      <c r="I629" s="1100"/>
      <c r="J629" s="1100"/>
      <c r="K629" s="1100"/>
      <c r="L629" s="1100"/>
      <c r="M629" s="1100"/>
      <c r="N629" s="1100"/>
      <c r="O629" s="1224"/>
      <c r="P629" s="1220"/>
      <c r="Q629" s="1221"/>
      <c r="R629" s="1222"/>
      <c r="S629" s="1217"/>
      <c r="T629" s="1218"/>
      <c r="U629" s="1219"/>
      <c r="V629" s="1220"/>
      <c r="W629" s="1221"/>
      <c r="X629" s="1221"/>
      <c r="Y629" s="1221"/>
      <c r="Z629" s="1221"/>
      <c r="AA629" s="1222"/>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107468854</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283</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v>45071665</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284</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152540519</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0</v>
      </c>
      <c r="BB633" s="1134"/>
      <c r="BC633" s="1134"/>
      <c r="BD633" s="1134"/>
      <c r="BE633" s="1135"/>
      <c r="BF633" s="1133">
        <f>SUM(BF623:BJ632)</f>
        <v>0</v>
      </c>
      <c r="BG633" s="1134"/>
      <c r="BH633" s="1134"/>
      <c r="BI633" s="1134"/>
      <c r="BJ633" s="1135"/>
      <c r="BK633" s="1133">
        <f>SUM(BK623:BO632)</f>
        <v>0</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509</v>
      </c>
      <c r="G634" s="1097" t="str">
        <f>C618</f>
        <v>Citibank (Tax Exempt Bonds)</v>
      </c>
      <c r="H634" s="1097"/>
      <c r="I634" s="1097"/>
      <c r="J634" s="1097"/>
      <c r="K634" s="1097"/>
      <c r="L634" s="1097"/>
      <c r="M634" s="1097"/>
      <c r="N634" s="1097"/>
      <c r="O634" s="1097"/>
      <c r="P634" s="1097"/>
      <c r="Q634" s="1097"/>
      <c r="R634" s="1097"/>
      <c r="S634" s="14"/>
      <c r="T634" s="87" t="s">
        <v>120</v>
      </c>
      <c r="U634" s="12" t="s">
        <v>509</v>
      </c>
      <c r="Z634" s="1097" t="str">
        <f>C619</f>
        <v>Fairfield Affordable Housing Fund Tranche II</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1753</v>
      </c>
      <c r="H635" s="1095"/>
      <c r="I635" s="1095"/>
      <c r="J635" s="1095"/>
      <c r="K635" s="1095"/>
      <c r="L635" s="1095"/>
      <c r="M635" s="1095"/>
      <c r="N635" s="1095"/>
      <c r="O635" s="1095"/>
      <c r="P635" s="1095"/>
      <c r="Q635" s="1095"/>
      <c r="R635" s="1095"/>
      <c r="S635" s="14"/>
      <c r="T635" s="35"/>
      <c r="U635" s="12" t="s">
        <v>92</v>
      </c>
      <c r="Z635" s="1095" t="s">
        <v>1660</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3">
        <f>BA614+BA621+BA633</f>
        <v>0</v>
      </c>
      <c r="BB635" s="1134"/>
      <c r="BC635" s="1134"/>
      <c r="BD635" s="1134"/>
      <c r="BE635" s="1135"/>
      <c r="BF635" s="1133">
        <f>BF614+BF621+BF633</f>
        <v>204</v>
      </c>
      <c r="BG635" s="1134"/>
      <c r="BH635" s="1134"/>
      <c r="BI635" s="1134"/>
      <c r="BJ635" s="1135"/>
      <c r="BK635" s="1133">
        <f>BK614+BK621+BK633</f>
        <v>120</v>
      </c>
      <c r="BL635" s="1134"/>
      <c r="BM635" s="1134"/>
      <c r="BN635" s="1134"/>
      <c r="BO635" s="1135"/>
      <c r="BP635" s="1133">
        <f>BP614+BP621+BP633</f>
        <v>0</v>
      </c>
      <c r="BQ635" s="1134"/>
      <c r="BR635" s="1134"/>
      <c r="BS635" s="1134"/>
      <c r="BT635" s="1135"/>
      <c r="BU635" s="1133">
        <f>BU614+BU621+BU633</f>
        <v>0</v>
      </c>
      <c r="BV635" s="1134"/>
      <c r="BW635" s="1134"/>
      <c r="BX635" s="1134"/>
      <c r="BY635" s="1135"/>
      <c r="BZ635" s="1513">
        <f>BZ633+BZ621+BZ614</f>
        <v>0</v>
      </c>
      <c r="CA635" s="1521"/>
      <c r="CB635" s="1521"/>
      <c r="CC635" s="1521"/>
      <c r="CD635" s="1514"/>
      <c r="CE635" s="58"/>
      <c r="CF635" s="58"/>
      <c r="CG635" s="58"/>
      <c r="CH635" s="58"/>
      <c r="CI635" s="58"/>
      <c r="CJ635" s="58"/>
      <c r="CK635" s="58"/>
      <c r="CL635" s="58"/>
      <c r="CM635" s="58"/>
      <c r="CN635" s="58"/>
      <c r="CO635" s="58"/>
      <c r="CP635" s="58"/>
      <c r="CQ635" s="58"/>
      <c r="CR635" s="58"/>
    </row>
    <row r="636" spans="1:96" ht="12.75">
      <c r="A636" s="35"/>
      <c r="B636" s="12" t="s">
        <v>630</v>
      </c>
      <c r="G636" s="1095" t="s">
        <v>1754</v>
      </c>
      <c r="H636" s="1095"/>
      <c r="I636" s="1095"/>
      <c r="J636" s="1095"/>
      <c r="K636" s="1095"/>
      <c r="L636" s="1095"/>
      <c r="M636" s="1095"/>
      <c r="N636" s="1095"/>
      <c r="O636" s="1095"/>
      <c r="P636" s="1095"/>
      <c r="Q636" s="1095"/>
      <c r="R636" s="1095"/>
      <c r="S636" s="88"/>
      <c r="T636" s="35"/>
      <c r="U636" s="12" t="s">
        <v>630</v>
      </c>
      <c r="Z636" s="1117" t="s">
        <v>1682</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1755</v>
      </c>
      <c r="H637" s="1095"/>
      <c r="I637" s="1095"/>
      <c r="J637" s="1095"/>
      <c r="K637" s="1095"/>
      <c r="L637" s="1095"/>
      <c r="M637" s="1095"/>
      <c r="N637" s="1095"/>
      <c r="O637" s="1095"/>
      <c r="P637" s="1095"/>
      <c r="Q637" s="1095"/>
      <c r="R637" s="1095"/>
      <c r="S637" s="14"/>
      <c r="T637" s="35"/>
      <c r="U637" s="12" t="s">
        <v>19</v>
      </c>
      <c r="Z637" s="1117" t="s">
        <v>1758</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
        <v>1756</v>
      </c>
      <c r="H638" s="1099"/>
      <c r="I638" s="1099"/>
      <c r="J638" s="1099"/>
      <c r="K638" s="1099"/>
      <c r="L638" s="1099"/>
      <c r="O638" s="140" t="s">
        <v>220</v>
      </c>
      <c r="P638" s="1100"/>
      <c r="Q638" s="1100"/>
      <c r="R638" s="1100"/>
      <c r="S638" s="16"/>
      <c r="T638" s="35"/>
      <c r="U638" s="12" t="s">
        <v>338</v>
      </c>
      <c r="Z638" s="1098" t="s">
        <v>1759</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1763</v>
      </c>
      <c r="I639" s="1095"/>
      <c r="J639" s="1095"/>
      <c r="K639" s="1095"/>
      <c r="L639" s="1095"/>
      <c r="M639" s="1095"/>
      <c r="N639" s="1095"/>
      <c r="O639" s="1095"/>
      <c r="P639" s="1095"/>
      <c r="Q639" s="1095"/>
      <c r="R639" s="1095"/>
      <c r="S639" s="14"/>
      <c r="T639" s="35"/>
      <c r="U639" s="12" t="s">
        <v>20</v>
      </c>
      <c r="AA639" s="1095"/>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591</v>
      </c>
      <c r="O640" s="1096"/>
      <c r="T640" s="35"/>
      <c r="U640" s="12" t="s">
        <v>22</v>
      </c>
      <c r="AG640" s="1096" t="s">
        <v>722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7" t="str">
        <f>C620</f>
        <v>Deferred Developer Fee</v>
      </c>
      <c r="H642" s="1097"/>
      <c r="I642" s="1097"/>
      <c r="J642" s="1097"/>
      <c r="K642" s="1097"/>
      <c r="L642" s="1097"/>
      <c r="M642" s="1097"/>
      <c r="N642" s="1097"/>
      <c r="O642" s="1097"/>
      <c r="P642" s="1097"/>
      <c r="Q642" s="1097"/>
      <c r="R642" s="1097"/>
      <c r="T642" s="87" t="s">
        <v>631</v>
      </c>
      <c r="U642" s="12" t="s">
        <v>509</v>
      </c>
      <c r="Z642" s="1097">
        <f>C621</f>
        <v>0</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1660</v>
      </c>
      <c r="H643" s="1095"/>
      <c r="I643" s="1095"/>
      <c r="J643" s="1095"/>
      <c r="K643" s="1095"/>
      <c r="L643" s="1095"/>
      <c r="M643" s="1095"/>
      <c r="N643" s="1095"/>
      <c r="O643" s="1095"/>
      <c r="P643" s="1095"/>
      <c r="Q643" s="1095"/>
      <c r="R643" s="1095"/>
      <c r="T643" s="35"/>
      <c r="U643" s="12" t="s">
        <v>92</v>
      </c>
      <c r="Z643" s="1095"/>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7" t="s">
        <v>1682</v>
      </c>
      <c r="H644" s="1117"/>
      <c r="I644" s="1117"/>
      <c r="J644" s="1117"/>
      <c r="K644" s="1117"/>
      <c r="L644" s="1117"/>
      <c r="M644" s="1117"/>
      <c r="N644" s="1117"/>
      <c r="O644" s="1117"/>
      <c r="P644" s="1117"/>
      <c r="Q644" s="1117"/>
      <c r="R644" s="1117"/>
      <c r="T644" s="35"/>
      <c r="U644" s="12" t="s">
        <v>630</v>
      </c>
      <c r="Z644" s="1117"/>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7" t="s">
        <v>1758</v>
      </c>
      <c r="H645" s="1117"/>
      <c r="I645" s="1117"/>
      <c r="J645" s="1117"/>
      <c r="K645" s="1117"/>
      <c r="L645" s="1117"/>
      <c r="M645" s="1117"/>
      <c r="N645" s="1117"/>
      <c r="O645" s="1117"/>
      <c r="P645" s="1117"/>
      <c r="Q645" s="1117"/>
      <c r="R645" s="1117"/>
      <c r="T645" s="35"/>
      <c r="U645" s="12" t="s">
        <v>19</v>
      </c>
      <c r="Z645" s="1117"/>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1759</v>
      </c>
      <c r="H646" s="1099"/>
      <c r="I646" s="1099"/>
      <c r="J646" s="1099"/>
      <c r="K646" s="1099"/>
      <c r="L646" s="1099"/>
      <c r="O646" s="140" t="s">
        <v>220</v>
      </c>
      <c r="P646" s="1100"/>
      <c r="Q646" s="1100"/>
      <c r="R646" s="1100"/>
      <c r="T646" s="35"/>
      <c r="U646" s="12" t="s">
        <v>338</v>
      </c>
      <c r="Z646" s="1099"/>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1749</v>
      </c>
      <c r="I647" s="1095"/>
      <c r="J647" s="1095"/>
      <c r="K647" s="1095"/>
      <c r="L647" s="1095"/>
      <c r="M647" s="1095"/>
      <c r="N647" s="1095"/>
      <c r="O647" s="1095"/>
      <c r="P647" s="1095"/>
      <c r="Q647" s="1095"/>
      <c r="R647" s="1095"/>
      <c r="T647" s="35"/>
      <c r="U647" s="12" t="s">
        <v>20</v>
      </c>
      <c r="AA647" s="1095"/>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722</v>
      </c>
      <c r="O648" s="1096"/>
      <c r="T648" s="35"/>
      <c r="U648" s="12" t="s">
        <v>22</v>
      </c>
      <c r="AG648" s="1096" t="s">
        <v>722</v>
      </c>
      <c r="AH648" s="109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2324</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7">
        <f>C622</f>
        <v>0</v>
      </c>
      <c r="H650" s="1097"/>
      <c r="I650" s="1097"/>
      <c r="J650" s="1097"/>
      <c r="K650" s="1097"/>
      <c r="L650" s="1097"/>
      <c r="M650" s="1097"/>
      <c r="N650" s="1097"/>
      <c r="O650" s="1097"/>
      <c r="P650" s="1097"/>
      <c r="Q650" s="1097"/>
      <c r="R650" s="1097"/>
      <c r="T650" s="87" t="s">
        <v>634</v>
      </c>
      <c r="U650" s="12" t="s">
        <v>509</v>
      </c>
      <c r="Z650" s="1097">
        <f>C623</f>
        <v>0</v>
      </c>
      <c r="AA650" s="1097"/>
      <c r="AB650" s="1097"/>
      <c r="AC650" s="1097"/>
      <c r="AD650" s="1097"/>
      <c r="AE650" s="1097"/>
      <c r="AF650" s="1097"/>
      <c r="AG650" s="1097"/>
      <c r="AH650" s="1097"/>
      <c r="AI650" s="1097"/>
      <c r="AJ650" s="1097"/>
      <c r="AK650" s="1097"/>
      <c r="AM650" s="58"/>
      <c r="AN650" s="463">
        <f t="shared" si="22"/>
        <v>2324</v>
      </c>
      <c r="AO650" s="58"/>
      <c r="AP650" s="58"/>
      <c r="AQ650" s="58"/>
      <c r="AR650" s="58"/>
      <c r="AS650" s="399"/>
      <c r="AT650" s="473">
        <f t="shared" ref="AT650:AT674" si="23">G709</f>
        <v>21</v>
      </c>
      <c r="AU650" s="477">
        <f>AT650/$AT$675</f>
        <v>6.5420560747663545E-2</v>
      </c>
      <c r="AV650" s="478">
        <f t="shared" ref="AV650:AV674" si="24">IF(AU650=0," ",AU650*AD709)</f>
        <v>3.2710280373831772E-2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2790</v>
      </c>
      <c r="AO651" s="58"/>
      <c r="AP651" s="58"/>
      <c r="AQ651" s="58"/>
      <c r="AR651" s="58"/>
      <c r="AS651" s="399"/>
      <c r="AT651" s="474">
        <f t="shared" si="23"/>
        <v>180</v>
      </c>
      <c r="AU651" s="477">
        <f t="shared" ref="AU651:AU674" si="25">AT651/$AT$675</f>
        <v>0.56074766355140182</v>
      </c>
      <c r="AV651" s="478">
        <f t="shared" si="24"/>
        <v>0.3364485981308411</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5"/>
      <c r="H652" s="1095"/>
      <c r="I652" s="1095"/>
      <c r="J652" s="1095"/>
      <c r="K652" s="1095"/>
      <c r="L652" s="1095"/>
      <c r="M652" s="1095"/>
      <c r="N652" s="1095"/>
      <c r="O652" s="1095"/>
      <c r="P652" s="1095"/>
      <c r="Q652" s="1095"/>
      <c r="R652" s="1095"/>
      <c r="T652" s="35"/>
      <c r="U652" s="12" t="s">
        <v>630</v>
      </c>
      <c r="Z652" s="1117"/>
      <c r="AA652" s="1117"/>
      <c r="AB652" s="1117"/>
      <c r="AC652" s="1117"/>
      <c r="AD652" s="1117"/>
      <c r="AE652" s="1117"/>
      <c r="AF652" s="1117"/>
      <c r="AG652" s="1117"/>
      <c r="AH652" s="1117"/>
      <c r="AI652" s="1117"/>
      <c r="AJ652" s="1117"/>
      <c r="AK652" s="1117"/>
      <c r="AM652" s="58"/>
      <c r="AN652" s="463">
        <f t="shared" si="22"/>
        <v>2790</v>
      </c>
      <c r="AO652" s="58"/>
      <c r="AP652" s="58"/>
      <c r="AQ652" s="58"/>
      <c r="AR652" s="58"/>
      <c r="AS652" s="399"/>
      <c r="AT652" s="474">
        <f t="shared" si="23"/>
        <v>13</v>
      </c>
      <c r="AU652" s="477">
        <f t="shared" si="25"/>
        <v>4.0498442367601244E-2</v>
      </c>
      <c r="AV652" s="478">
        <f t="shared" si="24"/>
        <v>2.0249221183800622E-2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117"/>
      <c r="AA653" s="1117"/>
      <c r="AB653" s="1117"/>
      <c r="AC653" s="1117"/>
      <c r="AD653" s="1117"/>
      <c r="AE653" s="1117"/>
      <c r="AF653" s="1117"/>
      <c r="AG653" s="1117"/>
      <c r="AH653" s="1117"/>
      <c r="AI653" s="1117"/>
      <c r="AJ653" s="1117"/>
      <c r="AK653" s="1117"/>
      <c r="AM653" s="58"/>
      <c r="AN653" s="463" t="str">
        <f t="shared" si="22"/>
        <v>N/A</v>
      </c>
      <c r="AO653" s="58"/>
      <c r="AP653" s="58"/>
      <c r="AQ653" s="58"/>
      <c r="AR653" s="58"/>
      <c r="AS653" s="399"/>
      <c r="AT653" s="474">
        <f t="shared" si="23"/>
        <v>107</v>
      </c>
      <c r="AU653" s="477">
        <f t="shared" si="25"/>
        <v>0.33333333333333331</v>
      </c>
      <c r="AV653" s="478">
        <f t="shared" si="24"/>
        <v>0.19999999999999998</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c r="H654" s="1099"/>
      <c r="I654" s="1099"/>
      <c r="J654" s="1099"/>
      <c r="K654" s="1099"/>
      <c r="L654" s="1099"/>
      <c r="O654" s="140" t="s">
        <v>220</v>
      </c>
      <c r="P654" s="1100"/>
      <c r="Q654" s="1100"/>
      <c r="R654" s="1100"/>
      <c r="T654" s="35"/>
      <c r="U654" s="12" t="s">
        <v>338</v>
      </c>
      <c r="Z654" s="1099"/>
      <c r="AA654" s="1099"/>
      <c r="AB654" s="1099"/>
      <c r="AC654" s="1099"/>
      <c r="AD654" s="1099"/>
      <c r="AE654" s="1099"/>
      <c r="AH654" s="140" t="s">
        <v>220</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722</v>
      </c>
      <c r="O656" s="1096"/>
      <c r="T656" s="35"/>
      <c r="U656" s="12" t="s">
        <v>22</v>
      </c>
      <c r="AG656" s="1096" t="s">
        <v>722</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7">
        <f>C624</f>
        <v>0</v>
      </c>
      <c r="H658" s="1097"/>
      <c r="I658" s="1097"/>
      <c r="J658" s="1097"/>
      <c r="K658" s="1097"/>
      <c r="L658" s="1097"/>
      <c r="M658" s="1097"/>
      <c r="N658" s="1097"/>
      <c r="O658" s="1097"/>
      <c r="P658" s="1097"/>
      <c r="Q658" s="1097"/>
      <c r="R658" s="1097"/>
      <c r="T658" s="87" t="s">
        <v>501</v>
      </c>
      <c r="U658" s="12" t="s">
        <v>509</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5"/>
      <c r="H660" s="1095"/>
      <c r="I660" s="1095"/>
      <c r="J660" s="1095"/>
      <c r="K660" s="1095"/>
      <c r="L660" s="1095"/>
      <c r="M660" s="1095"/>
      <c r="N660" s="1095"/>
      <c r="O660" s="1095"/>
      <c r="P660" s="1095"/>
      <c r="Q660" s="1095"/>
      <c r="R660" s="1095"/>
      <c r="T660" s="35"/>
      <c r="U660" s="12" t="s">
        <v>630</v>
      </c>
      <c r="Z660" s="1117"/>
      <c r="AA660" s="1117"/>
      <c r="AB660" s="1117"/>
      <c r="AC660" s="1117"/>
      <c r="AD660" s="1117"/>
      <c r="AE660" s="1117"/>
      <c r="AF660" s="1117"/>
      <c r="AG660" s="1117"/>
      <c r="AH660" s="1117"/>
      <c r="AI660" s="1117"/>
      <c r="AJ660" s="1117"/>
      <c r="AK660" s="111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7"/>
      <c r="AA661" s="1117"/>
      <c r="AB661" s="1117"/>
      <c r="AC661" s="1117"/>
      <c r="AD661" s="1117"/>
      <c r="AE661" s="1117"/>
      <c r="AF661" s="1117"/>
      <c r="AG661" s="1117"/>
      <c r="AH661" s="1117"/>
      <c r="AI661" s="1117"/>
      <c r="AJ661" s="1117"/>
      <c r="AK661" s="111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c r="H662" s="1099"/>
      <c r="I662" s="1099"/>
      <c r="J662" s="1099"/>
      <c r="K662" s="1099"/>
      <c r="L662" s="1099"/>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722</v>
      </c>
      <c r="O664" s="1096"/>
      <c r="T664" s="35"/>
      <c r="U664" s="12" t="s">
        <v>22</v>
      </c>
      <c r="AG664" s="1096" t="s">
        <v>722</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7">
        <f>C626</f>
        <v>0</v>
      </c>
      <c r="H666" s="1097"/>
      <c r="I666" s="1097"/>
      <c r="J666" s="1097"/>
      <c r="K666" s="1097"/>
      <c r="L666" s="1097"/>
      <c r="M666" s="1097"/>
      <c r="N666" s="1097"/>
      <c r="O666" s="1097"/>
      <c r="P666" s="1097"/>
      <c r="Q666" s="1097"/>
      <c r="R666" s="1097"/>
      <c r="T666" s="87" t="s">
        <v>696</v>
      </c>
      <c r="U666" s="12" t="s">
        <v>509</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5"/>
      <c r="H668" s="1095"/>
      <c r="I668" s="1095"/>
      <c r="J668" s="1095"/>
      <c r="K668" s="1095"/>
      <c r="L668" s="1095"/>
      <c r="M668" s="1095"/>
      <c r="N668" s="1095"/>
      <c r="O668" s="1095"/>
      <c r="P668" s="1095"/>
      <c r="Q668" s="1095"/>
      <c r="R668" s="1095"/>
      <c r="T668" s="35"/>
      <c r="U668" s="12" t="s">
        <v>630</v>
      </c>
      <c r="Z668" s="1117"/>
      <c r="AA668" s="1117"/>
      <c r="AB668" s="1117"/>
      <c r="AC668" s="1117"/>
      <c r="AD668" s="1117"/>
      <c r="AE668" s="1117"/>
      <c r="AF668" s="1117"/>
      <c r="AG668" s="1117"/>
      <c r="AH668" s="1117"/>
      <c r="AI668" s="1117"/>
      <c r="AJ668" s="1117"/>
      <c r="AK668" s="111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7"/>
      <c r="AA669" s="1117"/>
      <c r="AB669" s="1117"/>
      <c r="AC669" s="1117"/>
      <c r="AD669" s="1117"/>
      <c r="AE669" s="1117"/>
      <c r="AF669" s="1117"/>
      <c r="AG669" s="1117"/>
      <c r="AH669" s="1117"/>
      <c r="AI669" s="1117"/>
      <c r="AJ669" s="1117"/>
      <c r="AK669" s="111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722</v>
      </c>
      <c r="O672" s="1096"/>
      <c r="T672" s="35"/>
      <c r="U672" s="12" t="s">
        <v>22</v>
      </c>
      <c r="AG672" s="1096" t="s">
        <v>722</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7">
        <f>C628</f>
        <v>0</v>
      </c>
      <c r="H674" s="1097"/>
      <c r="I674" s="1097"/>
      <c r="J674" s="1097"/>
      <c r="K674" s="1097"/>
      <c r="L674" s="1097"/>
      <c r="M674" s="1097"/>
      <c r="N674" s="1097"/>
      <c r="O674" s="1097"/>
      <c r="P674" s="1097"/>
      <c r="Q674" s="1097"/>
      <c r="R674" s="1097"/>
      <c r="T674" s="87" t="s">
        <v>387</v>
      </c>
      <c r="U674" s="12" t="s">
        <v>509</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997</v>
      </c>
      <c r="AT675" s="479">
        <f>SUM(AT650:AT674)</f>
        <v>321</v>
      </c>
      <c r="AU675" s="480">
        <f>SUM(AU650:AU674)</f>
        <v>1</v>
      </c>
      <c r="AV675" s="480">
        <f>SUM(AV650:AV674)</f>
        <v>0.58940809968847352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5"/>
      <c r="H676" s="1095"/>
      <c r="I676" s="1095"/>
      <c r="J676" s="1095"/>
      <c r="K676" s="1095"/>
      <c r="L676" s="1095"/>
      <c r="M676" s="1095"/>
      <c r="N676" s="1095"/>
      <c r="O676" s="1095"/>
      <c r="P676" s="1095"/>
      <c r="Q676" s="1095"/>
      <c r="R676" s="1095"/>
      <c r="U676" s="12" t="s">
        <v>630</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722</v>
      </c>
      <c r="O680" s="1096"/>
      <c r="U680" s="12" t="s">
        <v>22</v>
      </c>
      <c r="AG680" s="1096" t="s">
        <v>722</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591</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591</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43749</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9"/>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1"/>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CSCDA</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722</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491</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697</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348</v>
      </c>
      <c r="C709" s="1167"/>
      <c r="D709" s="1167"/>
      <c r="E709" s="1167"/>
      <c r="F709" s="1168"/>
      <c r="G709" s="1122">
        <v>21</v>
      </c>
      <c r="H709" s="1123"/>
      <c r="I709" s="1123"/>
      <c r="J709" s="1124"/>
      <c r="K709" s="1181">
        <v>1114</v>
      </c>
      <c r="L709" s="1182"/>
      <c r="M709" s="1182"/>
      <c r="N709" s="1182"/>
      <c r="O709" s="1183"/>
      <c r="P709" s="1152">
        <f t="shared" ref="P709:P733" si="26">G709*K709</f>
        <v>23394</v>
      </c>
      <c r="Q709" s="1114"/>
      <c r="R709" s="1114"/>
      <c r="S709" s="1114"/>
      <c r="T709" s="1153"/>
      <c r="U709" s="1181">
        <v>48</v>
      </c>
      <c r="V709" s="1182"/>
      <c r="W709" s="1182"/>
      <c r="X709" s="1183"/>
      <c r="Y709" s="1152">
        <f>K709+U709</f>
        <v>1162</v>
      </c>
      <c r="Z709" s="1114"/>
      <c r="AA709" s="1114"/>
      <c r="AB709" s="1114"/>
      <c r="AC709" s="1153"/>
      <c r="AD709" s="1111">
        <v>0.5</v>
      </c>
      <c r="AE709" s="1112"/>
      <c r="AF709" s="1112"/>
      <c r="AG709" s="1112"/>
      <c r="AH709" s="1113"/>
      <c r="AI709" s="1126">
        <f t="shared" ref="AI709:AI733" si="27">IF($AD709&gt;0,($Y709/$AN649), " ")</f>
        <v>0.5</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348</v>
      </c>
      <c r="C710" s="1167"/>
      <c r="D710" s="1167"/>
      <c r="E710" s="1167"/>
      <c r="F710" s="1168"/>
      <c r="G710" s="1122">
        <v>180</v>
      </c>
      <c r="H710" s="1123"/>
      <c r="I710" s="1123"/>
      <c r="J710" s="1124"/>
      <c r="K710" s="1181">
        <v>1347</v>
      </c>
      <c r="L710" s="1182"/>
      <c r="M710" s="1182"/>
      <c r="N710" s="1182"/>
      <c r="O710" s="1183"/>
      <c r="P710" s="1152">
        <f t="shared" si="26"/>
        <v>242460</v>
      </c>
      <c r="Q710" s="1114"/>
      <c r="R710" s="1114"/>
      <c r="S710" s="1114"/>
      <c r="T710" s="1153"/>
      <c r="U710" s="1181">
        <v>48</v>
      </c>
      <c r="V710" s="1182"/>
      <c r="W710" s="1182"/>
      <c r="X710" s="1183"/>
      <c r="Y710" s="1152">
        <f t="shared" ref="Y710:Y733" si="28">K710+U710</f>
        <v>1395</v>
      </c>
      <c r="Z710" s="1114"/>
      <c r="AA710" s="1114"/>
      <c r="AB710" s="1114"/>
      <c r="AC710" s="1153"/>
      <c r="AD710" s="1111">
        <v>0.6</v>
      </c>
      <c r="AE710" s="1112"/>
      <c r="AF710" s="1112"/>
      <c r="AG710" s="1112"/>
      <c r="AH710" s="1113"/>
      <c r="AI710" s="1126">
        <f t="shared" si="27"/>
        <v>0.60025817555938032</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t="s">
        <v>170</v>
      </c>
      <c r="C711" s="1167"/>
      <c r="D711" s="1167"/>
      <c r="E711" s="1167"/>
      <c r="F711" s="1168"/>
      <c r="G711" s="1122">
        <v>13</v>
      </c>
      <c r="H711" s="1123"/>
      <c r="I711" s="1123"/>
      <c r="J711" s="1124"/>
      <c r="K711" s="1181">
        <v>1330</v>
      </c>
      <c r="L711" s="1182"/>
      <c r="M711" s="1182"/>
      <c r="N711" s="1182"/>
      <c r="O711" s="1183"/>
      <c r="P711" s="1152">
        <f t="shared" si="26"/>
        <v>17290</v>
      </c>
      <c r="Q711" s="1114"/>
      <c r="R711" s="1114"/>
      <c r="S711" s="1114"/>
      <c r="T711" s="1153"/>
      <c r="U711" s="1181">
        <v>65</v>
      </c>
      <c r="V711" s="1182"/>
      <c r="W711" s="1182"/>
      <c r="X711" s="1183"/>
      <c r="Y711" s="1152">
        <f t="shared" si="28"/>
        <v>1395</v>
      </c>
      <c r="Z711" s="1114"/>
      <c r="AA711" s="1114"/>
      <c r="AB711" s="1114"/>
      <c r="AC711" s="1153"/>
      <c r="AD711" s="1111">
        <v>0.5</v>
      </c>
      <c r="AE711" s="1112"/>
      <c r="AF711" s="1112"/>
      <c r="AG711" s="1112"/>
      <c r="AH711" s="1113"/>
      <c r="AI711" s="1126">
        <f t="shared" si="27"/>
        <v>0.5</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t="s">
        <v>170</v>
      </c>
      <c r="C712" s="1167"/>
      <c r="D712" s="1167"/>
      <c r="E712" s="1167"/>
      <c r="F712" s="1168"/>
      <c r="G712" s="1122">
        <v>107</v>
      </c>
      <c r="H712" s="1123"/>
      <c r="I712" s="1123"/>
      <c r="J712" s="1124"/>
      <c r="K712" s="1180">
        <v>1609</v>
      </c>
      <c r="L712" s="1180"/>
      <c r="M712" s="1180"/>
      <c r="N712" s="1180"/>
      <c r="O712" s="1180"/>
      <c r="P712" s="1121">
        <f t="shared" si="26"/>
        <v>172163</v>
      </c>
      <c r="Q712" s="1121"/>
      <c r="R712" s="1121"/>
      <c r="S712" s="1121"/>
      <c r="T712" s="1121"/>
      <c r="U712" s="1181">
        <v>65</v>
      </c>
      <c r="V712" s="1182"/>
      <c r="W712" s="1182"/>
      <c r="X712" s="1183"/>
      <c r="Y712" s="1121">
        <f t="shared" si="28"/>
        <v>1674</v>
      </c>
      <c r="Z712" s="1121"/>
      <c r="AA712" s="1121"/>
      <c r="AB712" s="1121"/>
      <c r="AC712" s="1121"/>
      <c r="AD712" s="1111">
        <v>0.6</v>
      </c>
      <c r="AE712" s="1112"/>
      <c r="AF712" s="1112"/>
      <c r="AG712" s="1112"/>
      <c r="AH712" s="1113"/>
      <c r="AI712" s="1126">
        <f t="shared" si="27"/>
        <v>0.6</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c r="C713" s="1167"/>
      <c r="D713" s="1167"/>
      <c r="E713" s="1167"/>
      <c r="F713" s="1168"/>
      <c r="G713" s="1122"/>
      <c r="H713" s="1123"/>
      <c r="I713" s="1123"/>
      <c r="J713" s="1124"/>
      <c r="K713" s="1180"/>
      <c r="L713" s="1180"/>
      <c r="M713" s="1180"/>
      <c r="N713" s="1180"/>
      <c r="O713" s="1180"/>
      <c r="P713" s="1121">
        <f t="shared" si="26"/>
        <v>0</v>
      </c>
      <c r="Q713" s="1121"/>
      <c r="R713" s="1121"/>
      <c r="S713" s="1121"/>
      <c r="T713" s="1121"/>
      <c r="U713" s="1181"/>
      <c r="V713" s="1182"/>
      <c r="W713" s="1182"/>
      <c r="X713" s="1183"/>
      <c r="Y713" s="1121">
        <f t="shared" si="28"/>
        <v>0</v>
      </c>
      <c r="Z713" s="1121"/>
      <c r="AA713" s="1121"/>
      <c r="AB713" s="1121"/>
      <c r="AC713" s="1121"/>
      <c r="AD713" s="1111"/>
      <c r="AE713" s="1112"/>
      <c r="AF713" s="1112"/>
      <c r="AG713" s="1112"/>
      <c r="AH713" s="1113"/>
      <c r="AI713" s="1126" t="str">
        <f t="shared" si="27"/>
        <v xml:space="preserve"> </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c r="C714" s="1167"/>
      <c r="D714" s="1167"/>
      <c r="E714" s="1167"/>
      <c r="F714" s="1168"/>
      <c r="G714" s="1122"/>
      <c r="H714" s="1123"/>
      <c r="I714" s="1123"/>
      <c r="J714" s="1124"/>
      <c r="K714" s="1180"/>
      <c r="L714" s="1180"/>
      <c r="M714" s="1180"/>
      <c r="N714" s="1180"/>
      <c r="O714" s="1180"/>
      <c r="P714" s="1121">
        <f t="shared" si="26"/>
        <v>0</v>
      </c>
      <c r="Q714" s="1121"/>
      <c r="R714" s="1121"/>
      <c r="S714" s="1121"/>
      <c r="T714" s="1121"/>
      <c r="U714" s="1181"/>
      <c r="V714" s="1182"/>
      <c r="W714" s="1182"/>
      <c r="X714" s="1183"/>
      <c r="Y714" s="1121">
        <f t="shared" si="28"/>
        <v>0</v>
      </c>
      <c r="Z714" s="1121"/>
      <c r="AA714" s="1121"/>
      <c r="AB714" s="1121"/>
      <c r="AC714" s="1121"/>
      <c r="AD714" s="1111"/>
      <c r="AE714" s="1112"/>
      <c r="AF714" s="1112"/>
      <c r="AG714" s="1112"/>
      <c r="AH714" s="1113"/>
      <c r="AI714" s="1126" t="str">
        <f t="shared" si="27"/>
        <v xml:space="preserve"> </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c r="C715" s="1167"/>
      <c r="D715" s="1167"/>
      <c r="E715" s="1167"/>
      <c r="F715" s="1168"/>
      <c r="G715" s="1122"/>
      <c r="H715" s="1123"/>
      <c r="I715" s="1123"/>
      <c r="J715" s="1124"/>
      <c r="K715" s="1180"/>
      <c r="L715" s="1180"/>
      <c r="M715" s="1180"/>
      <c r="N715" s="1180"/>
      <c r="O715" s="1180"/>
      <c r="P715" s="1121">
        <f t="shared" si="26"/>
        <v>0</v>
      </c>
      <c r="Q715" s="1121"/>
      <c r="R715" s="1121"/>
      <c r="S715" s="1121"/>
      <c r="T715" s="1121"/>
      <c r="U715" s="1181"/>
      <c r="V715" s="1182"/>
      <c r="W715" s="1182"/>
      <c r="X715" s="1183"/>
      <c r="Y715" s="1121">
        <f t="shared" si="28"/>
        <v>0</v>
      </c>
      <c r="Z715" s="1121"/>
      <c r="AA715" s="1121"/>
      <c r="AB715" s="1121"/>
      <c r="AC715" s="1121"/>
      <c r="AD715" s="1111"/>
      <c r="AE715" s="1112"/>
      <c r="AF715" s="1112"/>
      <c r="AG715" s="1112"/>
      <c r="AH715" s="1113"/>
      <c r="AI715" s="1126" t="str">
        <f t="shared" si="27"/>
        <v xml:space="preserve"> </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c r="C716" s="1167"/>
      <c r="D716" s="1167"/>
      <c r="E716" s="1167"/>
      <c r="F716" s="1168"/>
      <c r="G716" s="1122"/>
      <c r="H716" s="1123"/>
      <c r="I716" s="1123"/>
      <c r="J716" s="1124"/>
      <c r="K716" s="1180"/>
      <c r="L716" s="1180"/>
      <c r="M716" s="1180"/>
      <c r="N716" s="1180"/>
      <c r="O716" s="1180"/>
      <c r="P716" s="1121">
        <f t="shared" si="26"/>
        <v>0</v>
      </c>
      <c r="Q716" s="1121"/>
      <c r="R716" s="1121"/>
      <c r="S716" s="1121"/>
      <c r="T716" s="1121"/>
      <c r="U716" s="1181"/>
      <c r="V716" s="1182"/>
      <c r="W716" s="1182"/>
      <c r="X716" s="1183"/>
      <c r="Y716" s="1121">
        <f t="shared" si="28"/>
        <v>0</v>
      </c>
      <c r="Z716" s="1121"/>
      <c r="AA716" s="1121"/>
      <c r="AB716" s="1121"/>
      <c r="AC716" s="1121"/>
      <c r="AD716" s="1111"/>
      <c r="AE716" s="1112"/>
      <c r="AF716" s="1112"/>
      <c r="AG716" s="1112"/>
      <c r="AH716" s="1113"/>
      <c r="AI716" s="1126" t="str">
        <f t="shared" si="27"/>
        <v xml:space="preserve"> </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c r="C717" s="1167"/>
      <c r="D717" s="1167"/>
      <c r="E717" s="1167"/>
      <c r="F717" s="1168"/>
      <c r="G717" s="1122"/>
      <c r="H717" s="1123"/>
      <c r="I717" s="1123"/>
      <c r="J717" s="1124"/>
      <c r="K717" s="1180"/>
      <c r="L717" s="1180"/>
      <c r="M717" s="1180"/>
      <c r="N717" s="1180"/>
      <c r="O717" s="1180"/>
      <c r="P717" s="1121">
        <f t="shared" si="26"/>
        <v>0</v>
      </c>
      <c r="Q717" s="1121"/>
      <c r="R717" s="1121"/>
      <c r="S717" s="1121"/>
      <c r="T717" s="1121"/>
      <c r="U717" s="1181"/>
      <c r="V717" s="1182"/>
      <c r="W717" s="1182"/>
      <c r="X717" s="1183"/>
      <c r="Y717" s="1121">
        <f t="shared" si="28"/>
        <v>0</v>
      </c>
      <c r="Z717" s="1121"/>
      <c r="AA717" s="1121"/>
      <c r="AB717" s="1121"/>
      <c r="AC717" s="1121"/>
      <c r="AD717" s="1111"/>
      <c r="AE717" s="1112"/>
      <c r="AF717" s="1112"/>
      <c r="AG717" s="1112"/>
      <c r="AH717" s="1113"/>
      <c r="AI717" s="1126" t="str">
        <f t="shared" si="27"/>
        <v xml:space="preserve"> </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2"/>
      <c r="H718" s="1123"/>
      <c r="I718" s="1123"/>
      <c r="J718" s="1124"/>
      <c r="K718" s="1256"/>
      <c r="L718" s="1256"/>
      <c r="M718" s="1256"/>
      <c r="N718" s="1256"/>
      <c r="O718" s="1256"/>
      <c r="P718" s="1125">
        <f t="shared" si="26"/>
        <v>0</v>
      </c>
      <c r="Q718" s="1125"/>
      <c r="R718" s="1125"/>
      <c r="S718" s="1125"/>
      <c r="T718" s="1125"/>
      <c r="U718" s="1181"/>
      <c r="V718" s="1182"/>
      <c r="W718" s="1182"/>
      <c r="X718" s="1183"/>
      <c r="Y718" s="1125">
        <f t="shared" si="28"/>
        <v>0</v>
      </c>
      <c r="Z718" s="1125"/>
      <c r="AA718" s="1125"/>
      <c r="AB718" s="1125"/>
      <c r="AC718" s="1125"/>
      <c r="AD718" s="1111"/>
      <c r="AE718" s="1112"/>
      <c r="AF718" s="1112"/>
      <c r="AG718" s="1112"/>
      <c r="AH718" s="1113"/>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2"/>
      <c r="H719" s="1123"/>
      <c r="I719" s="1123"/>
      <c r="J719" s="1124"/>
      <c r="K719" s="1180"/>
      <c r="L719" s="1180"/>
      <c r="M719" s="1180"/>
      <c r="N719" s="1180"/>
      <c r="O719" s="1180"/>
      <c r="P719" s="1121">
        <f t="shared" si="26"/>
        <v>0</v>
      </c>
      <c r="Q719" s="1121"/>
      <c r="R719" s="1121"/>
      <c r="S719" s="1121"/>
      <c r="T719" s="1121"/>
      <c r="U719" s="1181"/>
      <c r="V719" s="1182"/>
      <c r="W719" s="1182"/>
      <c r="X719" s="1183"/>
      <c r="Y719" s="1121">
        <f t="shared" si="28"/>
        <v>0</v>
      </c>
      <c r="Z719" s="1121"/>
      <c r="AA719" s="1121"/>
      <c r="AB719" s="1121"/>
      <c r="AC719" s="1121"/>
      <c r="AD719" s="1111"/>
      <c r="AE719" s="1112"/>
      <c r="AF719" s="1112"/>
      <c r="AG719" s="1112"/>
      <c r="AH719" s="1113"/>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2"/>
      <c r="H720" s="1123"/>
      <c r="I720" s="1123"/>
      <c r="J720" s="1124"/>
      <c r="K720" s="1180"/>
      <c r="L720" s="1180"/>
      <c r="M720" s="1180"/>
      <c r="N720" s="1180"/>
      <c r="O720" s="1180"/>
      <c r="P720" s="1121">
        <f t="shared" si="26"/>
        <v>0</v>
      </c>
      <c r="Q720" s="1121"/>
      <c r="R720" s="1121"/>
      <c r="S720" s="1121"/>
      <c r="T720" s="1121"/>
      <c r="U720" s="1181">
        <v>0</v>
      </c>
      <c r="V720" s="1182"/>
      <c r="W720" s="1182"/>
      <c r="X720" s="1183"/>
      <c r="Y720" s="1121">
        <f t="shared" si="28"/>
        <v>0</v>
      </c>
      <c r="Z720" s="1121"/>
      <c r="AA720" s="1121"/>
      <c r="AB720" s="1121"/>
      <c r="AC720" s="1121"/>
      <c r="AD720" s="1111">
        <v>0</v>
      </c>
      <c r="AE720" s="1112"/>
      <c r="AF720" s="1112"/>
      <c r="AG720" s="1112"/>
      <c r="AH720" s="1113"/>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2"/>
      <c r="H721" s="1123"/>
      <c r="I721" s="1123"/>
      <c r="J721" s="1124"/>
      <c r="K721" s="1180"/>
      <c r="L721" s="1180"/>
      <c r="M721" s="1180"/>
      <c r="N721" s="1180"/>
      <c r="O721" s="1180"/>
      <c r="P721" s="1121">
        <f t="shared" si="26"/>
        <v>0</v>
      </c>
      <c r="Q721" s="1121"/>
      <c r="R721" s="1121"/>
      <c r="S721" s="1121"/>
      <c r="T721" s="1121"/>
      <c r="U721" s="1181">
        <v>0</v>
      </c>
      <c r="V721" s="1182"/>
      <c r="W721" s="1182"/>
      <c r="X721" s="1183"/>
      <c r="Y721" s="1121">
        <f t="shared" si="28"/>
        <v>0</v>
      </c>
      <c r="Z721" s="1121"/>
      <c r="AA721" s="1121"/>
      <c r="AB721" s="1121"/>
      <c r="AC721" s="1121"/>
      <c r="AD721" s="1111">
        <v>0</v>
      </c>
      <c r="AE721" s="1112"/>
      <c r="AF721" s="1112"/>
      <c r="AG721" s="1112"/>
      <c r="AH721" s="1113"/>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2"/>
      <c r="H722" s="1123"/>
      <c r="I722" s="1123"/>
      <c r="J722" s="1124"/>
      <c r="K722" s="1180"/>
      <c r="L722" s="1180"/>
      <c r="M722" s="1180"/>
      <c r="N722" s="1180"/>
      <c r="O722" s="1180"/>
      <c r="P722" s="1121">
        <f t="shared" si="26"/>
        <v>0</v>
      </c>
      <c r="Q722" s="1121"/>
      <c r="R722" s="1121"/>
      <c r="S722" s="1121"/>
      <c r="T722" s="1121"/>
      <c r="U722" s="1181">
        <v>0</v>
      </c>
      <c r="V722" s="1182"/>
      <c r="W722" s="1182"/>
      <c r="X722" s="1183"/>
      <c r="Y722" s="1121">
        <f t="shared" si="28"/>
        <v>0</v>
      </c>
      <c r="Z722" s="1121"/>
      <c r="AA722" s="1121"/>
      <c r="AB722" s="1121"/>
      <c r="AC722" s="1121"/>
      <c r="AD722" s="1111">
        <v>0</v>
      </c>
      <c r="AE722" s="1112"/>
      <c r="AF722" s="1112"/>
      <c r="AG722" s="1112"/>
      <c r="AH722" s="1113"/>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2"/>
      <c r="H723" s="1123"/>
      <c r="I723" s="1123"/>
      <c r="J723" s="1124"/>
      <c r="K723" s="1180"/>
      <c r="L723" s="1180"/>
      <c r="M723" s="1180"/>
      <c r="N723" s="1180"/>
      <c r="O723" s="1180"/>
      <c r="P723" s="1121">
        <f t="shared" si="26"/>
        <v>0</v>
      </c>
      <c r="Q723" s="1121"/>
      <c r="R723" s="1121"/>
      <c r="S723" s="1121"/>
      <c r="T723" s="1121"/>
      <c r="U723" s="1181">
        <v>0</v>
      </c>
      <c r="V723" s="1182"/>
      <c r="W723" s="1182"/>
      <c r="X723" s="1183"/>
      <c r="Y723" s="1121">
        <f t="shared" si="28"/>
        <v>0</v>
      </c>
      <c r="Z723" s="1121"/>
      <c r="AA723" s="1121"/>
      <c r="AB723" s="1121"/>
      <c r="AC723" s="1121"/>
      <c r="AD723" s="1111">
        <v>0</v>
      </c>
      <c r="AE723" s="1112"/>
      <c r="AF723" s="1112"/>
      <c r="AG723" s="1112"/>
      <c r="AH723" s="1113"/>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2"/>
      <c r="H724" s="1123"/>
      <c r="I724" s="1123"/>
      <c r="J724" s="1124"/>
      <c r="K724" s="1180"/>
      <c r="L724" s="1180"/>
      <c r="M724" s="1180"/>
      <c r="N724" s="1180"/>
      <c r="O724" s="1180"/>
      <c r="P724" s="1121">
        <f t="shared" si="26"/>
        <v>0</v>
      </c>
      <c r="Q724" s="1121"/>
      <c r="R724" s="1121"/>
      <c r="S724" s="1121"/>
      <c r="T724" s="1121"/>
      <c r="U724" s="1181">
        <v>0</v>
      </c>
      <c r="V724" s="1182"/>
      <c r="W724" s="1182"/>
      <c r="X724" s="1183"/>
      <c r="Y724" s="1121">
        <f>K724+U724</f>
        <v>0</v>
      </c>
      <c r="Z724" s="1121"/>
      <c r="AA724" s="1121"/>
      <c r="AB724" s="1121"/>
      <c r="AC724" s="1121"/>
      <c r="AD724" s="1111">
        <v>0</v>
      </c>
      <c r="AE724" s="1112"/>
      <c r="AF724" s="1112"/>
      <c r="AG724" s="1112"/>
      <c r="AH724" s="1113"/>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2"/>
      <c r="H725" s="1123"/>
      <c r="I725" s="1123"/>
      <c r="J725" s="1124"/>
      <c r="K725" s="1180"/>
      <c r="L725" s="1180"/>
      <c r="M725" s="1180"/>
      <c r="N725" s="1180"/>
      <c r="O725" s="1180"/>
      <c r="P725" s="1121">
        <f t="shared" si="26"/>
        <v>0</v>
      </c>
      <c r="Q725" s="1121"/>
      <c r="R725" s="1121"/>
      <c r="S725" s="1121"/>
      <c r="T725" s="1121"/>
      <c r="U725" s="1181">
        <v>0</v>
      </c>
      <c r="V725" s="1182"/>
      <c r="W725" s="1182"/>
      <c r="X725" s="1183"/>
      <c r="Y725" s="1121">
        <f>K725+U725</f>
        <v>0</v>
      </c>
      <c r="Z725" s="1121"/>
      <c r="AA725" s="1121"/>
      <c r="AB725" s="1121"/>
      <c r="AC725" s="1121"/>
      <c r="AD725" s="1111">
        <v>0</v>
      </c>
      <c r="AE725" s="1112"/>
      <c r="AF725" s="1112"/>
      <c r="AG725" s="1112"/>
      <c r="AH725" s="1113"/>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2"/>
      <c r="H726" s="1123"/>
      <c r="I726" s="1123"/>
      <c r="J726" s="1124"/>
      <c r="K726" s="1180"/>
      <c r="L726" s="1180"/>
      <c r="M726" s="1180"/>
      <c r="N726" s="1180"/>
      <c r="O726" s="1180"/>
      <c r="P726" s="1121">
        <f t="shared" si="26"/>
        <v>0</v>
      </c>
      <c r="Q726" s="1121"/>
      <c r="R726" s="1121"/>
      <c r="S726" s="1121"/>
      <c r="T726" s="1121"/>
      <c r="U726" s="1181">
        <v>0</v>
      </c>
      <c r="V726" s="1182"/>
      <c r="W726" s="1182"/>
      <c r="X726" s="1183"/>
      <c r="Y726" s="1121">
        <f>K726+U726</f>
        <v>0</v>
      </c>
      <c r="Z726" s="1121"/>
      <c r="AA726" s="1121"/>
      <c r="AB726" s="1121"/>
      <c r="AC726" s="1121"/>
      <c r="AD726" s="1111">
        <v>0</v>
      </c>
      <c r="AE726" s="1112"/>
      <c r="AF726" s="1112"/>
      <c r="AG726" s="1112"/>
      <c r="AH726" s="1113"/>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2"/>
      <c r="H727" s="1123"/>
      <c r="I727" s="1123"/>
      <c r="J727" s="1124"/>
      <c r="K727" s="1180"/>
      <c r="L727" s="1180"/>
      <c r="M727" s="1180"/>
      <c r="N727" s="1180"/>
      <c r="O727" s="1180"/>
      <c r="P727" s="1121">
        <f t="shared" si="26"/>
        <v>0</v>
      </c>
      <c r="Q727" s="1121"/>
      <c r="R727" s="1121"/>
      <c r="S727" s="1121"/>
      <c r="T727" s="1121"/>
      <c r="U727" s="1181">
        <v>0</v>
      </c>
      <c r="V727" s="1182"/>
      <c r="W727" s="1182"/>
      <c r="X727" s="1183"/>
      <c r="Y727" s="1121">
        <f>K727+U727</f>
        <v>0</v>
      </c>
      <c r="Z727" s="1121"/>
      <c r="AA727" s="1121"/>
      <c r="AB727" s="1121"/>
      <c r="AC727" s="1121"/>
      <c r="AD727" s="1111">
        <v>0</v>
      </c>
      <c r="AE727" s="1112"/>
      <c r="AF727" s="1112"/>
      <c r="AG727" s="1112"/>
      <c r="AH727" s="1113"/>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2"/>
      <c r="H728" s="1123"/>
      <c r="I728" s="1123"/>
      <c r="J728" s="1124"/>
      <c r="K728" s="1180"/>
      <c r="L728" s="1180"/>
      <c r="M728" s="1180"/>
      <c r="N728" s="1180"/>
      <c r="O728" s="1180"/>
      <c r="P728" s="1121">
        <f t="shared" si="26"/>
        <v>0</v>
      </c>
      <c r="Q728" s="1121"/>
      <c r="R728" s="1121"/>
      <c r="S728" s="1121"/>
      <c r="T728" s="1121"/>
      <c r="U728" s="1181">
        <v>0</v>
      </c>
      <c r="V728" s="1182"/>
      <c r="W728" s="1182"/>
      <c r="X728" s="1183"/>
      <c r="Y728" s="1121">
        <f>K728+U728</f>
        <v>0</v>
      </c>
      <c r="Z728" s="1121"/>
      <c r="AA728" s="1121"/>
      <c r="AB728" s="1121"/>
      <c r="AC728" s="1121"/>
      <c r="AD728" s="1111">
        <v>0</v>
      </c>
      <c r="AE728" s="1112"/>
      <c r="AF728" s="1112"/>
      <c r="AG728" s="1112"/>
      <c r="AH728" s="1113"/>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2"/>
      <c r="H729" s="1123"/>
      <c r="I729" s="1123"/>
      <c r="J729" s="1124"/>
      <c r="K729" s="1180"/>
      <c r="L729" s="1180"/>
      <c r="M729" s="1180"/>
      <c r="N729" s="1180"/>
      <c r="O729" s="1180"/>
      <c r="P729" s="1121">
        <f t="shared" si="26"/>
        <v>0</v>
      </c>
      <c r="Q729" s="1121"/>
      <c r="R729" s="1121"/>
      <c r="S729" s="1121"/>
      <c r="T729" s="1121"/>
      <c r="U729" s="1181">
        <v>0</v>
      </c>
      <c r="V729" s="1182"/>
      <c r="W729" s="1182"/>
      <c r="X729" s="1183"/>
      <c r="Y729" s="1121">
        <f t="shared" si="28"/>
        <v>0</v>
      </c>
      <c r="Z729" s="1121"/>
      <c r="AA729" s="1121"/>
      <c r="AB729" s="1121"/>
      <c r="AC729" s="1121"/>
      <c r="AD729" s="1111">
        <v>0</v>
      </c>
      <c r="AE729" s="1112"/>
      <c r="AF729" s="1112"/>
      <c r="AG729" s="1112"/>
      <c r="AH729" s="1113"/>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2"/>
      <c r="H730" s="1123"/>
      <c r="I730" s="1123"/>
      <c r="J730" s="1124"/>
      <c r="K730" s="1180"/>
      <c r="L730" s="1180"/>
      <c r="M730" s="1180"/>
      <c r="N730" s="1180"/>
      <c r="O730" s="1180"/>
      <c r="P730" s="1121">
        <f t="shared" si="26"/>
        <v>0</v>
      </c>
      <c r="Q730" s="1121"/>
      <c r="R730" s="1121"/>
      <c r="S730" s="1121"/>
      <c r="T730" s="1121"/>
      <c r="U730" s="1181">
        <v>0</v>
      </c>
      <c r="V730" s="1182"/>
      <c r="W730" s="1182"/>
      <c r="X730" s="1183"/>
      <c r="Y730" s="1121">
        <f t="shared" si="28"/>
        <v>0</v>
      </c>
      <c r="Z730" s="1121"/>
      <c r="AA730" s="1121"/>
      <c r="AB730" s="1121"/>
      <c r="AC730" s="1121"/>
      <c r="AD730" s="1111">
        <v>0</v>
      </c>
      <c r="AE730" s="1112"/>
      <c r="AF730" s="1112"/>
      <c r="AG730" s="1112"/>
      <c r="AH730" s="1113"/>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2"/>
      <c r="H731" s="1123"/>
      <c r="I731" s="1123"/>
      <c r="J731" s="1124"/>
      <c r="K731" s="1180"/>
      <c r="L731" s="1180"/>
      <c r="M731" s="1180"/>
      <c r="N731" s="1180"/>
      <c r="O731" s="1180"/>
      <c r="P731" s="1121">
        <f t="shared" si="26"/>
        <v>0</v>
      </c>
      <c r="Q731" s="1121"/>
      <c r="R731" s="1121"/>
      <c r="S731" s="1121"/>
      <c r="T731" s="1121"/>
      <c r="U731" s="1181">
        <v>0</v>
      </c>
      <c r="V731" s="1182"/>
      <c r="W731" s="1182"/>
      <c r="X731" s="1183"/>
      <c r="Y731" s="1121">
        <f t="shared" si="28"/>
        <v>0</v>
      </c>
      <c r="Z731" s="1121"/>
      <c r="AA731" s="1121"/>
      <c r="AB731" s="1121"/>
      <c r="AC731" s="1121"/>
      <c r="AD731" s="1111">
        <v>0</v>
      </c>
      <c r="AE731" s="1112"/>
      <c r="AF731" s="1112"/>
      <c r="AG731" s="1112"/>
      <c r="AH731" s="1113"/>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2"/>
      <c r="H732" s="1123"/>
      <c r="I732" s="1123"/>
      <c r="J732" s="1124"/>
      <c r="K732" s="1180"/>
      <c r="L732" s="1180"/>
      <c r="M732" s="1180"/>
      <c r="N732" s="1180"/>
      <c r="O732" s="1180"/>
      <c r="P732" s="1121">
        <f t="shared" si="26"/>
        <v>0</v>
      </c>
      <c r="Q732" s="1121"/>
      <c r="R732" s="1121"/>
      <c r="S732" s="1121"/>
      <c r="T732" s="1121"/>
      <c r="U732" s="1181">
        <v>0</v>
      </c>
      <c r="V732" s="1182"/>
      <c r="W732" s="1182"/>
      <c r="X732" s="1183"/>
      <c r="Y732" s="1121">
        <f t="shared" si="28"/>
        <v>0</v>
      </c>
      <c r="Z732" s="1121"/>
      <c r="AA732" s="1121"/>
      <c r="AB732" s="1121"/>
      <c r="AC732" s="1121"/>
      <c r="AD732" s="1111">
        <v>0</v>
      </c>
      <c r="AE732" s="1112"/>
      <c r="AF732" s="1112"/>
      <c r="AG732" s="1112"/>
      <c r="AH732" s="1113"/>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2"/>
      <c r="H733" s="1123"/>
      <c r="I733" s="1123"/>
      <c r="J733" s="1124"/>
      <c r="K733" s="1180"/>
      <c r="L733" s="1180"/>
      <c r="M733" s="1180"/>
      <c r="N733" s="1180"/>
      <c r="O733" s="1180"/>
      <c r="P733" s="1121">
        <f t="shared" si="26"/>
        <v>0</v>
      </c>
      <c r="Q733" s="1121"/>
      <c r="R733" s="1121"/>
      <c r="S733" s="1121"/>
      <c r="T733" s="1121"/>
      <c r="U733" s="1181">
        <v>0</v>
      </c>
      <c r="V733" s="1182"/>
      <c r="W733" s="1182"/>
      <c r="X733" s="1183"/>
      <c r="Y733" s="1121">
        <f t="shared" si="28"/>
        <v>0</v>
      </c>
      <c r="Z733" s="1121"/>
      <c r="AA733" s="1121"/>
      <c r="AB733" s="1121"/>
      <c r="AC733" s="1121"/>
      <c r="AD733" s="1111">
        <v>0</v>
      </c>
      <c r="AE733" s="1112"/>
      <c r="AF733" s="1112"/>
      <c r="AG733" s="1112"/>
      <c r="AH733" s="1113"/>
      <c r="AI733" s="1523" t="str">
        <f t="shared" si="27"/>
        <v xml:space="preserve"> </v>
      </c>
      <c r="AJ733" s="1524"/>
      <c r="AK733" s="152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7">
        <f>SUM(G709:J733)</f>
        <v>321</v>
      </c>
      <c r="H734" s="1228"/>
      <c r="I734" s="1228"/>
      <c r="J734" s="1229"/>
      <c r="K734" s="1163" t="s">
        <v>131</v>
      </c>
      <c r="L734" s="1164"/>
      <c r="M734" s="1164"/>
      <c r="N734" s="1164"/>
      <c r="O734" s="1165"/>
      <c r="P734" s="1152">
        <f>SUM(P709:T733)</f>
        <v>455307</v>
      </c>
      <c r="Q734" s="1114"/>
      <c r="R734" s="1114"/>
      <c r="S734" s="1114"/>
      <c r="T734" s="1153"/>
      <c r="Y734" s="1235" t="s">
        <v>998</v>
      </c>
      <c r="Z734" s="1236"/>
      <c r="AA734" s="1236"/>
      <c r="AB734" s="1236"/>
      <c r="AC734" s="1237"/>
      <c r="AD734" s="1559">
        <f>AV675</f>
        <v>0.58940809968847352</v>
      </c>
      <c r="AE734" s="1560"/>
      <c r="AF734" s="1560"/>
      <c r="AG734" s="1560"/>
      <c r="AH734" s="156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1" t="s">
        <v>641</v>
      </c>
      <c r="AG736" s="1551"/>
      <c r="AH736" s="155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6" t="s">
        <v>302</v>
      </c>
      <c r="P750" s="1226"/>
      <c r="Q750" s="1226"/>
      <c r="R750" s="1226"/>
      <c r="S750" s="1226"/>
      <c r="T750" s="1226" t="s">
        <v>491</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348</v>
      </c>
      <c r="K754" s="1167"/>
      <c r="L754" s="1167"/>
      <c r="M754" s="1167"/>
      <c r="N754" s="1168"/>
      <c r="O754" s="1169">
        <v>3</v>
      </c>
      <c r="P754" s="1169"/>
      <c r="Q754" s="1169"/>
      <c r="R754" s="1169"/>
      <c r="S754" s="1169"/>
      <c r="T754" s="1180">
        <v>1879</v>
      </c>
      <c r="U754" s="1180"/>
      <c r="V754" s="1180"/>
      <c r="W754" s="1180"/>
      <c r="X754" s="1180"/>
      <c r="Y754" s="1121">
        <f>T754*O754</f>
        <v>5637</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c r="K755" s="1167"/>
      <c r="L755" s="1167"/>
      <c r="M755" s="1167"/>
      <c r="N755" s="1168"/>
      <c r="O755" s="1169"/>
      <c r="P755" s="1169"/>
      <c r="Q755" s="1169"/>
      <c r="R755" s="1169"/>
      <c r="S755" s="1169"/>
      <c r="T755" s="1180"/>
      <c r="U755" s="1180"/>
      <c r="V755" s="1180"/>
      <c r="W755" s="1180"/>
      <c r="X755" s="1180"/>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4">
        <f>SUM(O754:S757)</f>
        <v>3</v>
      </c>
      <c r="P758" s="1415"/>
      <c r="Q758" s="1415"/>
      <c r="R758" s="1415"/>
      <c r="S758" s="1416"/>
      <c r="T758" s="1408" t="s">
        <v>131</v>
      </c>
      <c r="U758" s="1409"/>
      <c r="V758" s="1409"/>
      <c r="W758" s="1409"/>
      <c r="X758" s="1410"/>
      <c r="Y758" s="1152">
        <f>SUM(Y754:AC757)</f>
        <v>5637</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722</v>
      </c>
      <c r="K760" s="141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6" t="s">
        <v>302</v>
      </c>
      <c r="P764" s="1226"/>
      <c r="Q764" s="1226"/>
      <c r="R764" s="1226"/>
      <c r="S764" s="1226"/>
      <c r="T764" s="1226" t="s">
        <v>491</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c r="K768" s="1167"/>
      <c r="L768" s="1167"/>
      <c r="M768" s="1167"/>
      <c r="N768" s="1168"/>
      <c r="O768" s="1169"/>
      <c r="P768" s="1169"/>
      <c r="Q768" s="1169"/>
      <c r="R768" s="1169"/>
      <c r="S768" s="1169"/>
      <c r="T768" s="1180"/>
      <c r="U768" s="1180"/>
      <c r="V768" s="1180"/>
      <c r="W768" s="1180"/>
      <c r="X768" s="1180"/>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c r="K769" s="1167"/>
      <c r="L769" s="1167"/>
      <c r="M769" s="1167"/>
      <c r="N769" s="1168"/>
      <c r="O769" s="1169"/>
      <c r="P769" s="1169"/>
      <c r="Q769" s="1169"/>
      <c r="R769" s="1169"/>
      <c r="S769" s="1169"/>
      <c r="T769" s="1180"/>
      <c r="U769" s="1180"/>
      <c r="V769" s="1180"/>
      <c r="W769" s="1180"/>
      <c r="X769" s="1180"/>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c r="K770" s="1167"/>
      <c r="L770" s="1167"/>
      <c r="M770" s="1167"/>
      <c r="N770" s="1168"/>
      <c r="O770" s="1169"/>
      <c r="P770" s="1169"/>
      <c r="Q770" s="1169"/>
      <c r="R770" s="1169"/>
      <c r="S770" s="1169"/>
      <c r="T770" s="1180"/>
      <c r="U770" s="1180"/>
      <c r="V770" s="1180"/>
      <c r="W770" s="1180"/>
      <c r="X770" s="1180"/>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07">
        <f>SUM(O768:S777)</f>
        <v>0</v>
      </c>
      <c r="P778" s="1407"/>
      <c r="Q778" s="1407"/>
      <c r="R778" s="1407"/>
      <c r="S778" s="1407"/>
      <c r="T778" s="1408" t="s">
        <v>131</v>
      </c>
      <c r="U778" s="1409"/>
      <c r="V778" s="1409"/>
      <c r="W778" s="1409"/>
      <c r="X778" s="1410"/>
      <c r="Y778" s="1152">
        <f>SUM(Y768:AC777)</f>
        <v>0</v>
      </c>
      <c r="Z778" s="1114"/>
      <c r="AA778" s="1114"/>
      <c r="AB778" s="1114"/>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3" t="s">
        <v>515</v>
      </c>
      <c r="BB779" s="1234"/>
      <c r="BC779" s="58"/>
      <c r="BD779" s="58"/>
      <c r="BE779" s="58"/>
      <c r="BF779" s="51" t="s">
        <v>684</v>
      </c>
      <c r="BG779" s="51"/>
      <c r="BH779" s="51"/>
      <c r="BI779" s="51"/>
      <c r="BJ779" s="51"/>
      <c r="BK779" s="51"/>
      <c r="BL779" s="51"/>
      <c r="BM779" s="51"/>
      <c r="BN779" s="51"/>
      <c r="BO779" s="1230" t="str">
        <f>T191</f>
        <v>Contra Costa</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460944</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5531328</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1">
        <v>150</v>
      </c>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4" t="s">
        <v>641</v>
      </c>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t="s">
        <v>641</v>
      </c>
      <c r="AA788" s="1210"/>
      <c r="AB788" s="1210"/>
      <c r="AC788" s="1210"/>
      <c r="AD788" s="1210"/>
      <c r="AE788" s="126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v>28500</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v>8975</v>
      </c>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v>19925</v>
      </c>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357</v>
      </c>
      <c r="Q796" s="1150"/>
      <c r="R796" s="1150"/>
      <c r="S796" s="1150"/>
      <c r="T796" s="1150"/>
      <c r="U796" s="1150"/>
      <c r="V796" s="1150"/>
      <c r="W796" s="1150"/>
      <c r="X796" s="1150"/>
      <c r="Y796" s="1151"/>
      <c r="Z796" s="1138">
        <v>132192</v>
      </c>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189592</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5">
        <f>Z797+Y781+Z789</f>
        <v>5720920</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309</v>
      </c>
      <c r="R803" s="1147"/>
      <c r="S803" s="1147"/>
      <c r="T803" s="1147"/>
      <c r="U803" s="1147" t="s">
        <v>310</v>
      </c>
      <c r="V803" s="1147"/>
      <c r="W803" s="1147"/>
      <c r="X803" s="1147"/>
      <c r="Y803" s="1147" t="s">
        <v>311</v>
      </c>
      <c r="Z803" s="1147"/>
      <c r="AA803" s="1147"/>
      <c r="AB803" s="1147"/>
      <c r="AC803" s="1147" t="s">
        <v>385</v>
      </c>
      <c r="AD803" s="1147"/>
      <c r="AE803" s="1147"/>
      <c r="AF803" s="1147"/>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7"/>
      <c r="N805" s="1157"/>
      <c r="O805" s="1157"/>
      <c r="P805" s="1157"/>
      <c r="Q805" s="1157">
        <v>15</v>
      </c>
      <c r="R805" s="1157"/>
      <c r="S805" s="1157"/>
      <c r="T805" s="1157"/>
      <c r="U805" s="1157">
        <v>17</v>
      </c>
      <c r="V805" s="1157"/>
      <c r="W805" s="1157"/>
      <c r="X805" s="1157"/>
      <c r="Y805" s="1157"/>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v>7</v>
      </c>
      <c r="R806" s="1157"/>
      <c r="S806" s="1157"/>
      <c r="T806" s="1157"/>
      <c r="U806" s="1157">
        <v>10</v>
      </c>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c r="N807" s="1157"/>
      <c r="O807" s="1157"/>
      <c r="P807" s="1157"/>
      <c r="Q807" s="1157">
        <v>3</v>
      </c>
      <c r="R807" s="1157"/>
      <c r="S807" s="1157"/>
      <c r="T807" s="1157"/>
      <c r="U807" s="1157">
        <v>5</v>
      </c>
      <c r="V807" s="1157"/>
      <c r="W807" s="1157"/>
      <c r="X807" s="1157"/>
      <c r="Y807" s="1157"/>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840</v>
      </c>
      <c r="D808" s="1159"/>
      <c r="E808" s="1159"/>
      <c r="F808" s="1159"/>
      <c r="G808" s="1159"/>
      <c r="H808" s="1159"/>
      <c r="I808" s="96"/>
      <c r="J808" s="96"/>
      <c r="K808" s="96"/>
      <c r="L808" s="97"/>
      <c r="M808" s="1157"/>
      <c r="N808" s="1157"/>
      <c r="O808" s="1157"/>
      <c r="P808" s="1157"/>
      <c r="Q808" s="1157"/>
      <c r="R808" s="1157"/>
      <c r="S808" s="1157"/>
      <c r="T808" s="1157"/>
      <c r="U808" s="1157"/>
      <c r="V808" s="1157"/>
      <c r="W808" s="1157"/>
      <c r="X808" s="1157"/>
      <c r="Y808" s="1157"/>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505</v>
      </c>
      <c r="D809" s="1159"/>
      <c r="E809" s="1159"/>
      <c r="F809" s="1159"/>
      <c r="G809" s="1159"/>
      <c r="H809" s="1159"/>
      <c r="I809" s="96"/>
      <c r="J809" s="96"/>
      <c r="K809" s="96"/>
      <c r="L809" s="97"/>
      <c r="M809" s="1157"/>
      <c r="N809" s="1157"/>
      <c r="O809" s="1157"/>
      <c r="P809" s="1157"/>
      <c r="Q809" s="1157">
        <v>18</v>
      </c>
      <c r="R809" s="1157"/>
      <c r="S809" s="1157"/>
      <c r="T809" s="1157"/>
      <c r="U809" s="1157">
        <v>28</v>
      </c>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864</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0" t="s">
        <v>357</v>
      </c>
      <c r="G811" s="1161"/>
      <c r="H811" s="1161"/>
      <c r="I811" s="1161"/>
      <c r="J811" s="1161"/>
      <c r="K811" s="1161"/>
      <c r="L811" s="1162"/>
      <c r="M811" s="1157"/>
      <c r="N811" s="1157"/>
      <c r="O811" s="1157"/>
      <c r="P811" s="1157"/>
      <c r="Q811" s="1157">
        <v>5</v>
      </c>
      <c r="R811" s="1157"/>
      <c r="S811" s="1157"/>
      <c r="T811" s="1157"/>
      <c r="U811" s="1157">
        <v>7</v>
      </c>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0</v>
      </c>
      <c r="N812" s="1191"/>
      <c r="O812" s="1191"/>
      <c r="P812" s="1191"/>
      <c r="Q812" s="1191">
        <f>SUM(Q805:T811)</f>
        <v>48</v>
      </c>
      <c r="R812" s="1191"/>
      <c r="S812" s="1191"/>
      <c r="T812" s="1191"/>
      <c r="U812" s="1191">
        <f>SUM(U805:X811)</f>
        <v>67</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6" t="s">
        <v>1764</v>
      </c>
      <c r="D817" s="1317"/>
      <c r="E817" s="1317"/>
      <c r="F817" s="1317"/>
      <c r="G817" s="1317"/>
      <c r="H817" s="1317"/>
      <c r="I817" s="1317"/>
      <c r="J817" s="1317"/>
      <c r="K817" s="1317"/>
      <c r="L817" s="1317"/>
      <c r="M817" s="1317"/>
      <c r="N817" s="1317"/>
      <c r="O817" s="1317"/>
      <c r="P817" s="1317"/>
      <c r="Q817" s="1317"/>
      <c r="R817" s="1317"/>
      <c r="S817" s="1317"/>
      <c r="T817" s="1317"/>
      <c r="U817" s="1317"/>
      <c r="V817" s="1317"/>
      <c r="W817" s="1317"/>
      <c r="X817" s="1317"/>
      <c r="Y817" s="1317"/>
      <c r="Z817" s="1317"/>
      <c r="AA817" s="1317"/>
      <c r="AB817" s="1317"/>
      <c r="AC817" s="1317"/>
      <c r="AD817" s="1317"/>
      <c r="AE817" s="1317"/>
      <c r="AF817" s="1317"/>
      <c r="AG817" s="1317"/>
      <c r="AH817" s="1317"/>
      <c r="AI817" s="1317"/>
      <c r="AJ817" s="13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5">
        <v>16200</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5">
        <v>25000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5">
        <v>15000</v>
      </c>
      <c r="X824" s="1225"/>
      <c r="Y824" s="1225"/>
      <c r="Z824" s="1225"/>
      <c r="AA824" s="1225"/>
      <c r="AB824" s="1225"/>
      <c r="AC824" s="1225"/>
      <c r="AD824" s="12"/>
      <c r="AE824" s="12"/>
      <c r="AF824" s="12"/>
      <c r="AG824" s="12"/>
      <c r="AH824" s="12"/>
      <c r="AI824" s="12"/>
      <c r="AJ824" s="12"/>
      <c r="AK824" s="12"/>
      <c r="AL824" s="12"/>
      <c r="AS824" s="21"/>
      <c r="AT824" s="56"/>
      <c r="AV824" s="1146">
        <f>ROUNDDOWN(AP908*2,2)</f>
        <v>0</v>
      </c>
      <c r="AW824" s="1146"/>
      <c r="AX824" s="1146"/>
      <c r="AY824" s="1146"/>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5">
        <v>40000</v>
      </c>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0" t="s">
        <v>357</v>
      </c>
      <c r="N826" s="1161"/>
      <c r="O826" s="1161"/>
      <c r="P826" s="1161"/>
      <c r="Q826" s="1161"/>
      <c r="R826" s="1161"/>
      <c r="S826" s="1161"/>
      <c r="T826" s="1161"/>
      <c r="U826" s="1161"/>
      <c r="V826" s="1162"/>
      <c r="W826" s="1225">
        <v>57000</v>
      </c>
      <c r="X826" s="1225"/>
      <c r="Y826" s="1225"/>
      <c r="Z826" s="1225"/>
      <c r="AA826" s="1225"/>
      <c r="AB826" s="1225"/>
      <c r="AC826" s="1225"/>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153200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3" t="s">
        <v>369</v>
      </c>
      <c r="K829" s="1164"/>
      <c r="L829" s="1164"/>
      <c r="M829" s="1164"/>
      <c r="N829" s="1164"/>
      <c r="O829" s="1164"/>
      <c r="P829" s="1164"/>
      <c r="Q829" s="1164"/>
      <c r="R829" s="1164"/>
      <c r="S829" s="1164"/>
      <c r="T829" s="1164"/>
      <c r="U829" s="1164"/>
      <c r="V829" s="1165"/>
      <c r="W829" s="1138">
        <v>171628</v>
      </c>
      <c r="X829" s="1139"/>
      <c r="Y829" s="1139"/>
      <c r="Z829" s="1139"/>
      <c r="AA829" s="1139"/>
      <c r="AB829" s="1139"/>
      <c r="AC829" s="1140"/>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8">
        <v>0</v>
      </c>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10000</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8">
        <v>55200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8">
        <v>140100</v>
      </c>
      <c r="X834" s="1378"/>
      <c r="Y834" s="1378"/>
      <c r="Z834" s="1378"/>
      <c r="AA834" s="1378"/>
      <c r="AB834" s="1378"/>
      <c r="AC834" s="1378"/>
      <c r="AD834" s="12"/>
      <c r="AE834" s="12"/>
      <c r="AF834" s="12"/>
      <c r="AG834" s="12"/>
      <c r="AH834" s="12"/>
      <c r="AI834" s="12"/>
      <c r="AJ834" s="12"/>
      <c r="AK834" s="12"/>
      <c r="AL834" s="12"/>
      <c r="AM834" s="1406">
        <f>SUM(AM801:AM829)</f>
        <v>0</v>
      </c>
      <c r="AN834" s="140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4">
        <f>SUM(W831:AC834)</f>
        <v>205300</v>
      </c>
      <c r="X835" s="1404"/>
      <c r="Y835" s="1404"/>
      <c r="Z835" s="1404"/>
      <c r="AA835" s="1404"/>
      <c r="AB835" s="1404"/>
      <c r="AC835" s="140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9">
        <v>80000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9">
        <v>75000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2" t="s">
        <v>1765</v>
      </c>
      <c r="N839" s="1161"/>
      <c r="O839" s="1161"/>
      <c r="P839" s="1161"/>
      <c r="Q839" s="1161"/>
      <c r="R839" s="1161"/>
      <c r="S839" s="1161"/>
      <c r="T839" s="1161"/>
      <c r="U839" s="1161"/>
      <c r="V839" s="1162"/>
      <c r="W839" s="1379">
        <v>266000</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8">
        <f>SUM(W837:AC839)</f>
        <v>421000</v>
      </c>
      <c r="X840" s="1389"/>
      <c r="Y840" s="1389"/>
      <c r="Z840" s="1389"/>
      <c r="AA840" s="1389"/>
      <c r="AB840" s="1389"/>
      <c r="AC840" s="139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65000</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5">
        <v>40000</v>
      </c>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5">
        <v>110000</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5">
        <v>148000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5">
        <v>40000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5">
        <v>75000</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5">
        <v>0</v>
      </c>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2" t="s">
        <v>1766</v>
      </c>
      <c r="N849" s="1161"/>
      <c r="O849" s="1161"/>
      <c r="P849" s="1161"/>
      <c r="Q849" s="1161"/>
      <c r="R849" s="1161"/>
      <c r="S849" s="1161"/>
      <c r="T849" s="1161"/>
      <c r="U849" s="1161"/>
      <c r="V849" s="1162"/>
      <c r="W849" s="1225">
        <v>115000</v>
      </c>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7">
        <f>SUM(W843:AC849)</f>
        <v>528000</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22" t="s">
        <v>1767</v>
      </c>
      <c r="N852" s="1161"/>
      <c r="O852" s="1161"/>
      <c r="P852" s="1161"/>
      <c r="Q852" s="1161"/>
      <c r="R852" s="1161"/>
      <c r="S852" s="1161"/>
      <c r="T852" s="1161"/>
      <c r="U852" s="1161"/>
      <c r="V852" s="1162"/>
      <c r="W852" s="1138">
        <v>170000</v>
      </c>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0" t="s">
        <v>357</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0" t="s">
        <v>357</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0" t="s">
        <v>357</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0" t="s">
        <v>357</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170000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1714128</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6">
        <f>O778+O758+G734</f>
        <v>324</v>
      </c>
      <c r="AD862" s="1547"/>
      <c r="AE862" s="1547"/>
      <c r="AF862" s="1547"/>
      <c r="AG862" s="1547"/>
      <c r="AH862" s="154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9" t="s">
        <v>35</v>
      </c>
      <c r="F863" s="1320"/>
      <c r="G863" s="1320"/>
      <c r="H863" s="1320"/>
      <c r="I863" s="1320"/>
      <c r="J863" s="1320"/>
      <c r="K863" s="1320"/>
      <c r="L863" s="1320"/>
      <c r="M863" s="1320"/>
      <c r="N863" s="1320"/>
      <c r="O863" s="1320"/>
      <c r="P863" s="1320"/>
      <c r="Q863" s="1320"/>
      <c r="R863" s="1320"/>
      <c r="S863" s="1320"/>
      <c r="T863" s="1320"/>
      <c r="U863" s="1320"/>
      <c r="V863" s="1320"/>
      <c r="W863" s="1320"/>
      <c r="X863" s="1320"/>
      <c r="Y863" s="1320"/>
      <c r="Z863" s="1320"/>
      <c r="AA863" s="1320"/>
      <c r="AB863" s="1321"/>
      <c r="AC863" s="1549">
        <f>IF(ISERROR((ROUNDDOWN(AC861/AC862,0))),0,(ROUNDDOWN(AC861/AC862,0)))</f>
        <v>5290</v>
      </c>
      <c r="AD863" s="1550"/>
      <c r="AE863" s="1550"/>
      <c r="AF863" s="1550"/>
      <c r="AG863" s="1550"/>
      <c r="AH863" s="155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6">
        <v>1252117</v>
      </c>
      <c r="AD864" s="1405"/>
      <c r="AE864" s="1405"/>
      <c r="AF864" s="1405"/>
      <c r="AG864" s="1405"/>
      <c r="AH864" s="140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0"/>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8"/>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v>97200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v>32828</v>
      </c>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5" t="s">
        <v>1065</v>
      </c>
      <c r="F869" s="1386"/>
      <c r="G869" s="1386"/>
      <c r="H869" s="1386"/>
      <c r="I869" s="1386"/>
      <c r="J869" s="1386"/>
      <c r="K869" s="1386"/>
      <c r="L869" s="1386"/>
      <c r="M869" s="1386"/>
      <c r="N869" s="1386"/>
      <c r="O869" s="1386"/>
      <c r="P869" s="1386"/>
      <c r="Q869" s="1386"/>
      <c r="R869" s="1386"/>
      <c r="S869" s="1386"/>
      <c r="T869" s="1386"/>
      <c r="U869" s="1386"/>
      <c r="V869" s="1386"/>
      <c r="W869" s="1386"/>
      <c r="X869" s="1386"/>
      <c r="Y869" s="1386"/>
      <c r="Z869" s="1386"/>
      <c r="AA869" s="1386"/>
      <c r="AB869" s="1387"/>
      <c r="AC869" s="1225"/>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5" t="s">
        <v>1065</v>
      </c>
      <c r="F870" s="1386"/>
      <c r="G870" s="1386"/>
      <c r="H870" s="1386"/>
      <c r="I870" s="1386"/>
      <c r="J870" s="1386"/>
      <c r="K870" s="1386"/>
      <c r="L870" s="1386"/>
      <c r="M870" s="1386"/>
      <c r="N870" s="1386"/>
      <c r="O870" s="1386"/>
      <c r="P870" s="1386"/>
      <c r="Q870" s="1386"/>
      <c r="R870" s="1386"/>
      <c r="S870" s="1386"/>
      <c r="T870" s="1386"/>
      <c r="U870" s="1386"/>
      <c r="V870" s="1386"/>
      <c r="W870" s="1386"/>
      <c r="X870" s="1386"/>
      <c r="Y870" s="1386"/>
      <c r="Z870" s="1386"/>
      <c r="AA870" s="1386"/>
      <c r="AB870" s="1387"/>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8"/>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8"/>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8"/>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0</v>
      </c>
      <c r="AA877" s="1206"/>
      <c r="AB877" s="1206"/>
      <c r="AC877" s="1206"/>
      <c r="AD877" s="1206"/>
      <c r="AE877" s="1207"/>
      <c r="AM877" s="61"/>
      <c r="AO877" s="52" t="s">
        <v>180</v>
      </c>
      <c r="AP877" s="177">
        <v>20</v>
      </c>
      <c r="AQ877" s="1136">
        <f>IF(AD955&gt;0,0.2,0)</f>
        <v>0</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3">
        <f>IF(AD958&gt;0,0.05,0)</f>
        <v>0</v>
      </c>
      <c r="AR878" s="140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7">
        <f>IF(AD965&gt;0,0.07,0)</f>
        <v>0</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0"/>
      <c r="AR884" s="1400"/>
      <c r="AS884" s="140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7">
        <f>IF(AD988&gt;0,0.1,0)</f>
        <v>0</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6">
        <f>SUM(AQ877:AQ885)</f>
        <v>0</v>
      </c>
      <c r="AR886" s="11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1" t="s">
        <v>873</v>
      </c>
      <c r="G890" s="1392"/>
      <c r="H890" s="1392"/>
      <c r="I890" s="1392"/>
      <c r="J890" s="1392"/>
      <c r="K890" s="1392"/>
      <c r="L890" s="1392"/>
      <c r="M890" s="1392"/>
      <c r="N890" s="1392"/>
      <c r="O890" s="1392"/>
      <c r="P890" s="1392"/>
      <c r="Q890" s="1392"/>
      <c r="R890" s="1392"/>
      <c r="S890" s="1392"/>
      <c r="T890" s="1393"/>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902</v>
      </c>
      <c r="G891" s="1331"/>
      <c r="H891" s="1331"/>
      <c r="I891" s="1331"/>
      <c r="J891" s="1331"/>
      <c r="K891" s="1331"/>
      <c r="L891" s="1331"/>
      <c r="M891" s="1331"/>
      <c r="N891" s="1331"/>
      <c r="O891" s="1331"/>
      <c r="P891" s="1331"/>
      <c r="Q891" s="1331"/>
      <c r="R891" s="1331"/>
      <c r="S891" s="1331"/>
      <c r="T891" s="1544"/>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45"/>
      <c r="U892" s="1332"/>
      <c r="V892" s="1333"/>
      <c r="W892" s="1333"/>
      <c r="X892" s="1333"/>
      <c r="Y892" s="1333"/>
      <c r="Z892" s="1333"/>
      <c r="AA892" s="168"/>
      <c r="AB892" s="1208" t="s">
        <v>424</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0" t="s">
        <v>591</v>
      </c>
      <c r="V893" s="1221"/>
      <c r="W893" s="1221"/>
      <c r="X893" s="1221"/>
      <c r="Y893" s="1221"/>
      <c r="Z893" s="1222"/>
      <c r="AA893" s="1184">
        <v>85000000</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0" t="s">
        <v>591</v>
      </c>
      <c r="V894" s="1221"/>
      <c r="W894" s="1221"/>
      <c r="X894" s="1221"/>
      <c r="Y894" s="1221"/>
      <c r="Z894" s="1222"/>
      <c r="AA894" s="1184">
        <v>15000000</v>
      </c>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0" t="s">
        <v>641</v>
      </c>
      <c r="V895" s="1221"/>
      <c r="W895" s="1221"/>
      <c r="X895" s="1221"/>
      <c r="Y895" s="1221"/>
      <c r="Z895" s="1222"/>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0" t="s">
        <v>641</v>
      </c>
      <c r="V896" s="1221"/>
      <c r="W896" s="1221"/>
      <c r="X896" s="1221"/>
      <c r="Y896" s="1221"/>
      <c r="Z896" s="1222"/>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0" t="s">
        <v>641</v>
      </c>
      <c r="V897" s="1221"/>
      <c r="W897" s="1221"/>
      <c r="X897" s="1221"/>
      <c r="Y897" s="1221"/>
      <c r="Z897" s="1222"/>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0" t="s">
        <v>641</v>
      </c>
      <c r="V898" s="1221"/>
      <c r="W898" s="1221"/>
      <c r="X898" s="1221"/>
      <c r="Y898" s="1221"/>
      <c r="Z898" s="1222"/>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0" t="s">
        <v>641</v>
      </c>
      <c r="V899" s="1221"/>
      <c r="W899" s="1221"/>
      <c r="X899" s="1221"/>
      <c r="Y899" s="1221"/>
      <c r="Z899" s="1222"/>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0" t="s">
        <v>641</v>
      </c>
      <c r="V900" s="1221"/>
      <c r="W900" s="1221"/>
      <c r="X900" s="1221"/>
      <c r="Y900" s="1221"/>
      <c r="Z900" s="1222"/>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0" t="s">
        <v>641</v>
      </c>
      <c r="V901" s="1221"/>
      <c r="W901" s="1221"/>
      <c r="X901" s="1221"/>
      <c r="Y901" s="1221"/>
      <c r="Z901" s="1222"/>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0" t="s">
        <v>641</v>
      </c>
      <c r="V902" s="1221"/>
      <c r="W902" s="1221"/>
      <c r="X902" s="1221"/>
      <c r="Y902" s="1221"/>
      <c r="Z902" s="1222"/>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0" t="s">
        <v>641</v>
      </c>
      <c r="V903" s="1221"/>
      <c r="W903" s="1221"/>
      <c r="X903" s="1221"/>
      <c r="Y903" s="1221"/>
      <c r="Z903" s="1222"/>
      <c r="AA903" s="1184"/>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0" t="s">
        <v>641</v>
      </c>
      <c r="V904" s="1221"/>
      <c r="W904" s="1221"/>
      <c r="X904" s="1221"/>
      <c r="Y904" s="1221"/>
      <c r="Z904" s="1222"/>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0" t="s">
        <v>641</v>
      </c>
      <c r="V905" s="1221"/>
      <c r="W905" s="1221"/>
      <c r="X905" s="1221"/>
      <c r="Y905" s="1221"/>
      <c r="Z905" s="1222"/>
      <c r="AA905" s="1184"/>
      <c r="AB905" s="1185"/>
      <c r="AC905" s="1185"/>
      <c r="AD905" s="1185"/>
      <c r="AE905" s="1185"/>
      <c r="AF905" s="1186"/>
      <c r="AM905" s="1401">
        <f>G734+O778</f>
        <v>321</v>
      </c>
      <c r="AN905" s="140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0" t="s">
        <v>641</v>
      </c>
      <c r="V906" s="1221"/>
      <c r="W906" s="1221"/>
      <c r="X906" s="1221"/>
      <c r="Y906" s="1221"/>
      <c r="Z906" s="1222"/>
      <c r="AA906" s="1184"/>
      <c r="AB906" s="1185"/>
      <c r="AC906" s="1185"/>
      <c r="AD906" s="1185"/>
      <c r="AE906" s="1185"/>
      <c r="AF906" s="1186"/>
      <c r="AM906" s="52"/>
      <c r="AN906" s="21"/>
      <c r="AO906" s="1375">
        <f>ROUNDDOWN(X999/I999,2)</f>
        <v>0.1</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0" t="s">
        <v>641</v>
      </c>
      <c r="V907" s="1221"/>
      <c r="W907" s="1221"/>
      <c r="X907" s="1221"/>
      <c r="Y907" s="1221"/>
      <c r="Z907" s="1222"/>
      <c r="AA907" s="1184"/>
      <c r="AB907" s="1185"/>
      <c r="AC907" s="1185"/>
      <c r="AD907" s="1185"/>
      <c r="AE907" s="1185"/>
      <c r="AF907" s="1186"/>
      <c r="AM907" s="52"/>
      <c r="AN907" s="52"/>
      <c r="AO907" s="1354">
        <f>ROUNDDOWN(X1003/I1003,2)</f>
        <v>0</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0" t="s">
        <v>722</v>
      </c>
      <c r="Q908" s="1221"/>
      <c r="R908" s="1221"/>
      <c r="S908" s="1221"/>
      <c r="T908" s="1222"/>
      <c r="U908" s="1220" t="s">
        <v>641</v>
      </c>
      <c r="V908" s="1221"/>
      <c r="W908" s="1221"/>
      <c r="X908" s="1221"/>
      <c r="Y908" s="1221"/>
      <c r="Z908" s="1222"/>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2" t="s">
        <v>357</v>
      </c>
      <c r="J909" s="1383"/>
      <c r="K909" s="1383"/>
      <c r="L909" s="1383"/>
      <c r="M909" s="1383"/>
      <c r="N909" s="1383"/>
      <c r="O909" s="1383"/>
      <c r="P909" s="1383"/>
      <c r="Q909" s="1383"/>
      <c r="R909" s="1383"/>
      <c r="S909" s="1383"/>
      <c r="T909" s="1384"/>
      <c r="U909" s="1220" t="s">
        <v>641</v>
      </c>
      <c r="V909" s="1221"/>
      <c r="W909" s="1221"/>
      <c r="X909" s="1221"/>
      <c r="Y909" s="1221"/>
      <c r="Z909" s="1222"/>
      <c r="AA909" s="1184"/>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9" t="s">
        <v>357</v>
      </c>
      <c r="J910" s="1150"/>
      <c r="K910" s="1150"/>
      <c r="L910" s="1150"/>
      <c r="M910" s="1150"/>
      <c r="N910" s="1150"/>
      <c r="O910" s="1150"/>
      <c r="P910" s="1150"/>
      <c r="Q910" s="1150"/>
      <c r="R910" s="1150"/>
      <c r="S910" s="1150"/>
      <c r="T910" s="1151"/>
      <c r="U910" s="1220" t="s">
        <v>641</v>
      </c>
      <c r="V910" s="1221"/>
      <c r="W910" s="1221"/>
      <c r="X910" s="1221"/>
      <c r="Y910" s="1221"/>
      <c r="Z910" s="1222"/>
      <c r="AA910" s="1184"/>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9" t="s">
        <v>357</v>
      </c>
      <c r="J911" s="1150"/>
      <c r="K911" s="1150"/>
      <c r="L911" s="1150"/>
      <c r="M911" s="1150"/>
      <c r="N911" s="1150"/>
      <c r="O911" s="1150"/>
      <c r="P911" s="1150"/>
      <c r="Q911" s="1150"/>
      <c r="R911" s="1150"/>
      <c r="S911" s="1150"/>
      <c r="T911" s="1151"/>
      <c r="U911" s="1220" t="s">
        <v>641</v>
      </c>
      <c r="V911" s="1221"/>
      <c r="W911" s="1221"/>
      <c r="X911" s="1221"/>
      <c r="Y911" s="1221"/>
      <c r="Z911" s="1222"/>
      <c r="AA911" s="1184"/>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9" t="s">
        <v>357</v>
      </c>
      <c r="J912" s="1150"/>
      <c r="K912" s="1150"/>
      <c r="L912" s="1150"/>
      <c r="M912" s="1150"/>
      <c r="N912" s="1150"/>
      <c r="O912" s="1150"/>
      <c r="P912" s="1150"/>
      <c r="Q912" s="1150"/>
      <c r="R912" s="1150"/>
      <c r="S912" s="1150"/>
      <c r="T912" s="1151"/>
      <c r="U912" s="1220" t="s">
        <v>641</v>
      </c>
      <c r="V912" s="1221"/>
      <c r="W912" s="1221"/>
      <c r="X912" s="1221"/>
      <c r="Y912" s="1221"/>
      <c r="Z912" s="1222"/>
      <c r="AA912" s="1184"/>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c r="N917" s="1210"/>
      <c r="O917" s="1210"/>
      <c r="P917" s="1210"/>
      <c r="Q917" s="1210"/>
      <c r="R917" s="1210"/>
      <c r="S917" s="1266"/>
      <c r="U917" s="103" t="s">
        <v>11</v>
      </c>
      <c r="V917" s="77"/>
      <c r="W917" s="77"/>
      <c r="X917" s="77"/>
      <c r="Y917" s="77"/>
      <c r="Z917" s="77"/>
      <c r="AA917" s="77"/>
      <c r="AB917" s="77"/>
      <c r="AC917" s="77"/>
      <c r="AD917" s="78"/>
      <c r="AE917" s="1265"/>
      <c r="AF917" s="1210"/>
      <c r="AG917" s="1210"/>
      <c r="AH917" s="1210"/>
      <c r="AI917" s="1210"/>
      <c r="AJ917" s="1210"/>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8" t="s">
        <v>329</v>
      </c>
      <c r="K919" s="1369"/>
      <c r="L919" s="1369"/>
      <c r="M919" s="1369"/>
      <c r="N919" s="1369"/>
      <c r="O919" s="1369"/>
      <c r="P919" s="1369"/>
      <c r="Q919" s="1369"/>
      <c r="R919" s="1369"/>
      <c r="S919" s="1370"/>
      <c r="U919" s="103" t="s">
        <v>974</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0"/>
      <c r="N924" s="1341"/>
      <c r="O924" s="1341"/>
      <c r="P924" s="1341"/>
      <c r="Q924" s="1341"/>
      <c r="R924" s="1341"/>
      <c r="S924" s="1342"/>
      <c r="U924" s="103" t="s">
        <v>620</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1"/>
      <c r="N929" s="1202"/>
      <c r="O929" s="1202"/>
      <c r="P929" s="1202"/>
      <c r="Q929" s="1202"/>
      <c r="R929" s="1202"/>
      <c r="S929" s="1203"/>
      <c r="T929" s="103" t="s">
        <v>871</v>
      </c>
      <c r="U929" s="77"/>
      <c r="V929" s="77"/>
      <c r="W929" s="77"/>
      <c r="X929" s="77"/>
      <c r="Y929" s="77"/>
      <c r="Z929" s="78"/>
      <c r="AA929" s="1201"/>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1"/>
      <c r="N930" s="1202"/>
      <c r="O930" s="1202"/>
      <c r="P930" s="1202"/>
      <c r="Q930" s="1202"/>
      <c r="R930" s="1202"/>
      <c r="S930" s="1203"/>
      <c r="T930" s="103" t="s">
        <v>870</v>
      </c>
      <c r="U930" s="77"/>
      <c r="V930" s="77"/>
      <c r="W930" s="77"/>
      <c r="X930" s="77"/>
      <c r="Y930" s="77"/>
      <c r="Z930" s="78"/>
      <c r="AA930" s="1201"/>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2" t="s">
        <v>641</v>
      </c>
      <c r="N931" s="1363"/>
      <c r="O931" s="1363"/>
      <c r="P931" s="1363"/>
      <c r="Q931" s="1363"/>
      <c r="R931" s="1363"/>
      <c r="S931" s="1364"/>
      <c r="T931" s="76" t="s">
        <v>360</v>
      </c>
      <c r="U931" s="77"/>
      <c r="V931" s="77"/>
      <c r="W931" s="77"/>
      <c r="X931" s="77"/>
      <c r="Y931" s="77"/>
      <c r="Z931" s="78"/>
      <c r="AA931" s="1201"/>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1"/>
      <c r="N932" s="1202"/>
      <c r="O932" s="1202"/>
      <c r="P932" s="1202"/>
      <c r="Q932" s="1202"/>
      <c r="R932" s="1202"/>
      <c r="S932" s="1203"/>
      <c r="T932" s="76" t="s">
        <v>361</v>
      </c>
      <c r="U932" s="77"/>
      <c r="V932" s="77"/>
      <c r="W932" s="77"/>
      <c r="X932" s="77"/>
      <c r="Y932" s="77"/>
      <c r="Z932" s="78"/>
      <c r="AA932" s="1201"/>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1"/>
      <c r="N933" s="1202"/>
      <c r="O933" s="1202"/>
      <c r="P933" s="1202"/>
      <c r="Q933" s="1202"/>
      <c r="R933" s="1202"/>
      <c r="S933" s="1203"/>
      <c r="T933" s="76" t="s">
        <v>408</v>
      </c>
      <c r="U933" s="77"/>
      <c r="V933" s="77"/>
      <c r="W933" s="77"/>
      <c r="X933" s="77"/>
      <c r="Y933" s="77"/>
      <c r="Z933" s="78"/>
      <c r="AA933" s="1201"/>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1" t="s">
        <v>329</v>
      </c>
      <c r="N934" s="1352"/>
      <c r="O934" s="1352"/>
      <c r="P934" s="1352"/>
      <c r="Q934" s="1352"/>
      <c r="R934" s="1352"/>
      <c r="S934" s="1353"/>
      <c r="T934" s="1323"/>
      <c r="U934" s="1324"/>
      <c r="V934" s="1324"/>
      <c r="W934" s="1324"/>
      <c r="X934" s="1324"/>
      <c r="Y934" s="1324"/>
      <c r="Z934" s="1325"/>
      <c r="AA934" s="1201"/>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1"/>
      <c r="N935" s="1202"/>
      <c r="O935" s="1202"/>
      <c r="P935" s="1202"/>
      <c r="Q935" s="1202"/>
      <c r="R935" s="1202"/>
      <c r="S935" s="1203"/>
      <c r="T935" s="1323"/>
      <c r="U935" s="1324"/>
      <c r="V935" s="1324"/>
      <c r="W935" s="1324"/>
      <c r="X935" s="1324"/>
      <c r="Y935" s="1324"/>
      <c r="Z935" s="1325"/>
      <c r="AA935" s="1201"/>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722</v>
      </c>
      <c r="P936" s="1294"/>
      <c r="Q936" s="142"/>
      <c r="R936" s="142"/>
      <c r="S936" s="143"/>
      <c r="T936" s="71" t="s">
        <v>177</v>
      </c>
      <c r="U936" s="72"/>
      <c r="V936" s="72"/>
      <c r="W936" s="1160" t="s">
        <v>357</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1"/>
      <c r="N937" s="1202"/>
      <c r="O937" s="1202"/>
      <c r="P937" s="1202"/>
      <c r="Q937" s="1202"/>
      <c r="R937" s="1202"/>
      <c r="S937" s="1203"/>
      <c r="T937" s="79"/>
      <c r="U937" s="80"/>
      <c r="V937" s="80"/>
      <c r="W937" s="80"/>
      <c r="X937" s="80"/>
      <c r="Y937" s="80"/>
      <c r="Z937" s="196" t="s">
        <v>141</v>
      </c>
      <c r="AA937" s="1397"/>
      <c r="AB937" s="1398"/>
      <c r="AC937" s="1398"/>
      <c r="AD937" s="1398"/>
      <c r="AE937" s="1398"/>
      <c r="AF937" s="1398"/>
      <c r="AG937" s="139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594</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0" t="s">
        <v>688</v>
      </c>
      <c r="C946" s="1360"/>
      <c r="D946" s="1360"/>
      <c r="E946" s="1360"/>
      <c r="F946" s="1360"/>
      <c r="G946" s="1360"/>
      <c r="H946" s="1360"/>
      <c r="I946" s="1360"/>
      <c r="J946" s="1360"/>
      <c r="K946" s="1360"/>
      <c r="L946" s="1360" t="s">
        <v>689</v>
      </c>
      <c r="M946" s="1360"/>
      <c r="N946" s="1360"/>
      <c r="O946" s="1360"/>
      <c r="P946" s="1360"/>
      <c r="Q946" s="1360"/>
      <c r="R946" s="1360"/>
      <c r="S946" s="1360"/>
      <c r="T946" s="1360"/>
      <c r="U946" s="1360"/>
      <c r="V946" s="1360" t="s">
        <v>690</v>
      </c>
      <c r="W946" s="1360"/>
      <c r="X946" s="1360"/>
      <c r="Y946" s="1360"/>
      <c r="Z946" s="1360"/>
      <c r="AA946" s="1360"/>
      <c r="AB946" s="1360"/>
      <c r="AC946" s="1360"/>
      <c r="AD946" s="1371" t="s">
        <v>691</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683</v>
      </c>
      <c r="C947" s="1200"/>
      <c r="D947" s="1200"/>
      <c r="E947" s="1200"/>
      <c r="F947" s="1200"/>
      <c r="G947" s="1200"/>
      <c r="H947" s="1200"/>
      <c r="I947" s="1200"/>
      <c r="J947" s="1200"/>
      <c r="K947" s="1200"/>
      <c r="L947" s="1337">
        <f>IF(ISNA(IF($BA$779="4%",(INDEX($BC$789:$BG$846,MATCH($BO$779,$BB$789:$BB$846,0),MATCH(B947,$BC$788:$BG$788,0))),(INDEX($BJ$789:$BN$846,MATCH($BO$779,$BI$789:$BI$846,0),MATCH(B947,$BJ$788:$BN$788,0))))),0,IF($BA$779="4%",(INDEX($BC$789:$BG$846,MATCH($BO$779,$BB$789:$BB$846,0),MATCH(B947,$BC$788:$BG$788,0))),(INDEX($BJ$789:$BN$846,MATCH($BO$779,$BI$789:$BI$846,0),MATCH(B947,$BJ$788:$BN$788,0)))))</f>
        <v>337642</v>
      </c>
      <c r="M947" s="1338"/>
      <c r="N947" s="1338"/>
      <c r="O947" s="1338"/>
      <c r="P947" s="1338"/>
      <c r="Q947" s="1338"/>
      <c r="R947" s="1338"/>
      <c r="S947" s="1338"/>
      <c r="T947" s="1338"/>
      <c r="U947" s="1339"/>
      <c r="V947" s="1367">
        <f>BA635</f>
        <v>0</v>
      </c>
      <c r="W947" s="1367"/>
      <c r="X947" s="1367"/>
      <c r="Y947" s="1367"/>
      <c r="Z947" s="1367"/>
      <c r="AA947" s="1367"/>
      <c r="AB947" s="1367"/>
      <c r="AC947" s="1367"/>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348</v>
      </c>
      <c r="C948" s="1199"/>
      <c r="D948" s="1199"/>
      <c r="E948" s="1199"/>
      <c r="F948" s="1199"/>
      <c r="G948" s="1199"/>
      <c r="H948" s="1199"/>
      <c r="I948" s="1199"/>
      <c r="J948" s="1199"/>
      <c r="K948" s="1199"/>
      <c r="L948" s="1337">
        <f>IF(ISNA(IF($BA$779="4%",(INDEX($BC$789:$BG$846,MATCH($BO$779,$BB$789:$BB$846,0),MATCH(B948,$BC$788:$BG$788,0))),(INDEX($BJ$789:$BN$846,MATCH($BO$779,$BI$789:$BI$846,0),MATCH(B948,$BJ$788:$BN$788,0))))),0,IF($BA$779="4%",(INDEX($BC$789:$BG$846,MATCH($BO$779,$BB$789:$BB$846,0),MATCH(B948,$BC$788:$BG$788,0))),(INDEX($BJ$789:$BN$846,MATCH($BO$779,$BI$789:$BI$846,0),MATCH(B948,$BJ$788:$BN$788,0)))))</f>
        <v>389298</v>
      </c>
      <c r="M948" s="1338"/>
      <c r="N948" s="1338"/>
      <c r="O948" s="1338"/>
      <c r="P948" s="1338"/>
      <c r="Q948" s="1338"/>
      <c r="R948" s="1338"/>
      <c r="S948" s="1338"/>
      <c r="T948" s="1338"/>
      <c r="U948" s="1339"/>
      <c r="V948" s="1367">
        <f>BF635</f>
        <v>204</v>
      </c>
      <c r="W948" s="1367"/>
      <c r="X948" s="1367"/>
      <c r="Y948" s="1367"/>
      <c r="Z948" s="1367"/>
      <c r="AA948" s="1367"/>
      <c r="AB948" s="1367"/>
      <c r="AC948" s="1367"/>
      <c r="AD948" s="1281">
        <f>IF(ISERROR((L948*V948)),0,(L948*V948))</f>
        <v>79416792</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7">
        <f>IF(ISNA(IF($BA$779="4%",(INDEX($BC$789:$BG$846,MATCH($BO$779,$BB$789:$BB$846,0),MATCH(B949,$BC$788:$BG$788,0))),(INDEX($BJ$789:$BN$846,MATCH($BO$779,$BI$789:$BI$846,0),MATCH(B949,$BJ$788:$BN$788,0))))),0,IF($BA$779="4%",(INDEX($BC$789:$BG$846,MATCH($BO$779,$BB$789:$BB$846,0),MATCH(B949,$BC$788:$BG$788,0))),(INDEX($BJ$789:$BN$846,MATCH($BO$779,$BI$789:$BI$846,0),MATCH(B949,$BJ$788:$BN$788,0)))))</f>
        <v>469600</v>
      </c>
      <c r="M949" s="1338"/>
      <c r="N949" s="1338"/>
      <c r="O949" s="1338"/>
      <c r="P949" s="1338"/>
      <c r="Q949" s="1338"/>
      <c r="R949" s="1338"/>
      <c r="S949" s="1338"/>
      <c r="T949" s="1338"/>
      <c r="U949" s="1339"/>
      <c r="V949" s="1367">
        <f>BK635</f>
        <v>120</v>
      </c>
      <c r="W949" s="1367"/>
      <c r="X949" s="1367"/>
      <c r="Y949" s="1367"/>
      <c r="Z949" s="1367"/>
      <c r="AA949" s="1367"/>
      <c r="AB949" s="1367"/>
      <c r="AC949" s="1367"/>
      <c r="AD949" s="1281">
        <f>IF(ISERROR((L949*V949)),0,(L949*V949))</f>
        <v>56352000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7">
        <f>IF(ISNA(IF($BA$779="4%",(INDEX($BC$789:$BG$846,MATCH($BO$779,$BB$789:$BB$846,0),MATCH(B950,$BC$788:$BG$788,0))),(INDEX($BJ$789:$BN$846,MATCH($BO$779,$BI$789:$BI$846,0),MATCH(B950,$BJ$788:$BN$788,0))))),0,IF($BA$779="4%",(INDEX($BC$789:$BG$846,MATCH($BO$779,$BB$789:$BB$846,0),MATCH(B950,$BC$788:$BG$788,0))),(INDEX($BJ$789:$BN$846,MATCH($BO$779,$BI$789:$BI$846,0),MATCH(B950,$BJ$788:$BN$788,0)))))</f>
        <v>601088</v>
      </c>
      <c r="M950" s="1338"/>
      <c r="N950" s="1338"/>
      <c r="O950" s="1338"/>
      <c r="P950" s="1338"/>
      <c r="Q950" s="1338"/>
      <c r="R950" s="1338"/>
      <c r="S950" s="1338"/>
      <c r="T950" s="1338"/>
      <c r="U950" s="1339"/>
      <c r="V950" s="1367">
        <f>BP635</f>
        <v>0</v>
      </c>
      <c r="W950" s="1367"/>
      <c r="X950" s="1367"/>
      <c r="Y950" s="1367"/>
      <c r="Z950" s="1367"/>
      <c r="AA950" s="1367"/>
      <c r="AB950" s="1367"/>
      <c r="AC950" s="1367"/>
      <c r="AD950" s="1281">
        <f>IF(ISERROR((L950*V950)),0,(L950*V950))</f>
        <v>0</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9" t="s">
        <v>506</v>
      </c>
      <c r="C951" s="1199"/>
      <c r="D951" s="1199"/>
      <c r="E951" s="1199"/>
      <c r="F951" s="1199"/>
      <c r="G951" s="1199"/>
      <c r="H951" s="1199"/>
      <c r="I951" s="1199"/>
      <c r="J951" s="1199"/>
      <c r="K951" s="1199"/>
      <c r="L951" s="1337">
        <f>IF(ISNA(IF($BA$779="4%",(INDEX($BC$789:$BG$846,MATCH($BO$779,$BB$789:$BB$846,0),MATCH(B951,$BC$788:$BG$788,0))),(INDEX($BJ$789:$BN$846,MATCH($BO$779,$BI$789:$BI$846,0),MATCH(B951,$BJ$788:$BN$788,0))))),0,IF($BA$779="4%",(INDEX($BC$789:$BG$846,MATCH($BO$779,$BB$789:$BB$846,0),MATCH(B951,$BC$788:$BG$788,0))),(INDEX($BJ$789:$BN$846,MATCH($BO$779,$BI$789:$BI$846,0),MATCH(B951,$BJ$788:$BN$788,0)))))</f>
        <v>669650</v>
      </c>
      <c r="M951" s="1338"/>
      <c r="N951" s="1338"/>
      <c r="O951" s="1338"/>
      <c r="P951" s="1338"/>
      <c r="Q951" s="1338"/>
      <c r="R951" s="1338"/>
      <c r="S951" s="1338"/>
      <c r="T951" s="1338"/>
      <c r="U951" s="1339"/>
      <c r="V951" s="1367">
        <f>BZ635+BU635</f>
        <v>0</v>
      </c>
      <c r="W951" s="1367"/>
      <c r="X951" s="1367"/>
      <c r="Y951" s="1367"/>
      <c r="Z951" s="1367"/>
      <c r="AA951" s="1367"/>
      <c r="AB951" s="1367"/>
      <c r="AC951" s="1367"/>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872</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4">
        <f>SUM(V947:AC951)</f>
        <v>324</v>
      </c>
      <c r="W952" s="1395"/>
      <c r="X952" s="1395"/>
      <c r="Y952" s="1395"/>
      <c r="Z952" s="1395"/>
      <c r="AA952" s="1395"/>
      <c r="AB952" s="1395"/>
      <c r="AC952" s="1396"/>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558</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2">
        <f>SUM(AD947:AK951)</f>
        <v>135768792</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0" t="s">
        <v>719</v>
      </c>
      <c r="AA954" s="1541"/>
      <c r="AB954" s="1541"/>
      <c r="AC954" s="15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6" t="s">
        <v>1483</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5" t="s">
        <v>722</v>
      </c>
      <c r="AB955" s="1366"/>
      <c r="AC955" s="128"/>
      <c r="AD955" s="1175">
        <f>ROUND(IF(AND(AA955="yes",D957&gt;0),AD953*0.2,0),0)</f>
        <v>0</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4" t="s">
        <v>1484</v>
      </c>
      <c r="E956" s="1575"/>
      <c r="F956" s="1575"/>
      <c r="G956" s="1575"/>
      <c r="H956" s="1575"/>
      <c r="I956" s="1575"/>
      <c r="J956" s="1575"/>
      <c r="K956" s="1575"/>
      <c r="L956" s="1575"/>
      <c r="M956" s="1575"/>
      <c r="N956" s="1575"/>
      <c r="O956" s="1575"/>
      <c r="P956" s="1575"/>
      <c r="Q956" s="1575"/>
      <c r="R956" s="1575"/>
      <c r="S956" s="1575"/>
      <c r="T956" s="1575"/>
      <c r="U956" s="1575"/>
      <c r="V956" s="1575"/>
      <c r="W956" s="1575"/>
      <c r="X956" s="1575"/>
      <c r="Y956" s="1576"/>
      <c r="Z956" s="115"/>
      <c r="AA956" s="115"/>
      <c r="AB956" s="115"/>
      <c r="AC956" s="124"/>
      <c r="AD956" s="1178"/>
      <c r="AE956" s="1178"/>
      <c r="AF956" s="1178"/>
      <c r="AG956" s="1178"/>
      <c r="AH956" s="1178"/>
      <c r="AI956" s="1178"/>
      <c r="AJ956" s="1178"/>
      <c r="AK956" s="117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8"/>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1610</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2" t="s">
        <v>722</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1607</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4"/>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6" t="s">
        <v>1609</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2" t="s">
        <v>722</v>
      </c>
      <c r="AB965" s="1173"/>
      <c r="AC965" s="128"/>
      <c r="AD965" s="1175">
        <f>ROUND(IF(AA965="yes",AD953*0.07,0),0)</f>
        <v>0</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1608</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227</v>
      </c>
      <c r="D969" s="1246" t="s">
        <v>1611</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722</v>
      </c>
      <c r="AB969" s="1239"/>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49" t="s">
        <v>1612</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230</v>
      </c>
      <c r="D971" s="1246" t="s">
        <v>1613</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2" t="s">
        <v>722</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3" t="s">
        <v>1614</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233</v>
      </c>
      <c r="D974" s="1246" t="s">
        <v>1615</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2" t="s">
        <v>722</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3" t="s">
        <v>1616</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7"/>
      <c r="AE976" s="1178"/>
      <c r="AF976" s="1178"/>
      <c r="AG976" s="1178"/>
      <c r="AH976" s="1178"/>
      <c r="AI976" s="1178"/>
      <c r="AJ976" s="1178"/>
      <c r="AK976" s="1179"/>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238</v>
      </c>
      <c r="D978" s="1585" t="s">
        <v>1617</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38" t="s">
        <v>722</v>
      </c>
      <c r="AB978" s="1239"/>
      <c r="AC978" s="51"/>
      <c r="AD978" s="1284"/>
      <c r="AE978" s="1285"/>
      <c r="AF978" s="1285"/>
      <c r="AG978" s="1285"/>
      <c r="AH978" s="1285"/>
      <c r="AI978" s="1285"/>
      <c r="AJ978" s="1285"/>
      <c r="AK978" s="1286"/>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3" t="s">
        <v>1618</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641</v>
      </c>
      <c r="K983" s="1304"/>
      <c r="L983" s="1304"/>
      <c r="M983" s="1304"/>
      <c r="N983" s="1304"/>
      <c r="O983" s="1304"/>
      <c r="P983" s="1304"/>
      <c r="Q983" s="1305"/>
      <c r="R983" s="7"/>
      <c r="S983" s="7"/>
      <c r="T983" s="164"/>
      <c r="U983" s="7"/>
      <c r="V983" s="1343" t="str">
        <f>IF(AA978="yes",(AD953*0.15),"")</f>
        <v/>
      </c>
      <c r="W983" s="1343"/>
      <c r="X983" s="1343"/>
      <c r="Y983" s="1344"/>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6" t="s">
        <v>1619</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722</v>
      </c>
      <c r="AB984" s="1239"/>
      <c r="AC984" s="51"/>
      <c r="AD984" s="1284"/>
      <c r="AE984" s="1285"/>
      <c r="AF984" s="1285"/>
      <c r="AG984" s="1285"/>
      <c r="AH984" s="1285"/>
      <c r="AI984" s="1285"/>
      <c r="AJ984" s="1285"/>
      <c r="AK984" s="1286"/>
      <c r="AL984" s="105"/>
    </row>
    <row r="985" spans="1:38" ht="12.75" customHeight="1">
      <c r="A985" s="51"/>
      <c r="B985" s="113"/>
      <c r="C985" s="114"/>
      <c r="D985" s="1243" t="s">
        <v>1620</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6" t="s">
        <v>1621</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2" t="s">
        <v>722</v>
      </c>
      <c r="AB988" s="1173"/>
      <c r="AC988" s="127"/>
      <c r="AD988" s="1174">
        <f>ROUND(IF(AA988="yes",(AD953*0.1),0),0)</f>
        <v>0</v>
      </c>
      <c r="AE988" s="1175"/>
      <c r="AF988" s="1175"/>
      <c r="AG988" s="1175"/>
      <c r="AH988" s="1175"/>
      <c r="AI988" s="1175"/>
      <c r="AJ988" s="1175"/>
      <c r="AK988" s="1176"/>
      <c r="AL988" s="105"/>
    </row>
    <row r="989" spans="1:38" s="743" customFormat="1" ht="12.75" customHeight="1">
      <c r="A989" s="51"/>
      <c r="B989" s="113"/>
      <c r="C989" s="114"/>
      <c r="D989" s="1243" t="s">
        <v>1622</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7"/>
      <c r="AE989" s="1178"/>
      <c r="AF989" s="1178"/>
      <c r="AG989" s="1178"/>
      <c r="AH989" s="1178"/>
      <c r="AI989" s="1178"/>
      <c r="AJ989" s="1178"/>
      <c r="AK989" s="1179"/>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7"/>
      <c r="AE990" s="1178"/>
      <c r="AF990" s="1178"/>
      <c r="AG990" s="1178"/>
      <c r="AH990" s="1178"/>
      <c r="AI990" s="1178"/>
      <c r="AJ990" s="1178"/>
      <c r="AK990" s="1179"/>
      <c r="AL990" s="105"/>
    </row>
    <row r="991" spans="1:38" ht="12.75" customHeight="1">
      <c r="A991" s="51"/>
      <c r="B991" s="120"/>
      <c r="C991" s="555" t="s">
        <v>741</v>
      </c>
      <c r="D991" s="1246" t="s">
        <v>1623</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2" t="s">
        <v>722</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3" t="s">
        <v>1624</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6" t="s">
        <v>1628</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6" t="str">
        <f>IF(X999&gt;0,"Yes","No")</f>
        <v>Yes</v>
      </c>
      <c r="AB996" s="1277"/>
      <c r="AC996" s="128"/>
      <c r="AD996" s="1267">
        <f>IF((X999=0),"",AO906*AD953)</f>
        <v>13576879.200000001</v>
      </c>
      <c r="AE996" s="1268"/>
      <c r="AF996" s="1268"/>
      <c r="AG996" s="1268"/>
      <c r="AH996" s="1268"/>
      <c r="AI996" s="1268"/>
      <c r="AJ996" s="1268"/>
      <c r="AK996" s="1269"/>
      <c r="AL996" s="105"/>
    </row>
    <row r="997" spans="1:38" s="743" customFormat="1" ht="12.75" customHeight="1">
      <c r="A997" s="51"/>
      <c r="B997" s="113"/>
      <c r="C997" s="726"/>
      <c r="D997" s="1243" t="s">
        <v>1627</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1081</v>
      </c>
      <c r="E999" s="208"/>
      <c r="F999" s="208"/>
      <c r="G999" s="208"/>
      <c r="H999" s="104"/>
      <c r="I999" s="1297">
        <f>AM905</f>
        <v>321</v>
      </c>
      <c r="J999" s="1298"/>
      <c r="K999" s="51"/>
      <c r="L999" s="104"/>
      <c r="M999" s="208"/>
      <c r="N999" s="208"/>
      <c r="O999" s="208"/>
      <c r="P999" s="208"/>
      <c r="Q999" s="208"/>
      <c r="R999" s="208"/>
      <c r="S999" s="208"/>
      <c r="T999" s="208"/>
      <c r="U999" s="208"/>
      <c r="V999" s="104"/>
      <c r="W999" s="209" t="s">
        <v>1082</v>
      </c>
      <c r="X999" s="1299">
        <f>AT614</f>
        <v>34</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1155</v>
      </c>
      <c r="D1000" s="1246" t="s">
        <v>1626</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6" t="str">
        <f>IF(X1003&gt;0,"Yes","No")</f>
        <v>No</v>
      </c>
      <c r="AB1000" s="1277"/>
      <c r="AC1000" s="124"/>
      <c r="AD1000" s="1267" t="str">
        <f>IF((X1003=0)," ",(2*AO907)*AD953)</f>
        <v xml:space="preserve"> </v>
      </c>
      <c r="AE1000" s="1268"/>
      <c r="AF1000" s="1268"/>
      <c r="AG1000" s="1268"/>
      <c r="AH1000" s="1268"/>
      <c r="AI1000" s="1268"/>
      <c r="AJ1000" s="1268"/>
      <c r="AK1000" s="1269"/>
      <c r="AL1000" s="105"/>
    </row>
    <row r="1001" spans="1:38" s="743" customFormat="1" ht="12.75" customHeight="1">
      <c r="A1001" s="51"/>
      <c r="B1001" s="113"/>
      <c r="C1001" s="726"/>
      <c r="D1001" s="1243" t="s">
        <v>1625</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1081</v>
      </c>
      <c r="E1003" s="208"/>
      <c r="F1003" s="208"/>
      <c r="G1003" s="208"/>
      <c r="H1003" s="208"/>
      <c r="I1003" s="1297">
        <f>AM905</f>
        <v>321</v>
      </c>
      <c r="J1003" s="1298"/>
      <c r="K1003" s="51"/>
      <c r="L1003" s="208"/>
      <c r="M1003" s="208"/>
      <c r="N1003" s="208"/>
      <c r="O1003" s="208"/>
      <c r="P1003" s="208"/>
      <c r="Q1003" s="208"/>
      <c r="R1003" s="208"/>
      <c r="S1003" s="208"/>
      <c r="T1003" s="208"/>
      <c r="U1003" s="208"/>
      <c r="V1003" s="208"/>
      <c r="W1003" s="209" t="s">
        <v>1083</v>
      </c>
      <c r="X1003" s="1299">
        <f>AX614</f>
        <v>0</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6" t="s">
        <v>559</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2">
        <f>SUM(AD953:AK1003)</f>
        <v>149345671.19999999</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43"/>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3"/>
      <c r="AF1009" s="1543"/>
      <c r="AG1009" s="1543"/>
      <c r="AH1009" s="1543"/>
      <c r="AI1009" s="1543"/>
      <c r="AJ1009" s="1543"/>
      <c r="AK1009" s="1543"/>
      <c r="AL1009" s="105"/>
    </row>
    <row r="1010" spans="1:38" ht="12.75" customHeight="1">
      <c r="A1010" s="51"/>
      <c r="B1010" s="115"/>
      <c r="C1010" s="348"/>
      <c r="D1010" s="1543"/>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3"/>
      <c r="AF1010" s="1543"/>
      <c r="AG1010" s="1543"/>
      <c r="AH1010" s="1543"/>
      <c r="AI1010" s="1543"/>
      <c r="AJ1010" s="1543"/>
      <c r="AK1010" s="1543"/>
      <c r="AL1010" s="105"/>
    </row>
    <row r="1011" spans="1:38" ht="12.75" customHeight="1">
      <c r="A1011" s="51"/>
      <c r="B1011" s="115"/>
      <c r="C1011" s="348"/>
      <c r="D1011" s="1543"/>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3"/>
      <c r="AF1011" s="1543"/>
      <c r="AG1011" s="1543"/>
      <c r="AH1011" s="1543"/>
      <c r="AI1011" s="1543"/>
      <c r="AJ1011" s="1543"/>
      <c r="AK1011" s="1543"/>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641</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641</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641</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641</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641</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641</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641</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641</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641</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3" zoomScaleNormal="100" zoomScaleSheetLayoutView="100" workbookViewId="0">
      <selection activeCell="B71" sqref="B7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1" t="s">
        <v>671</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1)Citibank (Tax Exempt Bonds)</v>
      </c>
      <c r="G2" s="217" t="str">
        <f>Application!B619&amp;Application!C619</f>
        <v>2)Fairfield Affordable Housing Fund Tranche II</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5700000</v>
      </c>
      <c r="C4" s="225">
        <v>5700000</v>
      </c>
      <c r="D4" s="225"/>
      <c r="E4" s="225"/>
      <c r="F4" s="225">
        <v>5700000</v>
      </c>
      <c r="G4" s="225"/>
      <c r="H4" s="225"/>
      <c r="I4" s="225"/>
      <c r="J4" s="225"/>
      <c r="K4" s="225"/>
      <c r="L4" s="225"/>
      <c r="M4" s="225"/>
      <c r="N4" s="225"/>
      <c r="O4" s="225"/>
      <c r="P4" s="225"/>
      <c r="Q4" s="225"/>
      <c r="R4" s="916">
        <f>SUM(E4:Q4)</f>
        <v>5700000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100000</v>
      </c>
      <c r="C6" s="225">
        <v>100000</v>
      </c>
      <c r="D6" s="225"/>
      <c r="E6" s="225"/>
      <c r="F6" s="225">
        <v>100000</v>
      </c>
      <c r="G6" s="225"/>
      <c r="H6" s="225"/>
      <c r="I6" s="225"/>
      <c r="J6" s="225"/>
      <c r="K6" s="225"/>
      <c r="L6" s="225"/>
      <c r="M6" s="225"/>
      <c r="N6" s="225"/>
      <c r="O6" s="225"/>
      <c r="P6" s="225"/>
      <c r="Q6" s="225"/>
      <c r="R6" s="916">
        <f>SUM(E6:Q6)</f>
        <v>100000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5800000</v>
      </c>
      <c r="C8" s="224">
        <f t="shared" ref="C8:Q8" si="0">SUM(C4:C7)</f>
        <v>5800000</v>
      </c>
      <c r="D8" s="224">
        <f t="shared" si="0"/>
        <v>0</v>
      </c>
      <c r="E8" s="224">
        <f t="shared" si="0"/>
        <v>0</v>
      </c>
      <c r="F8" s="224">
        <f t="shared" si="0"/>
        <v>5800000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5800000</v>
      </c>
      <c r="S8" s="226"/>
      <c r="T8" s="226"/>
      <c r="U8" s="221"/>
    </row>
    <row r="9" spans="1:21" s="222" customFormat="1">
      <c r="A9" s="223" t="s">
        <v>644</v>
      </c>
      <c r="B9" s="224">
        <f>SUM(C9+D9)</f>
        <v>84072440</v>
      </c>
      <c r="C9" s="225">
        <v>84072440</v>
      </c>
      <c r="D9" s="225"/>
      <c r="E9" s="225">
        <v>20100000</v>
      </c>
      <c r="F9" s="225">
        <v>63972440</v>
      </c>
      <c r="G9" s="225"/>
      <c r="H9" s="225"/>
      <c r="I9" s="225"/>
      <c r="J9" s="225"/>
      <c r="K9" s="225"/>
      <c r="L9" s="225"/>
      <c r="M9" s="225"/>
      <c r="N9" s="225"/>
      <c r="O9" s="225"/>
      <c r="P9" s="225"/>
      <c r="Q9" s="225"/>
      <c r="R9" s="916">
        <f>SUM(E9:Q9)</f>
        <v>84072440</v>
      </c>
      <c r="S9" s="226"/>
      <c r="T9" s="225">
        <f>84072440-5000*75</f>
        <v>83697440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84072440</v>
      </c>
      <c r="C11" s="224">
        <f t="shared" ref="C11:Q11" si="1">SUM(C9:C10)</f>
        <v>84072440</v>
      </c>
      <c r="D11" s="224">
        <f t="shared" si="1"/>
        <v>0</v>
      </c>
      <c r="E11" s="224">
        <f t="shared" si="1"/>
        <v>20100000</v>
      </c>
      <c r="F11" s="224">
        <f t="shared" si="1"/>
        <v>63972440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84072440</v>
      </c>
      <c r="S11" s="226"/>
      <c r="T11" s="228">
        <f>SUM(T9:T10)</f>
        <v>83697440</v>
      </c>
      <c r="U11" s="221"/>
    </row>
    <row r="12" spans="1:21" s="222" customFormat="1">
      <c r="A12" s="227" t="s">
        <v>91</v>
      </c>
      <c r="B12" s="224">
        <f t="shared" ref="B12:Q12" si="2">SUM(B8+B11)</f>
        <v>89872440</v>
      </c>
      <c r="C12" s="224">
        <f t="shared" si="2"/>
        <v>89872440</v>
      </c>
      <c r="D12" s="224">
        <f t="shared" si="2"/>
        <v>0</v>
      </c>
      <c r="E12" s="224">
        <f t="shared" si="2"/>
        <v>20100000</v>
      </c>
      <c r="F12" s="224">
        <f t="shared" si="2"/>
        <v>69772440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89872440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28166647</v>
      </c>
      <c r="C18" s="225">
        <f>28900913-734266</f>
        <v>28166647</v>
      </c>
      <c r="D18" s="225"/>
      <c r="E18" s="225">
        <f>25000000+1419155-734266-767224</f>
        <v>24917665</v>
      </c>
      <c r="F18" s="225">
        <v>0</v>
      </c>
      <c r="G18" s="225">
        <f>2481758+767224</f>
        <v>3248982</v>
      </c>
      <c r="H18" s="225"/>
      <c r="I18" s="225"/>
      <c r="J18" s="225"/>
      <c r="K18" s="225"/>
      <c r="L18" s="225"/>
      <c r="M18" s="225"/>
      <c r="N18" s="225"/>
      <c r="O18" s="225"/>
      <c r="P18" s="225"/>
      <c r="Q18" s="225"/>
      <c r="R18" s="916">
        <f>SUM(E18:Q18)</f>
        <v>28166647</v>
      </c>
      <c r="S18" s="225">
        <f>R18-50000</f>
        <v>28116647</v>
      </c>
      <c r="T18" s="225"/>
      <c r="U18" s="221"/>
    </row>
    <row r="19" spans="1:21" s="222" customFormat="1">
      <c r="A19" s="223" t="s">
        <v>650</v>
      </c>
      <c r="B19" s="224">
        <f t="shared" si="3"/>
        <v>762041</v>
      </c>
      <c r="C19" s="225">
        <f>417000+345041</f>
        <v>762041</v>
      </c>
      <c r="D19" s="225"/>
      <c r="E19" s="225"/>
      <c r="F19" s="225"/>
      <c r="G19" s="225">
        <f>C19</f>
        <v>762041</v>
      </c>
      <c r="H19" s="225"/>
      <c r="I19" s="225"/>
      <c r="J19" s="225"/>
      <c r="K19" s="225"/>
      <c r="L19" s="225"/>
      <c r="M19" s="225"/>
      <c r="N19" s="225"/>
      <c r="O19" s="225"/>
      <c r="P19" s="225"/>
      <c r="Q19" s="225"/>
      <c r="R19" s="916">
        <f>SUM(E19:Q19)</f>
        <v>762041</v>
      </c>
      <c r="S19" s="225">
        <f>R19</f>
        <v>762041</v>
      </c>
      <c r="T19" s="225"/>
      <c r="U19" s="221"/>
    </row>
    <row r="20" spans="1:21" s="222" customFormat="1">
      <c r="A20" s="223" t="s">
        <v>144</v>
      </c>
      <c r="B20" s="224">
        <f t="shared" si="3"/>
        <v>834841</v>
      </c>
      <c r="C20" s="225">
        <f>489800+345041</f>
        <v>834841</v>
      </c>
      <c r="D20" s="225"/>
      <c r="E20" s="225"/>
      <c r="F20" s="225"/>
      <c r="G20" s="225">
        <f>C20</f>
        <v>834841</v>
      </c>
      <c r="H20" s="225"/>
      <c r="I20" s="225"/>
      <c r="J20" s="225"/>
      <c r="K20" s="225"/>
      <c r="L20" s="225"/>
      <c r="M20" s="225"/>
      <c r="N20" s="225"/>
      <c r="O20" s="225"/>
      <c r="P20" s="225"/>
      <c r="Q20" s="225"/>
      <c r="R20" s="916">
        <f t="shared" ref="R20:R26" si="4">SUM(E20:Q20)</f>
        <v>834841</v>
      </c>
      <c r="S20" s="225">
        <f>R20</f>
        <v>834841</v>
      </c>
      <c r="T20" s="225"/>
      <c r="U20" s="221"/>
    </row>
    <row r="21" spans="1:21" s="222" customFormat="1">
      <c r="A21" s="223" t="s">
        <v>145</v>
      </c>
      <c r="B21" s="224">
        <f t="shared" si="3"/>
        <v>2345343</v>
      </c>
      <c r="C21" s="225">
        <v>2345343</v>
      </c>
      <c r="D21" s="225"/>
      <c r="E21" s="225"/>
      <c r="F21" s="225"/>
      <c r="G21" s="225">
        <v>2345343</v>
      </c>
      <c r="H21" s="225"/>
      <c r="I21" s="225"/>
      <c r="J21" s="225"/>
      <c r="K21" s="225"/>
      <c r="L21" s="225"/>
      <c r="M21" s="225"/>
      <c r="N21" s="225"/>
      <c r="O21" s="225"/>
      <c r="P21" s="225"/>
      <c r="Q21" s="225"/>
      <c r="R21" s="916">
        <f t="shared" si="4"/>
        <v>2345343</v>
      </c>
      <c r="S21" s="225">
        <f>R21</f>
        <v>2345343</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32108872</v>
      </c>
      <c r="C25" s="224">
        <f>SUM(C17:C24)</f>
        <v>32108872</v>
      </c>
      <c r="D25" s="224">
        <f t="shared" ref="D25:Q25" si="5">SUM(D17:D24)</f>
        <v>0</v>
      </c>
      <c r="E25" s="224">
        <f t="shared" si="5"/>
        <v>24917665</v>
      </c>
      <c r="F25" s="224">
        <f t="shared" si="5"/>
        <v>0</v>
      </c>
      <c r="G25" s="224">
        <f t="shared" si="5"/>
        <v>7191207</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32108872</v>
      </c>
      <c r="S25" s="228">
        <f>SUM(S17:S24)</f>
        <v>32058872</v>
      </c>
      <c r="T25" s="228">
        <f>SUM(T17:T24)</f>
        <v>0</v>
      </c>
      <c r="U25" s="221"/>
    </row>
    <row r="26" spans="1:21" s="222" customFormat="1">
      <c r="A26" s="227" t="s">
        <v>148</v>
      </c>
      <c r="B26" s="224">
        <f>SUM(C26:D26)</f>
        <v>750000</v>
      </c>
      <c r="C26" s="225">
        <v>750000</v>
      </c>
      <c r="D26" s="225"/>
      <c r="E26" s="225"/>
      <c r="F26" s="225"/>
      <c r="G26" s="225">
        <v>750000</v>
      </c>
      <c r="H26" s="225"/>
      <c r="I26" s="225"/>
      <c r="J26" s="225"/>
      <c r="K26" s="225"/>
      <c r="L26" s="225"/>
      <c r="M26" s="225"/>
      <c r="N26" s="225"/>
      <c r="O26" s="225"/>
      <c r="P26" s="225"/>
      <c r="Q26" s="225"/>
      <c r="R26" s="916">
        <f t="shared" si="4"/>
        <v>750000</v>
      </c>
      <c r="S26" s="225">
        <f>R26</f>
        <v>750000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5000</v>
      </c>
      <c r="C38" s="225">
        <v>5000</v>
      </c>
      <c r="D38" s="225"/>
      <c r="E38" s="225"/>
      <c r="F38" s="225"/>
      <c r="G38" s="225">
        <v>5000</v>
      </c>
      <c r="H38" s="225"/>
      <c r="I38" s="225"/>
      <c r="J38" s="225"/>
      <c r="K38" s="225"/>
      <c r="L38" s="225"/>
      <c r="M38" s="225"/>
      <c r="N38" s="225"/>
      <c r="O38" s="225"/>
      <c r="P38" s="225"/>
      <c r="Q38" s="225"/>
      <c r="R38" s="916">
        <f>SUM(E38:Q38)</f>
        <v>5000</v>
      </c>
      <c r="S38" s="225">
        <f>R38</f>
        <v>5000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5000</v>
      </c>
      <c r="C40" s="224">
        <f>SUM(C37:C39)</f>
        <v>5000</v>
      </c>
      <c r="D40" s="224">
        <f>SUM(D37:D39)</f>
        <v>0</v>
      </c>
      <c r="E40" s="224">
        <f t="shared" ref="E40:T40" si="9">SUM(E38:E39)</f>
        <v>0</v>
      </c>
      <c r="F40" s="224">
        <f t="shared" si="9"/>
        <v>0</v>
      </c>
      <c r="G40" s="224">
        <f t="shared" si="9"/>
        <v>5000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5000</v>
      </c>
      <c r="S40" s="228">
        <f t="shared" si="9"/>
        <v>5000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2215682</v>
      </c>
      <c r="C43" s="225">
        <v>2215682</v>
      </c>
      <c r="D43" s="225"/>
      <c r="E43" s="225"/>
      <c r="F43" s="225"/>
      <c r="G43" s="225">
        <v>2215682</v>
      </c>
      <c r="H43" s="225"/>
      <c r="I43" s="225"/>
      <c r="J43" s="225"/>
      <c r="K43" s="225"/>
      <c r="L43" s="225"/>
      <c r="M43" s="225"/>
      <c r="N43" s="225"/>
      <c r="O43" s="225"/>
      <c r="P43" s="225"/>
      <c r="Q43" s="225"/>
      <c r="R43" s="916">
        <f t="shared" ref="R43:R52" si="11">SUM(E43:Q43)</f>
        <v>2215682</v>
      </c>
      <c r="S43" s="225">
        <f>R43</f>
        <v>2215682</v>
      </c>
      <c r="T43" s="225"/>
      <c r="U43" s="221"/>
    </row>
    <row r="44" spans="1:21" s="222" customFormat="1">
      <c r="A44" s="223" t="s">
        <v>158</v>
      </c>
      <c r="B44" s="224">
        <f t="shared" si="10"/>
        <v>741250</v>
      </c>
      <c r="C44" s="225">
        <v>741250</v>
      </c>
      <c r="D44" s="225"/>
      <c r="E44" s="225"/>
      <c r="F44" s="225"/>
      <c r="G44" s="225">
        <v>741250</v>
      </c>
      <c r="H44" s="225"/>
      <c r="I44" s="225"/>
      <c r="J44" s="225"/>
      <c r="K44" s="225"/>
      <c r="L44" s="225"/>
      <c r="M44" s="225"/>
      <c r="N44" s="225"/>
      <c r="O44" s="225"/>
      <c r="P44" s="225"/>
      <c r="Q44" s="225"/>
      <c r="R44" s="916">
        <f t="shared" si="11"/>
        <v>741250</v>
      </c>
      <c r="S44" s="225">
        <f>R44</f>
        <v>741250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100000</v>
      </c>
      <c r="C48" s="225">
        <v>100000</v>
      </c>
      <c r="D48" s="225"/>
      <c r="E48" s="225"/>
      <c r="F48" s="225"/>
      <c r="G48" s="225">
        <v>100000</v>
      </c>
      <c r="H48" s="225"/>
      <c r="I48" s="225"/>
      <c r="J48" s="225"/>
      <c r="K48" s="225"/>
      <c r="L48" s="225"/>
      <c r="M48" s="225"/>
      <c r="N48" s="225"/>
      <c r="O48" s="225"/>
      <c r="P48" s="225"/>
      <c r="Q48" s="225"/>
      <c r="R48" s="916">
        <f t="shared" si="11"/>
        <v>100000</v>
      </c>
      <c r="S48" s="225">
        <f>R48</f>
        <v>100000</v>
      </c>
      <c r="T48" s="225"/>
      <c r="U48" s="221"/>
    </row>
    <row r="49" spans="1:21" s="222" customFormat="1">
      <c r="A49" s="457" t="s">
        <v>161</v>
      </c>
      <c r="B49" s="224">
        <f t="shared" si="10"/>
        <v>95274</v>
      </c>
      <c r="C49" s="225">
        <v>95274</v>
      </c>
      <c r="D49" s="225"/>
      <c r="E49" s="225"/>
      <c r="F49" s="225"/>
      <c r="G49" s="225">
        <v>95274</v>
      </c>
      <c r="H49" s="225"/>
      <c r="I49" s="225"/>
      <c r="J49" s="225"/>
      <c r="K49" s="225"/>
      <c r="L49" s="225"/>
      <c r="M49" s="225"/>
      <c r="N49" s="225"/>
      <c r="O49" s="225"/>
      <c r="P49" s="225"/>
      <c r="Q49" s="225"/>
      <c r="R49" s="916">
        <f t="shared" si="11"/>
        <v>95274</v>
      </c>
      <c r="S49" s="225">
        <f>R49</f>
        <v>95274</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3152206</v>
      </c>
      <c r="C53" s="228">
        <f t="shared" ref="C53:T53" si="12">SUM(C43:C52)</f>
        <v>3152206</v>
      </c>
      <c r="D53" s="228">
        <f t="shared" si="12"/>
        <v>0</v>
      </c>
      <c r="E53" s="228">
        <f t="shared" si="12"/>
        <v>0</v>
      </c>
      <c r="F53" s="228">
        <f t="shared" si="12"/>
        <v>0</v>
      </c>
      <c r="G53" s="228">
        <f t="shared" si="12"/>
        <v>3152206</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3152206</v>
      </c>
      <c r="S53" s="228">
        <f t="shared" si="12"/>
        <v>3152206</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741250</v>
      </c>
      <c r="C55" s="225">
        <v>741250</v>
      </c>
      <c r="D55" s="225"/>
      <c r="E55" s="225"/>
      <c r="F55" s="225"/>
      <c r="G55" s="225">
        <v>741250</v>
      </c>
      <c r="H55" s="225"/>
      <c r="I55" s="225"/>
      <c r="J55" s="225"/>
      <c r="K55" s="225"/>
      <c r="L55" s="225"/>
      <c r="M55" s="225"/>
      <c r="N55" s="225"/>
      <c r="O55" s="225"/>
      <c r="P55" s="225"/>
      <c r="Q55" s="225"/>
      <c r="R55" s="916">
        <f t="shared" ref="R55:R61" si="14">SUM(E55:Q55)</f>
        <v>741250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105000</v>
      </c>
      <c r="C57" s="225">
        <v>105000</v>
      </c>
      <c r="D57" s="225"/>
      <c r="E57" s="225"/>
      <c r="F57" s="225"/>
      <c r="G57" s="225">
        <v>105000</v>
      </c>
      <c r="H57" s="225"/>
      <c r="I57" s="225"/>
      <c r="J57" s="225"/>
      <c r="K57" s="225"/>
      <c r="L57" s="225"/>
      <c r="M57" s="225"/>
      <c r="N57" s="225"/>
      <c r="O57" s="225"/>
      <c r="P57" s="225"/>
      <c r="Q57" s="225"/>
      <c r="R57" s="916">
        <f t="shared" si="14"/>
        <v>105000</v>
      </c>
      <c r="S57" s="226"/>
      <c r="T57" s="226"/>
      <c r="U57" s="221"/>
    </row>
    <row r="58" spans="1:21" s="222" customFormat="1">
      <c r="A58" s="457" t="s">
        <v>161</v>
      </c>
      <c r="B58" s="224">
        <f t="shared" si="13"/>
        <v>95274</v>
      </c>
      <c r="C58" s="225">
        <v>95274</v>
      </c>
      <c r="D58" s="225"/>
      <c r="E58" s="225"/>
      <c r="F58" s="225"/>
      <c r="G58" s="225">
        <v>95274</v>
      </c>
      <c r="H58" s="225"/>
      <c r="I58" s="225"/>
      <c r="J58" s="225"/>
      <c r="K58" s="225"/>
      <c r="L58" s="225"/>
      <c r="M58" s="225"/>
      <c r="N58" s="225"/>
      <c r="O58" s="225"/>
      <c r="P58" s="225"/>
      <c r="Q58" s="225"/>
      <c r="R58" s="916">
        <f t="shared" si="14"/>
        <v>95274</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75000</v>
      </c>
      <c r="C60" s="225">
        <v>75000</v>
      </c>
      <c r="D60" s="225"/>
      <c r="E60" s="225"/>
      <c r="F60" s="225"/>
      <c r="G60" s="225">
        <v>75000</v>
      </c>
      <c r="H60" s="225"/>
      <c r="I60" s="225"/>
      <c r="J60" s="225"/>
      <c r="K60" s="225"/>
      <c r="L60" s="225"/>
      <c r="M60" s="225"/>
      <c r="N60" s="225"/>
      <c r="O60" s="225"/>
      <c r="P60" s="225"/>
      <c r="Q60" s="225"/>
      <c r="R60" s="916">
        <f t="shared" si="14"/>
        <v>75000</v>
      </c>
      <c r="S60" s="226"/>
      <c r="T60" s="226"/>
      <c r="U60" s="221"/>
    </row>
    <row r="61" spans="1:21" s="222" customFormat="1">
      <c r="A61" s="230" t="s">
        <v>37</v>
      </c>
      <c r="B61" s="224">
        <f t="shared" si="13"/>
        <v>140000</v>
      </c>
      <c r="C61" s="225">
        <v>140000</v>
      </c>
      <c r="D61" s="225"/>
      <c r="E61" s="225"/>
      <c r="F61" s="225"/>
      <c r="G61" s="225">
        <v>140000</v>
      </c>
      <c r="H61" s="225"/>
      <c r="I61" s="225"/>
      <c r="J61" s="225"/>
      <c r="K61" s="225"/>
      <c r="L61" s="225"/>
      <c r="M61" s="225"/>
      <c r="N61" s="225"/>
      <c r="O61" s="225"/>
      <c r="P61" s="225"/>
      <c r="Q61" s="225"/>
      <c r="R61" s="916">
        <f t="shared" si="14"/>
        <v>140000</v>
      </c>
      <c r="S61" s="226"/>
      <c r="T61" s="226"/>
      <c r="U61" s="221"/>
    </row>
    <row r="62" spans="1:21" s="222" customFormat="1" ht="13.7" customHeight="1">
      <c r="A62" s="227" t="s">
        <v>320</v>
      </c>
      <c r="B62" s="224">
        <f>SUM(C62:D62)</f>
        <v>1156524</v>
      </c>
      <c r="C62" s="224">
        <f t="shared" ref="C62:Q62" si="15">SUM(C55:C61)</f>
        <v>1156524</v>
      </c>
      <c r="D62" s="224">
        <f t="shared" si="15"/>
        <v>0</v>
      </c>
      <c r="E62" s="224">
        <f t="shared" si="15"/>
        <v>0</v>
      </c>
      <c r="F62" s="224">
        <f t="shared" si="15"/>
        <v>0</v>
      </c>
      <c r="G62" s="224">
        <f t="shared" si="15"/>
        <v>1156524</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1156524</v>
      </c>
      <c r="S62" s="226"/>
      <c r="T62" s="226"/>
      <c r="U62" s="221"/>
    </row>
    <row r="63" spans="1:21" s="222" customFormat="1">
      <c r="A63" s="233" t="s">
        <v>321</v>
      </c>
      <c r="B63" s="224">
        <f>SUM(B8+B11+B13+B14+B15+B25+B26+B36+B40+B41+B53+B62)</f>
        <v>127045042</v>
      </c>
      <c r="C63" s="224">
        <f t="shared" ref="C63:Q63" si="16">SUM(C8+C11+C13+C14+C15+C25+C26+C36+C40+C41+C53+C62)</f>
        <v>127045042</v>
      </c>
      <c r="D63" s="224">
        <f t="shared" si="16"/>
        <v>0</v>
      </c>
      <c r="E63" s="224">
        <f t="shared" si="16"/>
        <v>45017665</v>
      </c>
      <c r="F63" s="224">
        <f t="shared" si="16"/>
        <v>69772440</v>
      </c>
      <c r="G63" s="224">
        <f t="shared" si="16"/>
        <v>12254937</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127045042</v>
      </c>
      <c r="S63" s="224">
        <f>SUM(S10+S13+S14+S15+S25+S26+S36+S40+S41+S53)</f>
        <v>35966078</v>
      </c>
      <c r="T63" s="224">
        <f>SUM(T11+T13+T14+T15+T25+T26+T36+T40+T41+T53)</f>
        <v>83697440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200000</v>
      </c>
      <c r="C65" s="225">
        <v>200000</v>
      </c>
      <c r="D65" s="225"/>
      <c r="E65" s="225"/>
      <c r="F65" s="225"/>
      <c r="G65" s="225">
        <v>200000</v>
      </c>
      <c r="H65" s="225"/>
      <c r="I65" s="225"/>
      <c r="J65" s="225"/>
      <c r="K65" s="225"/>
      <c r="L65" s="225"/>
      <c r="M65" s="225"/>
      <c r="N65" s="225"/>
      <c r="O65" s="225"/>
      <c r="P65" s="225"/>
      <c r="Q65" s="225"/>
      <c r="R65" s="916">
        <f>SUM(E65:Q65)</f>
        <v>200000</v>
      </c>
      <c r="S65" s="225">
        <v>100000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200000</v>
      </c>
      <c r="C67" s="224">
        <f>SUM(C64:C66)</f>
        <v>200000</v>
      </c>
      <c r="D67" s="224">
        <f>SUM(D64:D66)</f>
        <v>0</v>
      </c>
      <c r="E67" s="224">
        <f t="shared" ref="E67:T67" si="17">SUM(E65:E66)</f>
        <v>0</v>
      </c>
      <c r="F67" s="224">
        <f t="shared" si="17"/>
        <v>0</v>
      </c>
      <c r="G67" s="224">
        <f t="shared" si="17"/>
        <v>200000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200000</v>
      </c>
      <c r="S67" s="228">
        <f>SUM(S65:S66)</f>
        <v>100000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1252117</v>
      </c>
      <c r="C72" s="225">
        <v>1252117</v>
      </c>
      <c r="D72" s="225"/>
      <c r="E72" s="225"/>
      <c r="F72" s="225"/>
      <c r="G72" s="225">
        <v>1252117</v>
      </c>
      <c r="H72" s="225"/>
      <c r="I72" s="225"/>
      <c r="J72" s="225"/>
      <c r="K72" s="225"/>
      <c r="L72" s="225"/>
      <c r="M72" s="225"/>
      <c r="N72" s="225"/>
      <c r="O72" s="225"/>
      <c r="P72" s="225"/>
      <c r="Q72" s="225"/>
      <c r="R72" s="916">
        <f>SUM(E72:Q72)</f>
        <v>1252117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1252117</v>
      </c>
      <c r="C74" s="224">
        <f>SUM(C69:C73)</f>
        <v>1252117</v>
      </c>
      <c r="D74" s="224">
        <f>SUM(D69:D73)</f>
        <v>0</v>
      </c>
      <c r="E74" s="224">
        <f t="shared" ref="E74:Q74" si="18">SUM(E69:E73)</f>
        <v>0</v>
      </c>
      <c r="F74" s="224">
        <f t="shared" si="18"/>
        <v>0</v>
      </c>
      <c r="G74" s="224">
        <f t="shared" si="18"/>
        <v>1252117</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1252117</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3210887</v>
      </c>
      <c r="C76" s="225">
        <v>3210887</v>
      </c>
      <c r="D76" s="225"/>
      <c r="E76" s="225"/>
      <c r="F76" s="225"/>
      <c r="G76" s="225">
        <f>+C76</f>
        <v>3210887</v>
      </c>
      <c r="H76" s="225"/>
      <c r="I76" s="225"/>
      <c r="J76" s="225"/>
      <c r="K76" s="225"/>
      <c r="L76" s="225"/>
      <c r="M76" s="225"/>
      <c r="N76" s="225"/>
      <c r="O76" s="225"/>
      <c r="P76" s="225"/>
      <c r="Q76" s="225"/>
      <c r="R76" s="916">
        <f>SUM(E76:Q76)</f>
        <v>3210887</v>
      </c>
      <c r="S76" s="225">
        <f>+R76</f>
        <v>3210887</v>
      </c>
      <c r="T76" s="225"/>
      <c r="U76" s="221"/>
    </row>
    <row r="77" spans="1:21" s="222" customFormat="1">
      <c r="A77" s="457" t="s">
        <v>63</v>
      </c>
      <c r="B77" s="224">
        <f>SUM(C77:D77)</f>
        <v>1845060</v>
      </c>
      <c r="C77" s="225">
        <f>G77</f>
        <v>1845060</v>
      </c>
      <c r="D77" s="225"/>
      <c r="E77" s="225"/>
      <c r="F77" s="225"/>
      <c r="G77" s="225">
        <f>2020333+22000+727-198000</f>
        <v>1845060</v>
      </c>
      <c r="H77" s="225"/>
      <c r="I77" s="225"/>
      <c r="J77" s="225"/>
      <c r="K77" s="225"/>
      <c r="L77" s="225"/>
      <c r="M77" s="225"/>
      <c r="N77" s="225"/>
      <c r="O77" s="225"/>
      <c r="P77" s="225"/>
      <c r="Q77" s="225"/>
      <c r="R77" s="916">
        <f>SUM(E77:Q77)</f>
        <v>1845060</v>
      </c>
      <c r="S77" s="225">
        <v>1648497</v>
      </c>
      <c r="T77" s="225"/>
      <c r="U77" s="221"/>
    </row>
    <row r="78" spans="1:21" s="222" customFormat="1">
      <c r="A78" s="227" t="s">
        <v>1468</v>
      </c>
      <c r="B78" s="224">
        <f>SUM(C78:D78)</f>
        <v>5055947</v>
      </c>
      <c r="C78" s="890">
        <f>SUM(C76:C77)</f>
        <v>5055947</v>
      </c>
      <c r="D78" s="890">
        <f t="shared" ref="D78:T78" si="19">SUM(D76:D77)</f>
        <v>0</v>
      </c>
      <c r="E78" s="890">
        <f t="shared" si="19"/>
        <v>0</v>
      </c>
      <c r="F78" s="890">
        <f t="shared" si="19"/>
        <v>0</v>
      </c>
      <c r="G78" s="890">
        <f t="shared" si="19"/>
        <v>5055947</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5055947</v>
      </c>
      <c r="S78" s="890">
        <f t="shared" si="19"/>
        <v>4859384</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185000</v>
      </c>
      <c r="C80" s="225">
        <v>185000</v>
      </c>
      <c r="D80" s="225"/>
      <c r="E80" s="225"/>
      <c r="F80" s="225">
        <v>185000</v>
      </c>
      <c r="G80" s="225">
        <v>0</v>
      </c>
      <c r="H80" s="225"/>
      <c r="I80" s="225"/>
      <c r="J80" s="225"/>
      <c r="K80" s="225"/>
      <c r="L80" s="225"/>
      <c r="M80" s="225"/>
      <c r="N80" s="225"/>
      <c r="O80" s="225"/>
      <c r="P80" s="225"/>
      <c r="Q80" s="225"/>
      <c r="R80" s="916">
        <f t="shared" ref="R80:R94" si="21">SUM(E80:Q80)</f>
        <v>185000</v>
      </c>
      <c r="S80" s="226"/>
      <c r="T80" s="226"/>
      <c r="U80" s="221"/>
    </row>
    <row r="81" spans="1:21" s="222" customFormat="1">
      <c r="A81" s="223" t="s">
        <v>845</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846</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847</v>
      </c>
      <c r="B83" s="224">
        <f t="shared" si="20"/>
        <v>0</v>
      </c>
      <c r="C83" s="22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850</v>
      </c>
      <c r="B86" s="224">
        <f t="shared" si="20"/>
        <v>0</v>
      </c>
      <c r="C86" s="225"/>
      <c r="D86" s="225"/>
      <c r="E86" s="225"/>
      <c r="F86" s="225"/>
      <c r="G86" s="225"/>
      <c r="H86" s="225"/>
      <c r="I86" s="225"/>
      <c r="J86" s="225"/>
      <c r="K86" s="225"/>
      <c r="L86" s="225"/>
      <c r="M86" s="225"/>
      <c r="N86" s="225"/>
      <c r="O86" s="225"/>
      <c r="P86" s="225"/>
      <c r="Q86" s="225"/>
      <c r="R86" s="916">
        <f t="shared" si="21"/>
        <v>0</v>
      </c>
      <c r="S86" s="225"/>
      <c r="T86" s="225"/>
      <c r="U86" s="221"/>
    </row>
    <row r="87" spans="1:21" s="222" customFormat="1">
      <c r="A87" s="223" t="s">
        <v>851</v>
      </c>
      <c r="B87" s="224">
        <f t="shared" si="20"/>
        <v>10000</v>
      </c>
      <c r="C87" s="225">
        <v>10000</v>
      </c>
      <c r="D87" s="225"/>
      <c r="E87" s="225"/>
      <c r="F87" s="225">
        <v>10000</v>
      </c>
      <c r="G87" s="225">
        <v>0</v>
      </c>
      <c r="H87" s="225"/>
      <c r="I87" s="225"/>
      <c r="J87" s="225"/>
      <c r="K87" s="225"/>
      <c r="L87" s="225"/>
      <c r="M87" s="225"/>
      <c r="N87" s="225"/>
      <c r="O87" s="225"/>
      <c r="P87" s="225"/>
      <c r="Q87" s="225"/>
      <c r="R87" s="916">
        <f t="shared" si="21"/>
        <v>10000</v>
      </c>
      <c r="S87" s="225">
        <v>1000</v>
      </c>
      <c r="T87" s="225"/>
      <c r="U87" s="221"/>
    </row>
    <row r="88" spans="1:21" s="222" customFormat="1">
      <c r="A88" s="234" t="s">
        <v>404</v>
      </c>
      <c r="B88" s="224">
        <f t="shared" si="20"/>
        <v>15000</v>
      </c>
      <c r="C88" s="225">
        <v>15000</v>
      </c>
      <c r="D88" s="225"/>
      <c r="E88" s="225"/>
      <c r="F88" s="225">
        <v>15000</v>
      </c>
      <c r="G88" s="225">
        <v>0</v>
      </c>
      <c r="H88" s="225"/>
      <c r="I88" s="225"/>
      <c r="J88" s="225"/>
      <c r="K88" s="225"/>
      <c r="L88" s="225"/>
      <c r="M88" s="225"/>
      <c r="N88" s="225"/>
      <c r="O88" s="225"/>
      <c r="P88" s="225"/>
      <c r="Q88" s="225"/>
      <c r="R88" s="916">
        <f t="shared" si="21"/>
        <v>15000</v>
      </c>
      <c r="S88" s="225">
        <v>1500</v>
      </c>
      <c r="T88" s="225"/>
      <c r="U88" s="221"/>
    </row>
    <row r="89" spans="1:21" s="222" customFormat="1">
      <c r="A89" s="889" t="s">
        <v>1470</v>
      </c>
      <c r="B89" s="224">
        <f t="shared" si="20"/>
        <v>10000</v>
      </c>
      <c r="C89" s="225">
        <v>10000</v>
      </c>
      <c r="D89" s="225"/>
      <c r="E89" s="225"/>
      <c r="F89" s="225">
        <v>10000</v>
      </c>
      <c r="G89" s="225">
        <v>0</v>
      </c>
      <c r="H89" s="225"/>
      <c r="I89" s="225"/>
      <c r="J89" s="225"/>
      <c r="K89" s="225"/>
      <c r="L89" s="225"/>
      <c r="M89" s="225"/>
      <c r="N89" s="225"/>
      <c r="O89" s="225"/>
      <c r="P89" s="225"/>
      <c r="Q89" s="225"/>
      <c r="R89" s="916">
        <f t="shared" si="21"/>
        <v>10000</v>
      </c>
      <c r="S89" s="225"/>
      <c r="T89" s="225"/>
      <c r="U89" s="221"/>
    </row>
    <row r="90" spans="1:21" s="222" customFormat="1">
      <c r="A90" s="955" t="s">
        <v>63</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955" t="s">
        <v>1769</v>
      </c>
      <c r="B91" s="224">
        <f t="shared" si="20"/>
        <v>61560</v>
      </c>
      <c r="C91" s="225">
        <v>61560</v>
      </c>
      <c r="D91" s="225"/>
      <c r="E91" s="225">
        <v>54000</v>
      </c>
      <c r="F91" s="225">
        <v>7560</v>
      </c>
      <c r="G91" s="225">
        <v>0</v>
      </c>
      <c r="H91" s="225"/>
      <c r="I91" s="225"/>
      <c r="J91" s="225"/>
      <c r="K91" s="225"/>
      <c r="L91" s="225"/>
      <c r="M91" s="225"/>
      <c r="N91" s="225"/>
      <c r="O91" s="225"/>
      <c r="P91" s="225"/>
      <c r="Q91" s="225"/>
      <c r="R91" s="916">
        <f t="shared" si="21"/>
        <v>61560</v>
      </c>
      <c r="S91" s="225">
        <v>30287</v>
      </c>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281560</v>
      </c>
      <c r="C95" s="224">
        <f t="shared" ref="C95:Q95" si="22">SUM(C80:C94)</f>
        <v>281560</v>
      </c>
      <c r="D95" s="224">
        <f t="shared" si="22"/>
        <v>0</v>
      </c>
      <c r="E95" s="224">
        <f t="shared" si="22"/>
        <v>54000</v>
      </c>
      <c r="F95" s="224">
        <f t="shared" si="22"/>
        <v>227560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281560</v>
      </c>
      <c r="S95" s="228">
        <f>SUM(S81:S84,S86:S94)</f>
        <v>32787</v>
      </c>
      <c r="T95" s="224">
        <f>SUM(T81:T84,T86:T94)</f>
        <v>0</v>
      </c>
      <c r="U95" s="221"/>
    </row>
    <row r="96" spans="1:21" s="222" customFormat="1">
      <c r="A96" s="227" t="s">
        <v>853</v>
      </c>
      <c r="B96" s="224">
        <f>SUM(C96:D96)</f>
        <v>133834666</v>
      </c>
      <c r="C96" s="224">
        <f>SUM(C63+C67+C74+C78+C95)</f>
        <v>133834666</v>
      </c>
      <c r="D96" s="224">
        <f t="shared" ref="D96:R96" si="23">SUM(D63+D67+D74+D78+D95)</f>
        <v>0</v>
      </c>
      <c r="E96" s="224">
        <f t="shared" si="23"/>
        <v>45071665</v>
      </c>
      <c r="F96" s="224">
        <f t="shared" si="23"/>
        <v>70000000</v>
      </c>
      <c r="G96" s="224">
        <f t="shared" si="23"/>
        <v>18763001</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133834666</v>
      </c>
      <c r="S96" s="224">
        <f>SUM(S63+S67+S78+S95)</f>
        <v>40958249</v>
      </c>
      <c r="T96" s="224">
        <f>SUM(T63+T67+T78+T95)</f>
        <v>83697440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18705853</v>
      </c>
      <c r="C98" s="225">
        <f>+H98</f>
        <v>18705853</v>
      </c>
      <c r="D98" s="225"/>
      <c r="E98" s="225"/>
      <c r="F98" s="225"/>
      <c r="G98" s="225"/>
      <c r="H98" s="225">
        <f>+S98+T98</f>
        <v>18705853</v>
      </c>
      <c r="I98" s="225"/>
      <c r="J98" s="225"/>
      <c r="K98" s="225"/>
      <c r="L98" s="225"/>
      <c r="M98" s="225"/>
      <c r="N98" s="225"/>
      <c r="O98" s="225"/>
      <c r="P98" s="225"/>
      <c r="Q98" s="225"/>
      <c r="R98" s="916">
        <f t="shared" ref="R98:R103" si="25">SUM(E98:Q98)</f>
        <v>18705853</v>
      </c>
      <c r="S98" s="225">
        <v>6151237</v>
      </c>
      <c r="T98" s="225">
        <v>12554616</v>
      </c>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18705853</v>
      </c>
      <c r="C104" s="224">
        <f t="shared" ref="C104:T104" si="26">SUM(C98:C103)</f>
        <v>18705853</v>
      </c>
      <c r="D104" s="224">
        <f t="shared" si="26"/>
        <v>0</v>
      </c>
      <c r="E104" s="224">
        <f t="shared" si="26"/>
        <v>0</v>
      </c>
      <c r="F104" s="224">
        <f t="shared" si="26"/>
        <v>0</v>
      </c>
      <c r="G104" s="224">
        <f t="shared" si="26"/>
        <v>0</v>
      </c>
      <c r="H104" s="224">
        <f t="shared" si="26"/>
        <v>18705853</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18705853</v>
      </c>
      <c r="S104" s="228">
        <f t="shared" si="26"/>
        <v>6151237</v>
      </c>
      <c r="T104" s="228">
        <f t="shared" si="26"/>
        <v>12554616</v>
      </c>
      <c r="U104" s="221"/>
    </row>
    <row r="105" spans="1:21" s="222" customFormat="1">
      <c r="A105" s="227" t="s">
        <v>861</v>
      </c>
      <c r="B105" s="228">
        <f>SUM(C105:D105)</f>
        <v>152540519</v>
      </c>
      <c r="C105" s="228">
        <f t="shared" ref="C105:R105" si="27">SUM(C96+C104)</f>
        <v>152540519</v>
      </c>
      <c r="D105" s="228">
        <f t="shared" si="27"/>
        <v>0</v>
      </c>
      <c r="E105" s="228">
        <f t="shared" si="27"/>
        <v>45071665</v>
      </c>
      <c r="F105" s="228">
        <f t="shared" si="27"/>
        <v>70000000</v>
      </c>
      <c r="G105" s="228">
        <f t="shared" si="27"/>
        <v>18763001</v>
      </c>
      <c r="H105" s="228">
        <f t="shared" si="27"/>
        <v>18705853</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152540519</v>
      </c>
      <c r="S105" s="228">
        <f>S96+S104</f>
        <v>47109486</v>
      </c>
      <c r="T105" s="228">
        <f>T96+T104</f>
        <v>96252056</v>
      </c>
      <c r="U105" s="221"/>
    </row>
    <row r="106" spans="1:21">
      <c r="A106" s="898" t="s">
        <v>1171</v>
      </c>
      <c r="B106" s="236"/>
      <c r="C106" s="236"/>
      <c r="D106" s="236"/>
      <c r="H106" s="238" t="s">
        <v>99</v>
      </c>
      <c r="I106" s="238"/>
      <c r="J106" s="238"/>
      <c r="R106" s="239" t="s">
        <v>100</v>
      </c>
      <c r="S106" s="225">
        <f>359100+150000+700000</f>
        <v>1209100</v>
      </c>
      <c r="T106" s="225"/>
    </row>
    <row r="107" spans="1:21">
      <c r="A107" s="236" t="s">
        <v>197</v>
      </c>
      <c r="C107" s="236"/>
      <c r="D107" s="236"/>
      <c r="I107" s="241" t="s">
        <v>374</v>
      </c>
      <c r="J107" s="241"/>
      <c r="R107" s="239" t="s">
        <v>101</v>
      </c>
      <c r="S107" s="242">
        <f>S105+S106</f>
        <v>48318586</v>
      </c>
      <c r="T107" s="242">
        <f>T105+T106</f>
        <v>96252056</v>
      </c>
    </row>
    <row r="108" spans="1:21" s="310" customFormat="1">
      <c r="A108" s="241" t="s">
        <v>973</v>
      </c>
      <c r="B108" s="236"/>
      <c r="C108" s="236"/>
      <c r="D108" s="236"/>
      <c r="E108" s="481">
        <f>Application!AG631</f>
        <v>45071665</v>
      </c>
      <c r="F108" s="481">
        <f>Application!AG618</f>
        <v>70000000</v>
      </c>
      <c r="G108" s="481">
        <f>Application!AG619</f>
        <v>18763001</v>
      </c>
      <c r="H108" s="481">
        <f>Application!AG620</f>
        <v>18705853</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7" t="s">
        <v>1134</v>
      </c>
      <c r="E122" s="1597"/>
      <c r="F122" s="159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0" t="s">
        <v>1492</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1136</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1137</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1141</v>
      </c>
      <c r="E129" s="1596"/>
      <c r="F129" s="1596"/>
      <c r="G129" s="1596"/>
      <c r="H129" s="159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1"/>
      <c r="E131" s="1571"/>
      <c r="F131" s="1571"/>
      <c r="G131" s="1571"/>
      <c r="H131" s="1571"/>
      <c r="I131" s="534"/>
      <c r="J131" s="1571"/>
      <c r="K131" s="1571"/>
      <c r="L131" s="1571"/>
      <c r="M131" s="1571"/>
      <c r="N131" s="534"/>
      <c r="O131" s="534"/>
      <c r="P131" s="534"/>
      <c r="Q131" s="534"/>
      <c r="R131" s="534"/>
      <c r="S131" s="534"/>
      <c r="T131" s="535"/>
      <c r="U131" s="537"/>
    </row>
    <row r="132" spans="1:21" ht="12" customHeight="1">
      <c r="A132" s="548"/>
      <c r="B132" s="534"/>
      <c r="C132" s="534"/>
      <c r="D132" s="1602" t="s">
        <v>1144</v>
      </c>
      <c r="E132" s="1602"/>
      <c r="F132" s="1602"/>
      <c r="G132" s="1602"/>
      <c r="H132" s="1602"/>
      <c r="I132" s="534"/>
      <c r="J132" s="1602" t="s">
        <v>1145</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1148</v>
      </c>
      <c r="B139" s="1599"/>
      <c r="C139" s="159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0" zoomScaleNormal="100" zoomScaleSheetLayoutView="100" workbookViewId="0">
      <selection activeCell="C78" sqref="C7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1495</v>
      </c>
      <c r="B1" s="1612"/>
      <c r="C1" s="1612"/>
      <c r="D1" s="1612"/>
      <c r="E1" s="1612"/>
      <c r="F1" s="1612"/>
      <c r="G1" s="1612"/>
      <c r="H1" s="1612"/>
      <c r="I1" s="1612"/>
      <c r="J1" s="1613"/>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5700000</v>
      </c>
      <c r="C4" s="590">
        <v>5700000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100000</v>
      </c>
      <c r="C6" s="590">
        <v>100000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5800000</v>
      </c>
      <c r="C8" s="589">
        <f>SUM(C4:C7)</f>
        <v>5800000</v>
      </c>
      <c r="D8" s="589">
        <f>SUM(D4:D7)</f>
        <v>0</v>
      </c>
      <c r="E8" s="591"/>
      <c r="F8" s="591"/>
      <c r="G8" s="591"/>
      <c r="H8" s="591"/>
      <c r="I8" s="591"/>
      <c r="J8" s="591"/>
      <c r="K8" s="587"/>
    </row>
    <row r="9" spans="1:11" s="588" customFormat="1">
      <c r="A9" s="592" t="s">
        <v>644</v>
      </c>
      <c r="B9" s="589">
        <f>'Sources and Uses Budget'!C9</f>
        <v>84072440</v>
      </c>
      <c r="C9" s="590"/>
      <c r="D9" s="590">
        <v>84072440</v>
      </c>
      <c r="E9" s="591"/>
      <c r="F9" s="591"/>
      <c r="G9" s="591"/>
      <c r="H9" s="589">
        <f>'Sources and Uses Budget'!T9</f>
        <v>83697440</v>
      </c>
      <c r="I9" s="590">
        <v>83697440</v>
      </c>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84072440</v>
      </c>
      <c r="C11" s="589">
        <f>SUM(C9:C10)</f>
        <v>0</v>
      </c>
      <c r="D11" s="589">
        <f>SUM(D9:D10)</f>
        <v>84072440</v>
      </c>
      <c r="E11" s="591"/>
      <c r="F11" s="591"/>
      <c r="G11" s="591"/>
      <c r="H11" s="589">
        <f>'Sources and Uses Budget'!T11</f>
        <v>83697440</v>
      </c>
      <c r="I11" s="589">
        <f>SUM(I9:I10)</f>
        <v>83697440</v>
      </c>
      <c r="J11" s="589">
        <f>SUM(J9:J10)</f>
        <v>0</v>
      </c>
      <c r="K11" s="587"/>
    </row>
    <row r="12" spans="1:11" s="588" customFormat="1">
      <c r="A12" s="593" t="s">
        <v>91</v>
      </c>
      <c r="B12" s="589">
        <f>'Sources and Uses Budget'!C12</f>
        <v>89872440</v>
      </c>
      <c r="C12" s="589">
        <f>SUM(C8+C11)</f>
        <v>5800000</v>
      </c>
      <c r="D12" s="589">
        <f>SUM(D8+D11)</f>
        <v>84072440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28166647</v>
      </c>
      <c r="C18" s="590">
        <v>28166647</v>
      </c>
      <c r="D18" s="590"/>
      <c r="E18" s="589">
        <f>'Sources and Uses Budget'!S18</f>
        <v>28116647</v>
      </c>
      <c r="F18" s="590">
        <f>28166647-50000</f>
        <v>28116647</v>
      </c>
      <c r="G18" s="590"/>
      <c r="H18" s="589">
        <f>'Sources and Uses Budget'!T18</f>
        <v>0</v>
      </c>
      <c r="I18" s="590"/>
      <c r="J18" s="590"/>
      <c r="K18" s="587"/>
    </row>
    <row r="19" spans="1:11" s="588" customFormat="1">
      <c r="A19" s="592" t="s">
        <v>650</v>
      </c>
      <c r="B19" s="589">
        <f>'Sources and Uses Budget'!C19</f>
        <v>762041</v>
      </c>
      <c r="C19" s="590">
        <v>762041</v>
      </c>
      <c r="D19" s="590"/>
      <c r="E19" s="589">
        <f>'Sources and Uses Budget'!S19</f>
        <v>762041</v>
      </c>
      <c r="F19" s="590">
        <v>762041</v>
      </c>
      <c r="G19" s="590"/>
      <c r="H19" s="589">
        <f>'Sources and Uses Budget'!T19</f>
        <v>0</v>
      </c>
      <c r="I19" s="590"/>
      <c r="J19" s="590"/>
      <c r="K19" s="587"/>
    </row>
    <row r="20" spans="1:11" s="588" customFormat="1">
      <c r="A20" s="592" t="s">
        <v>144</v>
      </c>
      <c r="B20" s="589">
        <f>'Sources and Uses Budget'!C20</f>
        <v>834841</v>
      </c>
      <c r="C20" s="590">
        <v>834841</v>
      </c>
      <c r="D20" s="590"/>
      <c r="E20" s="589">
        <f>'Sources and Uses Budget'!S20</f>
        <v>834841</v>
      </c>
      <c r="F20" s="590">
        <v>834841</v>
      </c>
      <c r="G20" s="590"/>
      <c r="H20" s="589">
        <f>'Sources and Uses Budget'!T20</f>
        <v>0</v>
      </c>
      <c r="I20" s="590"/>
      <c r="J20" s="590"/>
      <c r="K20" s="587"/>
    </row>
    <row r="21" spans="1:11" s="588" customFormat="1">
      <c r="A21" s="592" t="s">
        <v>145</v>
      </c>
      <c r="B21" s="589">
        <f>'Sources and Uses Budget'!C21</f>
        <v>2345343</v>
      </c>
      <c r="C21" s="590">
        <v>2345343</v>
      </c>
      <c r="D21" s="590"/>
      <c r="E21" s="589">
        <f>'Sources and Uses Budget'!S21</f>
        <v>2345343</v>
      </c>
      <c r="F21" s="590">
        <v>2345343</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32108872</v>
      </c>
      <c r="C25" s="589">
        <f>SUM(C17:C24)</f>
        <v>32108872</v>
      </c>
      <c r="D25" s="589">
        <f>SUM(D17:D24)</f>
        <v>0</v>
      </c>
      <c r="E25" s="589">
        <f>'Sources and Uses Budget'!S25</f>
        <v>32058872</v>
      </c>
      <c r="F25" s="596">
        <f>SUM(F17:F24)</f>
        <v>32058872</v>
      </c>
      <c r="G25" s="596">
        <f>SUM(G17:G24)</f>
        <v>0</v>
      </c>
      <c r="H25" s="589">
        <f>'Sources and Uses Budget'!T25</f>
        <v>0</v>
      </c>
      <c r="I25" s="596">
        <f>SUM(I17:I24)</f>
        <v>0</v>
      </c>
      <c r="J25" s="596">
        <f>SUM(J17:J24)</f>
        <v>0</v>
      </c>
      <c r="K25" s="587"/>
    </row>
    <row r="26" spans="1:11" s="588" customFormat="1">
      <c r="A26" s="593" t="s">
        <v>148</v>
      </c>
      <c r="B26" s="589">
        <f>'Sources and Uses Budget'!C26</f>
        <v>750000</v>
      </c>
      <c r="C26" s="590">
        <v>750000</v>
      </c>
      <c r="D26" s="590"/>
      <c r="E26" s="589">
        <f>'Sources and Uses Budget'!S26</f>
        <v>750000</v>
      </c>
      <c r="F26" s="590">
        <v>750000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5000</v>
      </c>
      <c r="C38" s="590">
        <v>5000</v>
      </c>
      <c r="D38" s="590"/>
      <c r="E38" s="589">
        <f>'Sources and Uses Budget'!S38</f>
        <v>5000</v>
      </c>
      <c r="F38" s="590">
        <v>5000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5000</v>
      </c>
      <c r="C40" s="589">
        <f>SUM(C37:C39)</f>
        <v>5000</v>
      </c>
      <c r="D40" s="589">
        <f>SUM(D37:D39)</f>
        <v>0</v>
      </c>
      <c r="E40" s="589">
        <f>'Sources and Uses Budget'!S40</f>
        <v>5000</v>
      </c>
      <c r="F40" s="596">
        <f>SUM(F38:F39)</f>
        <v>5000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2215682</v>
      </c>
      <c r="C43" s="590">
        <v>2215682</v>
      </c>
      <c r="D43" s="590"/>
      <c r="E43" s="589">
        <f>'Sources and Uses Budget'!S43</f>
        <v>2215682</v>
      </c>
      <c r="F43" s="590">
        <v>2215682</v>
      </c>
      <c r="G43" s="590"/>
      <c r="H43" s="589">
        <f>'Sources and Uses Budget'!T43</f>
        <v>0</v>
      </c>
      <c r="I43" s="590"/>
      <c r="J43" s="590"/>
      <c r="K43" s="587"/>
    </row>
    <row r="44" spans="1:11" s="588" customFormat="1">
      <c r="A44" s="592" t="s">
        <v>158</v>
      </c>
      <c r="B44" s="589">
        <f>'Sources and Uses Budget'!C44</f>
        <v>741250</v>
      </c>
      <c r="C44" s="590">
        <v>741250</v>
      </c>
      <c r="D44" s="590"/>
      <c r="E44" s="589">
        <f>'Sources and Uses Budget'!S44</f>
        <v>741250</v>
      </c>
      <c r="F44" s="590">
        <v>741250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100000</v>
      </c>
      <c r="C48" s="590">
        <v>100000</v>
      </c>
      <c r="D48" s="590"/>
      <c r="E48" s="589">
        <f>'Sources and Uses Budget'!S48</f>
        <v>100000</v>
      </c>
      <c r="F48" s="590">
        <v>100000</v>
      </c>
      <c r="G48" s="590"/>
      <c r="H48" s="589">
        <f>'Sources and Uses Budget'!T48</f>
        <v>0</v>
      </c>
      <c r="I48" s="590"/>
      <c r="J48" s="590"/>
      <c r="K48" s="587"/>
    </row>
    <row r="49" spans="1:11" s="588" customFormat="1">
      <c r="A49" s="592" t="s">
        <v>161</v>
      </c>
      <c r="B49" s="589">
        <f>'Sources and Uses Budget'!C49</f>
        <v>95274</v>
      </c>
      <c r="C49" s="590">
        <v>95274</v>
      </c>
      <c r="D49" s="590"/>
      <c r="E49" s="589">
        <f>'Sources and Uses Budget'!S49</f>
        <v>95274</v>
      </c>
      <c r="F49" s="590">
        <v>95274</v>
      </c>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3152206</v>
      </c>
      <c r="C53" s="596">
        <f>SUM(C43:C52)</f>
        <v>3152206</v>
      </c>
      <c r="D53" s="596">
        <f>SUM(D43:D52)</f>
        <v>0</v>
      </c>
      <c r="E53" s="589">
        <f>'Sources and Uses Budget'!S53</f>
        <v>3152206</v>
      </c>
      <c r="F53" s="596">
        <f>SUM(F43:F52)</f>
        <v>3152206</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741250</v>
      </c>
      <c r="C55" s="590">
        <v>741250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105000</v>
      </c>
      <c r="C57" s="590">
        <v>105000</v>
      </c>
      <c r="D57" s="590"/>
      <c r="E57" s="591"/>
      <c r="F57" s="591"/>
      <c r="G57" s="591"/>
      <c r="H57" s="591"/>
      <c r="I57" s="591"/>
      <c r="J57" s="591"/>
      <c r="K57" s="587"/>
    </row>
    <row r="58" spans="1:11" s="588" customFormat="1">
      <c r="A58" s="592" t="s">
        <v>161</v>
      </c>
      <c r="B58" s="589">
        <f>'Sources and Uses Budget'!C58</f>
        <v>95274</v>
      </c>
      <c r="C58" s="590">
        <v>95274</v>
      </c>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75000</v>
      </c>
      <c r="C60" s="590">
        <v>75000</v>
      </c>
      <c r="D60" s="590"/>
      <c r="E60" s="591"/>
      <c r="F60" s="591"/>
      <c r="G60" s="591"/>
      <c r="H60" s="591"/>
      <c r="I60" s="591"/>
      <c r="J60" s="591"/>
      <c r="K60" s="587"/>
    </row>
    <row r="61" spans="1:11" s="588" customFormat="1">
      <c r="A61" s="595" t="str">
        <f>'Sources and Uses Budget'!$A61</f>
        <v>Other: (Specify)</v>
      </c>
      <c r="B61" s="589">
        <f>'Sources and Uses Budget'!C61</f>
        <v>140000</v>
      </c>
      <c r="C61" s="590">
        <v>140000</v>
      </c>
      <c r="D61" s="590"/>
      <c r="E61" s="591"/>
      <c r="F61" s="591"/>
      <c r="G61" s="591"/>
      <c r="H61" s="591"/>
      <c r="I61" s="591"/>
      <c r="J61" s="591"/>
      <c r="K61" s="587"/>
    </row>
    <row r="62" spans="1:11" s="588" customFormat="1" ht="13.7" customHeight="1">
      <c r="A62" s="593" t="s">
        <v>320</v>
      </c>
      <c r="B62" s="589">
        <f>'Sources and Uses Budget'!C62</f>
        <v>1156524</v>
      </c>
      <c r="C62" s="589">
        <f>SUM(C55:C61)</f>
        <v>1156524</v>
      </c>
      <c r="D62" s="589">
        <f>SUM(D55:D61)</f>
        <v>0</v>
      </c>
      <c r="E62" s="591"/>
      <c r="F62" s="591"/>
      <c r="G62" s="591"/>
      <c r="H62" s="591"/>
      <c r="I62" s="591"/>
      <c r="J62" s="591"/>
      <c r="K62" s="587"/>
    </row>
    <row r="63" spans="1:11" s="588" customFormat="1">
      <c r="A63" s="600" t="s">
        <v>321</v>
      </c>
      <c r="B63" s="589">
        <f>'Sources and Uses Budget'!C63</f>
        <v>127045042</v>
      </c>
      <c r="C63" s="589">
        <f>SUM(C8+C11+C13+C14+C15+C25+C26+C36+C40+C41+C53+C62)</f>
        <v>42972602</v>
      </c>
      <c r="D63" s="589">
        <f>SUM(D8+D11+D13+D14+D15+D25+D26+D36+D40+D41+D53+D62)</f>
        <v>84072440</v>
      </c>
      <c r="E63" s="589">
        <f>'Sources and Uses Budget'!S63</f>
        <v>35966078</v>
      </c>
      <c r="F63" s="589">
        <f>SUM(F10+F13+F14+F15+F25+F26+F36+F40+F41+F53)</f>
        <v>35966078</v>
      </c>
      <c r="G63" s="589">
        <f>SUM(G10+G13+G14+G15+G25+G26+G36+G40+G41+G53)</f>
        <v>0</v>
      </c>
      <c r="H63" s="589">
        <f>'Sources and Uses Budget'!T63</f>
        <v>83697440</v>
      </c>
      <c r="I63" s="589">
        <f>SUM(I11+I13+I14+I15+I25+I26+I36+I40+I41+I53)</f>
        <v>83697440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200000</v>
      </c>
      <c r="C65" s="590">
        <v>200000</v>
      </c>
      <c r="D65" s="590"/>
      <c r="E65" s="589">
        <f>'Sources and Uses Budget'!S65</f>
        <v>100000</v>
      </c>
      <c r="F65" s="590">
        <v>100000</v>
      </c>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200000</v>
      </c>
      <c r="C67" s="589">
        <f>SUM(C64:C66)</f>
        <v>200000</v>
      </c>
      <c r="D67" s="589">
        <f>SUM(D64:D66)</f>
        <v>0</v>
      </c>
      <c r="E67" s="589">
        <f>'Sources and Uses Budget'!S67</f>
        <v>100000</v>
      </c>
      <c r="F67" s="596">
        <f>SUM(F65:F66)</f>
        <v>100000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1252117</v>
      </c>
      <c r="C72" s="590">
        <v>1252117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1252117</v>
      </c>
      <c r="C74" s="589">
        <f>SUM(C69:C73)</f>
        <v>1252117</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3210887</v>
      </c>
      <c r="C76" s="590">
        <f>+B76</f>
        <v>3210887</v>
      </c>
      <c r="D76" s="590"/>
      <c r="E76" s="589">
        <f>'Sources and Uses Budget'!S76</f>
        <v>3210887</v>
      </c>
      <c r="F76" s="590">
        <f>+C76</f>
        <v>3210887</v>
      </c>
      <c r="G76" s="590"/>
      <c r="H76" s="589">
        <f>'Sources and Uses Budget'!T76</f>
        <v>0</v>
      </c>
      <c r="I76" s="590"/>
      <c r="J76" s="590"/>
      <c r="K76" s="587"/>
    </row>
    <row r="77" spans="1:11" s="588" customFormat="1">
      <c r="A77" s="592" t="s">
        <v>63</v>
      </c>
      <c r="B77" s="589">
        <f>'Sources and Uses Budget'!C77</f>
        <v>1845060</v>
      </c>
      <c r="C77" s="590">
        <f>2043060-198000</f>
        <v>1845060</v>
      </c>
      <c r="D77" s="590"/>
      <c r="E77" s="589">
        <f>'Sources and Uses Budget'!S77</f>
        <v>1648497</v>
      </c>
      <c r="F77" s="590">
        <v>1648497</v>
      </c>
      <c r="G77" s="590"/>
      <c r="H77" s="589">
        <f>'Sources and Uses Budget'!T77</f>
        <v>0</v>
      </c>
      <c r="I77" s="590"/>
      <c r="J77" s="590"/>
      <c r="K77" s="587"/>
    </row>
    <row r="78" spans="1:11" s="588" customFormat="1">
      <c r="A78" s="593" t="s">
        <v>1468</v>
      </c>
      <c r="B78" s="589">
        <f>'Sources and Uses Budget'!C78</f>
        <v>5055947</v>
      </c>
      <c r="C78" s="589">
        <f>SUM(C76:C77)</f>
        <v>5055947</v>
      </c>
      <c r="D78" s="589">
        <f>SUM(D76:D77)</f>
        <v>0</v>
      </c>
      <c r="E78" s="589">
        <f>'Sources and Uses Budget'!S78</f>
        <v>4859384</v>
      </c>
      <c r="F78" s="589">
        <f>SUM(F76:F77)</f>
        <v>4859384</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185000</v>
      </c>
      <c r="C80" s="590">
        <v>185000</v>
      </c>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10000</v>
      </c>
      <c r="C87" s="590">
        <v>10000</v>
      </c>
      <c r="D87" s="590"/>
      <c r="E87" s="589">
        <f>'Sources and Uses Budget'!S87</f>
        <v>1000</v>
      </c>
      <c r="F87" s="590">
        <v>1000</v>
      </c>
      <c r="G87" s="590"/>
      <c r="H87" s="589">
        <f>'Sources and Uses Budget'!T87</f>
        <v>0</v>
      </c>
      <c r="I87" s="590"/>
      <c r="J87" s="590"/>
      <c r="K87" s="587"/>
    </row>
    <row r="88" spans="1:11" s="588" customFormat="1">
      <c r="A88" s="234" t="s">
        <v>404</v>
      </c>
      <c r="B88" s="589">
        <f>'Sources and Uses Budget'!C88</f>
        <v>15000</v>
      </c>
      <c r="C88" s="590">
        <v>15000</v>
      </c>
      <c r="D88" s="590"/>
      <c r="E88" s="589">
        <f>'Sources and Uses Budget'!S88</f>
        <v>1500</v>
      </c>
      <c r="F88" s="590">
        <v>1500</v>
      </c>
      <c r="G88" s="590"/>
      <c r="H88" s="589">
        <f>'Sources and Uses Budget'!T88</f>
        <v>0</v>
      </c>
      <c r="I88" s="590"/>
      <c r="J88" s="590"/>
      <c r="K88" s="587"/>
    </row>
    <row r="89" spans="1:11" s="588" customFormat="1">
      <c r="A89" s="889" t="s">
        <v>1470</v>
      </c>
      <c r="B89" s="589">
        <f>'Sources and Uses Budget'!C89</f>
        <v>10000</v>
      </c>
      <c r="C89" s="590">
        <v>10000</v>
      </c>
      <c r="D89" s="590"/>
      <c r="E89" s="589">
        <f>'Sources and Uses Budget'!S89</f>
        <v>0</v>
      </c>
      <c r="F89" s="590"/>
      <c r="G89" s="590"/>
      <c r="H89" s="589">
        <f>'Sources and Uses Budget'!T89</f>
        <v>0</v>
      </c>
      <c r="I89" s="590"/>
      <c r="J89" s="590"/>
      <c r="K89" s="587"/>
    </row>
    <row r="90" spans="1:11" s="588" customFormat="1">
      <c r="A90" s="595" t="str">
        <f>'Sources and Uses Budget'!$A90</f>
        <v>Soft Cost Contingency</v>
      </c>
      <c r="B90" s="589">
        <f>'Sources and Uses Budget'!C90</f>
        <v>0</v>
      </c>
      <c r="C90" s="590">
        <v>0</v>
      </c>
      <c r="D90" s="590"/>
      <c r="E90" s="589">
        <f>'Sources and Uses Budget'!S90</f>
        <v>0</v>
      </c>
      <c r="F90" s="590">
        <v>0</v>
      </c>
      <c r="G90" s="590"/>
      <c r="H90" s="589">
        <f>'Sources and Uses Budget'!T90</f>
        <v>0</v>
      </c>
      <c r="I90" s="590"/>
      <c r="J90" s="590"/>
      <c r="K90" s="587"/>
    </row>
    <row r="91" spans="1:11" s="588" customFormat="1">
      <c r="A91" s="595" t="str">
        <f>'Sources and Uses Budget'!$A91</f>
        <v>Other 3rd Parties</v>
      </c>
      <c r="B91" s="589">
        <f>'Sources and Uses Budget'!C91</f>
        <v>61560</v>
      </c>
      <c r="C91" s="590">
        <v>61560</v>
      </c>
      <c r="D91" s="590"/>
      <c r="E91" s="589">
        <f>'Sources and Uses Budget'!S91</f>
        <v>30287</v>
      </c>
      <c r="F91" s="590">
        <v>30287</v>
      </c>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281560</v>
      </c>
      <c r="C95" s="589">
        <f>SUM(C80:C94)</f>
        <v>281560</v>
      </c>
      <c r="D95" s="589">
        <f>SUM(D80:D94)</f>
        <v>0</v>
      </c>
      <c r="E95" s="589">
        <f>'Sources and Uses Budget'!S95</f>
        <v>32787</v>
      </c>
      <c r="F95" s="596">
        <f>SUM(F81:F84,F86:F94)</f>
        <v>32787</v>
      </c>
      <c r="G95" s="596">
        <f>SUM(G81:G84,G86:G94)</f>
        <v>0</v>
      </c>
      <c r="H95" s="589">
        <f>'Sources and Uses Budget'!T95</f>
        <v>0</v>
      </c>
      <c r="I95" s="589">
        <f>SUM(I81:I84,I86:I94)</f>
        <v>0</v>
      </c>
      <c r="J95" s="589">
        <f>SUM(J81:J84,J86:J94)</f>
        <v>0</v>
      </c>
      <c r="K95" s="587"/>
    </row>
    <row r="96" spans="1:11" s="588" customFormat="1">
      <c r="A96" s="593" t="s">
        <v>1180</v>
      </c>
      <c r="B96" s="589">
        <f>'Sources and Uses Budget'!C96</f>
        <v>133834666</v>
      </c>
      <c r="C96" s="589">
        <f>SUM(C63+C67+C74+C78+C95)</f>
        <v>49762226</v>
      </c>
      <c r="D96" s="589">
        <f>SUM(D63+D67+D74+D78+D95)</f>
        <v>84072440</v>
      </c>
      <c r="E96" s="589">
        <f>'Sources and Uses Budget'!S96</f>
        <v>40958249</v>
      </c>
      <c r="F96" s="596">
        <f>SUM(+F63+F67+F78+F95)</f>
        <v>40958249</v>
      </c>
      <c r="G96" s="596">
        <f>SUM(+G63+G67+G78+G95)</f>
        <v>0</v>
      </c>
      <c r="H96" s="589">
        <f>'Sources and Uses Budget'!T96</f>
        <v>83697440</v>
      </c>
      <c r="I96" s="596">
        <f>SUM(I63+I67+I78+I95)</f>
        <v>83697440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18705853</v>
      </c>
      <c r="C98" s="590">
        <v>18705853</v>
      </c>
      <c r="D98" s="590"/>
      <c r="E98" s="589">
        <f>'Sources and Uses Budget'!S98</f>
        <v>6151237</v>
      </c>
      <c r="F98" s="590">
        <v>6151237</v>
      </c>
      <c r="G98" s="590"/>
      <c r="H98" s="589">
        <f>'Sources and Uses Budget'!T98</f>
        <v>12554616</v>
      </c>
      <c r="I98" s="590">
        <v>12554616</v>
      </c>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18705853</v>
      </c>
      <c r="C104" s="589">
        <f>SUM(C98:C103)</f>
        <v>18705853</v>
      </c>
      <c r="D104" s="589">
        <f>SUM(D98:D103)</f>
        <v>0</v>
      </c>
      <c r="E104" s="589">
        <f>'Sources and Uses Budget'!S104</f>
        <v>6151237</v>
      </c>
      <c r="F104" s="596">
        <f>SUM(F98:F103)</f>
        <v>6151237</v>
      </c>
      <c r="G104" s="596">
        <f>SUM(G98:G103)</f>
        <v>0</v>
      </c>
      <c r="H104" s="589">
        <f>'Sources and Uses Budget'!T104</f>
        <v>12554616</v>
      </c>
      <c r="I104" s="596">
        <f>SUM(I98:I103)</f>
        <v>12554616</v>
      </c>
      <c r="J104" s="596">
        <f>SUM(J98:J103)</f>
        <v>0</v>
      </c>
      <c r="K104" s="587"/>
    </row>
    <row r="105" spans="1:11" s="588" customFormat="1">
      <c r="A105" s="593" t="s">
        <v>1181</v>
      </c>
      <c r="B105" s="589">
        <f>'Sources and Uses Budget'!C105</f>
        <v>152540519</v>
      </c>
      <c r="C105" s="596">
        <f>SUM(C96+C104)</f>
        <v>68468079</v>
      </c>
      <c r="D105" s="596">
        <f>SUM(D96+D104)</f>
        <v>84072440</v>
      </c>
      <c r="E105" s="589">
        <f>'Sources and Uses Budget'!S105</f>
        <v>47109486</v>
      </c>
      <c r="F105" s="596">
        <f>F96+F104</f>
        <v>47109486</v>
      </c>
      <c r="G105" s="596">
        <f>G96+G104</f>
        <v>0</v>
      </c>
      <c r="H105" s="589">
        <f>'Sources and Uses Budget'!T105</f>
        <v>96252056</v>
      </c>
      <c r="I105" s="596">
        <f>I96+I104</f>
        <v>96252056</v>
      </c>
      <c r="J105" s="596">
        <f>J96+J104</f>
        <v>0</v>
      </c>
      <c r="K105" s="587"/>
    </row>
    <row r="106" spans="1:11" s="588" customFormat="1">
      <c r="A106" s="601"/>
      <c r="B106" s="602"/>
      <c r="C106" s="602"/>
      <c r="D106" s="602"/>
      <c r="E106" s="589">
        <f>'Sources and Uses Budget'!S106</f>
        <v>1209100</v>
      </c>
      <c r="F106" s="590">
        <v>1209100</v>
      </c>
      <c r="G106" s="590"/>
      <c r="H106" s="589">
        <f>'Sources and Uses Budget'!T106</f>
        <v>0</v>
      </c>
      <c r="I106" s="590"/>
      <c r="J106" s="590"/>
      <c r="K106" s="587"/>
    </row>
    <row r="107" spans="1:11" s="588" customFormat="1">
      <c r="A107" s="603"/>
      <c r="B107" s="604"/>
      <c r="C107" s="602"/>
      <c r="D107" s="768" t="s">
        <v>407</v>
      </c>
      <c r="E107" s="589">
        <f>'Sources and Uses Budget'!S107</f>
        <v>48318586</v>
      </c>
      <c r="F107" s="605">
        <f>F105+F106</f>
        <v>48318586</v>
      </c>
      <c r="G107" s="605">
        <f>G105+G106</f>
        <v>0</v>
      </c>
      <c r="H107" s="589">
        <f>'Sources and Uses Budget'!T107</f>
        <v>96252056</v>
      </c>
      <c r="I107" s="605">
        <f>I105+I106</f>
        <v>96252056</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topLeftCell="A9" zoomScaleNormal="100" zoomScaleSheetLayoutView="100" workbookViewId="0">
      <selection activeCell="Y39" sqref="Y39:AC3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4" t="s">
        <v>1600</v>
      </c>
      <c r="B1" s="1674"/>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5"/>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6">
        <f>IF('Sources and Basis Breakdown'!F107=0,'Sources and Basis Breakdown'!E107,'Sources and Basis Breakdown'!F107)</f>
        <v>48318586</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96252056</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0" t="s">
        <v>543</v>
      </c>
      <c r="C12" s="1681"/>
      <c r="D12" s="1681"/>
      <c r="E12" s="1681"/>
      <c r="F12" s="1681"/>
      <c r="G12" s="1681"/>
      <c r="H12" s="1681"/>
      <c r="I12" s="1681"/>
      <c r="J12" s="1681"/>
      <c r="K12" s="1681"/>
      <c r="L12" s="1681"/>
      <c r="M12" s="1681"/>
      <c r="N12" s="1681"/>
      <c r="O12" s="1681"/>
      <c r="P12" s="1681"/>
      <c r="Q12" s="1681"/>
      <c r="R12" s="1681"/>
      <c r="S12" s="1682"/>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3" t="s">
        <v>544</v>
      </c>
      <c r="D13" s="1683"/>
      <c r="E13" s="1683"/>
      <c r="F13" s="1683"/>
      <c r="G13" s="1683"/>
      <c r="H13" s="1683"/>
      <c r="I13" s="1683"/>
      <c r="J13" s="1683"/>
      <c r="K13" s="1683"/>
      <c r="L13" s="1683"/>
      <c r="M13" s="1683"/>
      <c r="N13" s="1683"/>
      <c r="O13" s="1683"/>
      <c r="P13" s="1683"/>
      <c r="Q13" s="1683"/>
      <c r="R13" s="1683"/>
      <c r="S13" s="1684"/>
      <c r="T13" s="1672"/>
      <c r="U13" s="1673"/>
      <c r="V13" s="1673"/>
      <c r="W13" s="1673"/>
      <c r="X13" s="1673"/>
      <c r="Y13" s="1672"/>
      <c r="Z13" s="1673"/>
      <c r="AA13" s="1673"/>
      <c r="AB13" s="1673"/>
      <c r="AC13" s="1673"/>
      <c r="AD13" s="1673"/>
      <c r="AE13" s="1673"/>
      <c r="AF13" s="1673"/>
      <c r="AG13" s="1673"/>
      <c r="AH13" s="1673"/>
      <c r="AI13" s="1673"/>
      <c r="AJ13" s="1673"/>
      <c r="AK13" s="1673"/>
      <c r="AL13" s="1673"/>
      <c r="AM13" s="167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3" t="s">
        <v>545</v>
      </c>
      <c r="D14" s="1683"/>
      <c r="E14" s="1683"/>
      <c r="F14" s="1683"/>
      <c r="G14" s="1683"/>
      <c r="H14" s="1683"/>
      <c r="I14" s="1683"/>
      <c r="J14" s="1683"/>
      <c r="K14" s="1683"/>
      <c r="L14" s="1683"/>
      <c r="M14" s="1683"/>
      <c r="N14" s="1683"/>
      <c r="O14" s="1683"/>
      <c r="P14" s="1683"/>
      <c r="Q14" s="1683"/>
      <c r="R14" s="1683"/>
      <c r="S14" s="1684"/>
      <c r="T14" s="1670"/>
      <c r="U14" s="1671"/>
      <c r="V14" s="1671"/>
      <c r="W14" s="1671"/>
      <c r="X14" s="1671"/>
      <c r="Y14" s="1670"/>
      <c r="Z14" s="1671"/>
      <c r="AA14" s="1671"/>
      <c r="AB14" s="1671"/>
      <c r="AC14" s="1671"/>
      <c r="AD14" s="1671"/>
      <c r="AE14" s="1671"/>
      <c r="AF14" s="1671"/>
      <c r="AG14" s="1671"/>
      <c r="AH14" s="1671"/>
      <c r="AI14" s="1671"/>
      <c r="AJ14" s="1671"/>
      <c r="AK14" s="1671"/>
      <c r="AL14" s="1671"/>
      <c r="AM14" s="167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3" t="s">
        <v>546</v>
      </c>
      <c r="D15" s="1683"/>
      <c r="E15" s="1683"/>
      <c r="F15" s="1683"/>
      <c r="G15" s="1683"/>
      <c r="H15" s="1683"/>
      <c r="I15" s="1683"/>
      <c r="J15" s="1683"/>
      <c r="K15" s="1683"/>
      <c r="L15" s="1683"/>
      <c r="M15" s="1683"/>
      <c r="N15" s="1683"/>
      <c r="O15" s="1683"/>
      <c r="P15" s="1683"/>
      <c r="Q15" s="1683"/>
      <c r="R15" s="1683"/>
      <c r="S15" s="1684"/>
      <c r="T15" s="1670"/>
      <c r="U15" s="1671"/>
      <c r="V15" s="1671"/>
      <c r="W15" s="1671"/>
      <c r="X15" s="1671"/>
      <c r="Y15" s="1670"/>
      <c r="Z15" s="1671"/>
      <c r="AA15" s="1671"/>
      <c r="AB15" s="1671"/>
      <c r="AC15" s="1671"/>
      <c r="AD15" s="1671"/>
      <c r="AE15" s="1671"/>
      <c r="AF15" s="1671"/>
      <c r="AG15" s="1671"/>
      <c r="AH15" s="1671"/>
      <c r="AI15" s="1671"/>
      <c r="AJ15" s="1671"/>
      <c r="AK15" s="1671"/>
      <c r="AL15" s="1671"/>
      <c r="AM15" s="167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3" t="s">
        <v>887</v>
      </c>
      <c r="D16" s="1683"/>
      <c r="E16" s="1683"/>
      <c r="F16" s="1683"/>
      <c r="G16" s="1683"/>
      <c r="H16" s="1683"/>
      <c r="I16" s="1683"/>
      <c r="J16" s="1683"/>
      <c r="K16" s="1683"/>
      <c r="L16" s="1683"/>
      <c r="M16" s="1683"/>
      <c r="N16" s="1683"/>
      <c r="O16" s="1683"/>
      <c r="P16" s="1683"/>
      <c r="Q16" s="1683"/>
      <c r="R16" s="1683"/>
      <c r="S16" s="1684"/>
      <c r="T16" s="1670"/>
      <c r="U16" s="1671"/>
      <c r="V16" s="1671"/>
      <c r="W16" s="1671"/>
      <c r="X16" s="1671"/>
      <c r="Y16" s="1670"/>
      <c r="Z16" s="1671"/>
      <c r="AA16" s="1671"/>
      <c r="AB16" s="1671"/>
      <c r="AC16" s="1671"/>
      <c r="AD16" s="1671"/>
      <c r="AE16" s="1671"/>
      <c r="AF16" s="1671"/>
      <c r="AG16" s="1671"/>
      <c r="AH16" s="1671"/>
      <c r="AI16" s="1671"/>
      <c r="AJ16" s="1671"/>
      <c r="AK16" s="1671"/>
      <c r="AL16" s="1671"/>
      <c r="AM16" s="167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3" t="s">
        <v>547</v>
      </c>
      <c r="D17" s="1683"/>
      <c r="E17" s="1683"/>
      <c r="F17" s="1683"/>
      <c r="G17" s="1683"/>
      <c r="H17" s="1683"/>
      <c r="I17" s="1683"/>
      <c r="J17" s="1683"/>
      <c r="K17" s="1683"/>
      <c r="L17" s="1683"/>
      <c r="M17" s="1683"/>
      <c r="N17" s="1683"/>
      <c r="O17" s="1683"/>
      <c r="P17" s="1683"/>
      <c r="Q17" s="1683"/>
      <c r="R17" s="1683"/>
      <c r="S17" s="1684"/>
      <c r="T17" s="1670"/>
      <c r="U17" s="1671"/>
      <c r="V17" s="1671"/>
      <c r="W17" s="1671"/>
      <c r="X17" s="1671"/>
      <c r="Y17" s="1670"/>
      <c r="Z17" s="1671"/>
      <c r="AA17" s="1671"/>
      <c r="AB17" s="1671"/>
      <c r="AC17" s="1671"/>
      <c r="AD17" s="1671"/>
      <c r="AE17" s="1671"/>
      <c r="AF17" s="1671"/>
      <c r="AG17" s="1671"/>
      <c r="AH17" s="1671"/>
      <c r="AI17" s="1671"/>
      <c r="AJ17" s="1671"/>
      <c r="AK17" s="1671"/>
      <c r="AL17" s="1671"/>
      <c r="AM17" s="167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8" t="s">
        <v>1069</v>
      </c>
      <c r="D18" s="1678"/>
      <c r="E18" s="1678"/>
      <c r="F18" s="1678"/>
      <c r="G18" s="1678"/>
      <c r="H18" s="1678"/>
      <c r="I18" s="1678"/>
      <c r="J18" s="1678"/>
      <c r="K18" s="1678"/>
      <c r="L18" s="1678"/>
      <c r="M18" s="1678"/>
      <c r="N18" s="1678"/>
      <c r="O18" s="1678"/>
      <c r="P18" s="1678"/>
      <c r="Q18" s="1678"/>
      <c r="R18" s="1678"/>
      <c r="S18" s="1679"/>
      <c r="T18" s="1670"/>
      <c r="U18" s="1671"/>
      <c r="V18" s="1671"/>
      <c r="W18" s="1671"/>
      <c r="X18" s="1671"/>
      <c r="Y18" s="1670"/>
      <c r="Z18" s="1671"/>
      <c r="AA18" s="1671"/>
      <c r="AB18" s="1671"/>
      <c r="AC18" s="1671"/>
      <c r="AD18" s="1671"/>
      <c r="AE18" s="1671"/>
      <c r="AF18" s="1671"/>
      <c r="AG18" s="1671"/>
      <c r="AH18" s="1671"/>
      <c r="AI18" s="1671"/>
      <c r="AJ18" s="1671"/>
      <c r="AK18" s="1671"/>
      <c r="AL18" s="1671"/>
      <c r="AM18" s="167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8" t="s">
        <v>1069</v>
      </c>
      <c r="D19" s="1678"/>
      <c r="E19" s="1678"/>
      <c r="F19" s="1678"/>
      <c r="G19" s="1678"/>
      <c r="H19" s="1678"/>
      <c r="I19" s="1678"/>
      <c r="J19" s="1678"/>
      <c r="K19" s="1678"/>
      <c r="L19" s="1678"/>
      <c r="M19" s="1678"/>
      <c r="N19" s="1678"/>
      <c r="O19" s="1678"/>
      <c r="P19" s="1678"/>
      <c r="Q19" s="1678"/>
      <c r="R19" s="1678"/>
      <c r="S19" s="1679"/>
      <c r="T19" s="1670"/>
      <c r="U19" s="1671"/>
      <c r="V19" s="1671"/>
      <c r="W19" s="1671"/>
      <c r="X19" s="1671"/>
      <c r="Y19" s="1670"/>
      <c r="Z19" s="1671"/>
      <c r="AA19" s="1671"/>
      <c r="AB19" s="1671"/>
      <c r="AC19" s="1671"/>
      <c r="AD19" s="1671"/>
      <c r="AE19" s="1671"/>
      <c r="AF19" s="1671"/>
      <c r="AG19" s="1671"/>
      <c r="AH19" s="1671"/>
      <c r="AI19" s="1671"/>
      <c r="AJ19" s="1671"/>
      <c r="AK19" s="1671"/>
      <c r="AL19" s="1671"/>
      <c r="AM19" s="167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548</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1552</v>
      </c>
      <c r="C21" s="1630"/>
      <c r="D21" s="1630"/>
      <c r="E21" s="1630"/>
      <c r="F21" s="1630"/>
      <c r="G21" s="1630"/>
      <c r="H21" s="1630"/>
      <c r="I21" s="1630"/>
      <c r="J21" s="1630"/>
      <c r="K21" s="1630"/>
      <c r="L21" s="1630"/>
      <c r="M21" s="1630"/>
      <c r="N21" s="1630"/>
      <c r="O21" s="1630"/>
      <c r="P21" s="1630"/>
      <c r="Q21" s="1630"/>
      <c r="R21" s="1630"/>
      <c r="S21" s="1631"/>
      <c r="T21" s="1670">
        <v>0</v>
      </c>
      <c r="U21" s="1671"/>
      <c r="V21" s="1671"/>
      <c r="W21" s="1671"/>
      <c r="X21" s="1671"/>
      <c r="Y21" s="1670"/>
      <c r="Z21" s="1671"/>
      <c r="AA21" s="1671"/>
      <c r="AB21" s="1671"/>
      <c r="AC21" s="1671"/>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549</v>
      </c>
      <c r="C22" s="1630"/>
      <c r="D22" s="1630"/>
      <c r="E22" s="1630"/>
      <c r="F22" s="1630"/>
      <c r="G22" s="1630"/>
      <c r="H22" s="1630"/>
      <c r="I22" s="1630"/>
      <c r="J22" s="1630"/>
      <c r="K22" s="1630"/>
      <c r="L22" s="1630"/>
      <c r="M22" s="1630"/>
      <c r="N22" s="1630"/>
      <c r="O22" s="1630"/>
      <c r="P22" s="1630"/>
      <c r="Q22" s="1630"/>
      <c r="R22" s="1630"/>
      <c r="S22" s="1631"/>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7" t="s">
        <v>550</v>
      </c>
      <c r="C23" s="1688"/>
      <c r="D23" s="1688"/>
      <c r="E23" s="1688"/>
      <c r="F23" s="1688"/>
      <c r="G23" s="1688"/>
      <c r="H23" s="1688"/>
      <c r="I23" s="1688"/>
      <c r="J23" s="1688"/>
      <c r="K23" s="1688"/>
      <c r="L23" s="1688"/>
      <c r="M23" s="1688"/>
      <c r="N23" s="1688"/>
      <c r="O23" s="1688"/>
      <c r="P23" s="1688"/>
      <c r="Q23" s="1688"/>
      <c r="R23" s="1688"/>
      <c r="S23" s="1689"/>
      <c r="T23" s="1647">
        <f>T11+T22</f>
        <v>48318586</v>
      </c>
      <c r="U23" s="1650"/>
      <c r="V23" s="1650"/>
      <c r="W23" s="1650"/>
      <c r="X23" s="1650"/>
      <c r="Y23" s="1647">
        <f>Y11+Y22</f>
        <v>0</v>
      </c>
      <c r="Z23" s="1650"/>
      <c r="AA23" s="1650"/>
      <c r="AB23" s="1650"/>
      <c r="AC23" s="1650"/>
      <c r="AD23" s="1647">
        <f>AD11+AD22</f>
        <v>96252056</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1070</v>
      </c>
      <c r="C24" s="1630"/>
      <c r="D24" s="1630"/>
      <c r="E24" s="1630"/>
      <c r="F24" s="1630"/>
      <c r="G24" s="1630"/>
      <c r="H24" s="1630"/>
      <c r="I24" s="1630"/>
      <c r="J24" s="1630"/>
      <c r="K24" s="1630"/>
      <c r="L24" s="1630"/>
      <c r="M24" s="1630"/>
      <c r="N24" s="1630"/>
      <c r="O24" s="1630"/>
      <c r="P24" s="1630"/>
      <c r="Q24" s="1630"/>
      <c r="R24" s="1630"/>
      <c r="S24" s="1631"/>
      <c r="T24" s="1645">
        <f>Application!AD1004</f>
        <v>149345671.19999999</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1" t="s">
        <v>1553</v>
      </c>
      <c r="C25" s="1692"/>
      <c r="D25" s="1692"/>
      <c r="E25" s="1692"/>
      <c r="F25" s="1692"/>
      <c r="G25" s="1692"/>
      <c r="H25" s="1692"/>
      <c r="I25" s="1692"/>
      <c r="J25" s="1692"/>
      <c r="K25" s="1692"/>
      <c r="L25" s="1692"/>
      <c r="M25" s="1692"/>
      <c r="N25" s="1692"/>
      <c r="O25" s="1692"/>
      <c r="P25" s="1692"/>
      <c r="Q25" s="1692"/>
      <c r="R25" s="1692"/>
      <c r="S25" s="1693"/>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551</v>
      </c>
      <c r="C26" s="1630"/>
      <c r="D26" s="1630"/>
      <c r="E26" s="1630"/>
      <c r="F26" s="1630"/>
      <c r="G26" s="1630"/>
      <c r="H26" s="1630"/>
      <c r="I26" s="1630"/>
      <c r="J26" s="1630"/>
      <c r="K26" s="1630"/>
      <c r="L26" s="1630"/>
      <c r="M26" s="1630"/>
      <c r="N26" s="1630"/>
      <c r="O26" s="1630"/>
      <c r="P26" s="1630"/>
      <c r="Q26" s="1630"/>
      <c r="R26" s="1630"/>
      <c r="S26" s="1631"/>
      <c r="T26" s="1664">
        <f>T23*T25</f>
        <v>62814161.800000004</v>
      </c>
      <c r="U26" s="1665"/>
      <c r="V26" s="1665"/>
      <c r="W26" s="1665"/>
      <c r="X26" s="1665"/>
      <c r="Y26" s="1664">
        <f>Y23*Y25</f>
        <v>0</v>
      </c>
      <c r="Z26" s="1665"/>
      <c r="AA26" s="1665"/>
      <c r="AB26" s="1665"/>
      <c r="AC26" s="1665"/>
      <c r="AD26" s="1664">
        <f>AD23*AD25</f>
        <v>96252056</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4" t="s">
        <v>461</v>
      </c>
      <c r="C27" s="1695"/>
      <c r="D27" s="1695"/>
      <c r="E27" s="1695"/>
      <c r="F27" s="1695"/>
      <c r="G27" s="1695"/>
      <c r="H27" s="1695"/>
      <c r="I27" s="1695"/>
      <c r="J27" s="1695"/>
      <c r="K27" s="1695"/>
      <c r="L27" s="1695"/>
      <c r="M27" s="1695"/>
      <c r="N27" s="1695"/>
      <c r="O27" s="1695"/>
      <c r="P27" s="1695"/>
      <c r="Q27" s="1695"/>
      <c r="R27" s="1695"/>
      <c r="S27" s="1696"/>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552</v>
      </c>
      <c r="C28" s="1630"/>
      <c r="D28" s="1630"/>
      <c r="E28" s="1630"/>
      <c r="F28" s="1630"/>
      <c r="G28" s="1630"/>
      <c r="H28" s="1630"/>
      <c r="I28" s="1630"/>
      <c r="J28" s="1630"/>
      <c r="K28" s="1630"/>
      <c r="L28" s="1630"/>
      <c r="M28" s="1630"/>
      <c r="N28" s="1630"/>
      <c r="O28" s="1630"/>
      <c r="P28" s="1630"/>
      <c r="Q28" s="1630"/>
      <c r="R28" s="1630"/>
      <c r="S28" s="1631"/>
      <c r="T28" s="1627">
        <f>IF(ISERROR((T26*T27)),0,(T26*T27))</f>
        <v>62814161.800000004</v>
      </c>
      <c r="U28" s="1628"/>
      <c r="V28" s="1628"/>
      <c r="W28" s="1628"/>
      <c r="X28" s="1628"/>
      <c r="Y28" s="1627">
        <f>IF(ISERROR((Y26*Y27)),0,(Y26*Y27))</f>
        <v>0</v>
      </c>
      <c r="Z28" s="1628"/>
      <c r="AA28" s="1628"/>
      <c r="AB28" s="1628"/>
      <c r="AC28" s="1628"/>
      <c r="AD28" s="1627">
        <f>IF(ISERROR((AD26*AD27)),0,(AD26*AD27))</f>
        <v>96252056</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569</v>
      </c>
      <c r="C29" s="1630"/>
      <c r="D29" s="1630"/>
      <c r="E29" s="1630"/>
      <c r="F29" s="1630"/>
      <c r="G29" s="1630"/>
      <c r="H29" s="1630"/>
      <c r="I29" s="1630"/>
      <c r="J29" s="1630"/>
      <c r="K29" s="1630"/>
      <c r="L29" s="1630"/>
      <c r="M29" s="1630"/>
      <c r="N29" s="1630"/>
      <c r="O29" s="1630"/>
      <c r="P29" s="1630"/>
      <c r="Q29" s="1630"/>
      <c r="R29" s="1630"/>
      <c r="S29" s="1631"/>
      <c r="T29" s="1645">
        <f>T28+Y28+AD28+AI28</f>
        <v>159066217.80000001</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5" t="s">
        <v>1557</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5" t="s">
        <v>1554</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1386</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552</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62814161.800000004</v>
      </c>
      <c r="Z38" s="1650"/>
      <c r="AA38" s="1650"/>
      <c r="AB38" s="1650"/>
      <c r="AC38" s="1650"/>
      <c r="AD38" s="1650">
        <f>IF(T24&gt;=(T23+Y23+AD23+AI23),AD28+AI28,0)</f>
        <v>96252056</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1555</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2">
        <v>3.2399999999999998E-2</v>
      </c>
      <c r="AE39" s="1653"/>
      <c r="AF39" s="1653"/>
      <c r="AG39" s="1653"/>
      <c r="AH39" s="165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692</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2035179</v>
      </c>
      <c r="Z40" s="1650"/>
      <c r="AA40" s="1650"/>
      <c r="AB40" s="1650"/>
      <c r="AC40" s="1650"/>
      <c r="AD40" s="1647">
        <f>ROUND(AD38*AD39,0)</f>
        <v>3118567</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693</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7">
        <f>Y40+AD40</f>
        <v>5153746</v>
      </c>
      <c r="Z41" s="1698"/>
      <c r="AA41" s="1698"/>
      <c r="AB41" s="1698"/>
      <c r="AC41" s="1698"/>
      <c r="AD41" s="1698"/>
      <c r="AE41" s="1698"/>
      <c r="AF41" s="1698"/>
      <c r="AG41" s="1698"/>
      <c r="AH41" s="169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0" t="s">
        <v>1556</v>
      </c>
      <c r="C42" s="1690"/>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0"/>
      <c r="AH42" s="169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1587</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152540519</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107468854</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45071665</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v>0.8911</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1182</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50579806</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5057980.5999999996</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5057980.5999999996</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45071665</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0</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2" t="s">
        <v>1101</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0</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1537</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1">
        <f>ROUND(Y64*Y67,0)</f>
        <v>0</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1540</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0</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0</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1588</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642</v>
      </c>
      <c r="C85" s="344" t="s">
        <v>1586</v>
      </c>
    </row>
    <row r="86" spans="1:98" ht="12.75">
      <c r="D86" s="344" t="s">
        <v>1642</v>
      </c>
      <c r="AB86" s="1686">
        <f>IF(A61="$500M State Credit",AB77/(Application!AG424-Application!AG425),"N/A")</f>
        <v>0</v>
      </c>
      <c r="AC86" s="1686"/>
      <c r="AD86" s="1686"/>
      <c r="AE86" s="1686"/>
      <c r="AF86" s="1686"/>
    </row>
    <row r="87" spans="1:98" ht="13.5" thickBot="1">
      <c r="D87" s="344" t="s">
        <v>1643</v>
      </c>
      <c r="AB87" s="1685" t="e">
        <f>IF(A61="$500M State Credit",(Application!AG424-Application!AG425)/AB77,"N/A")</f>
        <v>#DIV/0!</v>
      </c>
      <c r="AC87" s="1685"/>
      <c r="AD87" s="1685"/>
      <c r="AE87" s="1685"/>
      <c r="AF87" s="168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E25" sqref="E2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5531328</v>
      </c>
      <c r="G4" s="366">
        <f>E4*$C$4</f>
        <v>5669611.1999999993</v>
      </c>
      <c r="I4" s="366">
        <f>G4*$C$4</f>
        <v>5811351.4799999986</v>
      </c>
      <c r="K4" s="366">
        <f>I4*$C$4</f>
        <v>5956635.2669999981</v>
      </c>
      <c r="M4" s="366">
        <f>K4*$C$4</f>
        <v>6105551.1486749975</v>
      </c>
      <c r="O4" s="366">
        <f>M4*$C$4</f>
        <v>6258189.9273918718</v>
      </c>
      <c r="Q4" s="366">
        <f>O4*$C$4</f>
        <v>6414644.6755766682</v>
      </c>
      <c r="S4" s="366">
        <f>Q4*$C$4</f>
        <v>6575010.7924660845</v>
      </c>
      <c r="U4" s="366">
        <f>S4*$C$4</f>
        <v>6739386.0622777361</v>
      </c>
      <c r="W4" s="366">
        <f>U4*$C$4</f>
        <v>6907870.7138346788</v>
      </c>
      <c r="Y4" s="366">
        <f>W4*$C$4</f>
        <v>7080567.481680545</v>
      </c>
      <c r="AA4" s="366">
        <f>Y4*$C$4</f>
        <v>7257581.6687225578</v>
      </c>
      <c r="AC4" s="366">
        <f>AA4*$C$4</f>
        <v>7439021.2104406208</v>
      </c>
      <c r="AE4" s="366">
        <f>AC4*$C$4</f>
        <v>7624996.7407016354</v>
      </c>
      <c r="AG4" s="366">
        <f>AE4*$C$4</f>
        <v>7815621.6592191756</v>
      </c>
    </row>
    <row r="5" spans="1:34" s="350" customFormat="1" ht="14.25">
      <c r="B5" s="350" t="s">
        <v>924</v>
      </c>
      <c r="C5" s="391">
        <f>IF(Application!$D$210="Special Needs",0.1,0.05)</f>
        <v>0.05</v>
      </c>
      <c r="E5" s="368">
        <f>-E4*$C$5</f>
        <v>-276566.40000000002</v>
      </c>
      <c r="F5" s="368"/>
      <c r="G5" s="368">
        <f>-G4*$C$5</f>
        <v>-283480.56</v>
      </c>
      <c r="H5" s="368"/>
      <c r="I5" s="368">
        <f>-I4*$C$5</f>
        <v>-290567.57399999996</v>
      </c>
      <c r="J5" s="368"/>
      <c r="K5" s="368">
        <f>-K4*$C$5</f>
        <v>-297831.76334999991</v>
      </c>
      <c r="L5" s="368"/>
      <c r="M5" s="368">
        <f>-M4*$C$5</f>
        <v>-305277.5574337499</v>
      </c>
      <c r="N5" s="368"/>
      <c r="O5" s="368">
        <f>-O4*$C$5</f>
        <v>-312909.4963695936</v>
      </c>
      <c r="P5" s="368"/>
      <c r="Q5" s="368">
        <f>-Q4*$C$5</f>
        <v>-320732.23377883341</v>
      </c>
      <c r="R5" s="368"/>
      <c r="S5" s="368">
        <f>-S4*$C$5</f>
        <v>-328750.53962330427</v>
      </c>
      <c r="T5" s="368"/>
      <c r="U5" s="368">
        <f>-U4*$C$5</f>
        <v>-336969.30311388685</v>
      </c>
      <c r="V5" s="368"/>
      <c r="W5" s="368">
        <f>-W4*$C$5</f>
        <v>-345393.53569173394</v>
      </c>
      <c r="X5" s="368"/>
      <c r="Y5" s="368">
        <f>-Y4*$C$5</f>
        <v>-354028.37408402725</v>
      </c>
      <c r="Z5" s="368"/>
      <c r="AA5" s="368">
        <f>-AA4*$C$5</f>
        <v>-362879.08343612793</v>
      </c>
      <c r="AB5" s="368"/>
      <c r="AC5" s="368">
        <f>-AC4*$C$5</f>
        <v>-371951.06052203104</v>
      </c>
      <c r="AD5" s="368"/>
      <c r="AE5" s="368">
        <f>-AE4*$C$5</f>
        <v>-381249.83703508181</v>
      </c>
      <c r="AF5" s="368"/>
      <c r="AG5" s="368">
        <f>-AG4*$C$5</f>
        <v>-390781.08296095883</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189592</v>
      </c>
      <c r="F8" s="369"/>
      <c r="G8" s="369">
        <f>E8*$C$8</f>
        <v>194331.8</v>
      </c>
      <c r="H8" s="369"/>
      <c r="I8" s="369">
        <f>G8*$C$8</f>
        <v>199190.09499999997</v>
      </c>
      <c r="J8" s="369"/>
      <c r="K8" s="369">
        <f>I8*$C$8</f>
        <v>204169.84737499995</v>
      </c>
      <c r="L8" s="369"/>
      <c r="M8" s="369">
        <f>K8*$C$8</f>
        <v>209274.09355937495</v>
      </c>
      <c r="N8" s="369"/>
      <c r="O8" s="369">
        <f>M8*$C$8</f>
        <v>214505.94589835929</v>
      </c>
      <c r="P8" s="369"/>
      <c r="Q8" s="369">
        <f>O8*$C$8</f>
        <v>219868.59454581825</v>
      </c>
      <c r="R8" s="369"/>
      <c r="S8" s="369">
        <f>Q8*$C$8</f>
        <v>225365.30940946369</v>
      </c>
      <c r="T8" s="369"/>
      <c r="U8" s="369">
        <f>S8*$C$8</f>
        <v>230999.44214470027</v>
      </c>
      <c r="V8" s="369"/>
      <c r="W8" s="369">
        <f>U8*$C$8</f>
        <v>236774.42819831776</v>
      </c>
      <c r="X8" s="369"/>
      <c r="Y8" s="369">
        <f>W8*$C$8</f>
        <v>242693.78890327568</v>
      </c>
      <c r="Z8" s="369"/>
      <c r="AA8" s="369">
        <f>Y8*$C$8</f>
        <v>248761.13362585756</v>
      </c>
      <c r="AB8" s="369"/>
      <c r="AC8" s="369">
        <f>AA8*$C$8</f>
        <v>254980.16196650398</v>
      </c>
      <c r="AD8" s="369"/>
      <c r="AE8" s="369">
        <f>AC8*$C$8</f>
        <v>261354.66601566656</v>
      </c>
      <c r="AF8" s="369"/>
      <c r="AG8" s="369">
        <f>AE8*$C$8</f>
        <v>267888.53266605822</v>
      </c>
    </row>
    <row r="9" spans="1:34" s="350" customFormat="1" ht="14.25">
      <c r="B9" s="350" t="s">
        <v>924</v>
      </c>
      <c r="C9" s="391">
        <f>IF(Application!$D$210="Special Needs",0.1,0.05)</f>
        <v>0.05</v>
      </c>
      <c r="E9" s="388">
        <f>-E8*$C$9</f>
        <v>-9479.6</v>
      </c>
      <c r="F9" s="368"/>
      <c r="G9" s="388">
        <f>-G8*$C$9</f>
        <v>-9716.59</v>
      </c>
      <c r="H9" s="368"/>
      <c r="I9" s="388">
        <f>-I8*$C$9</f>
        <v>-9959.5047500000001</v>
      </c>
      <c r="J9" s="368"/>
      <c r="K9" s="388">
        <f>-K8*$C$9</f>
        <v>-10208.492368749998</v>
      </c>
      <c r="L9" s="368"/>
      <c r="M9" s="388">
        <f>-M8*$C$9</f>
        <v>-10463.704677968748</v>
      </c>
      <c r="N9" s="368"/>
      <c r="O9" s="388">
        <f>-O8*$C$9</f>
        <v>-10725.297294917966</v>
      </c>
      <c r="P9" s="368"/>
      <c r="Q9" s="388">
        <f>-Q8*$C$9</f>
        <v>-10993.429727290913</v>
      </c>
      <c r="R9" s="368"/>
      <c r="S9" s="388">
        <f>-S8*$C$9</f>
        <v>-11268.265470473185</v>
      </c>
      <c r="T9" s="368"/>
      <c r="U9" s="388">
        <f>-U8*$C$9</f>
        <v>-11549.972107235015</v>
      </c>
      <c r="V9" s="368"/>
      <c r="W9" s="388">
        <f>-W8*$C$9</f>
        <v>-11838.721409915888</v>
      </c>
      <c r="X9" s="368"/>
      <c r="Y9" s="388">
        <f>-Y8*$C$9</f>
        <v>-12134.689445163785</v>
      </c>
      <c r="Z9" s="368"/>
      <c r="AA9" s="388">
        <f>-AA8*$C$9</f>
        <v>-12438.056681292879</v>
      </c>
      <c r="AB9" s="368"/>
      <c r="AC9" s="388">
        <f>-AC8*$C$9</f>
        <v>-12749.008098325199</v>
      </c>
      <c r="AD9" s="368"/>
      <c r="AE9" s="388">
        <f>-AE8*$C$9</f>
        <v>-13067.733300783329</v>
      </c>
      <c r="AF9" s="368"/>
      <c r="AG9" s="388">
        <f>-AG8*$C$9</f>
        <v>-13394.426633302912</v>
      </c>
    </row>
    <row r="10" spans="1:34" s="370" customFormat="1" ht="15">
      <c r="A10" s="370" t="s">
        <v>946</v>
      </c>
      <c r="C10" s="361"/>
      <c r="E10" s="370">
        <f>SUM(E4:E9)</f>
        <v>5434874</v>
      </c>
      <c r="G10" s="370">
        <f>SUM(G4:G9)</f>
        <v>5570745.8499999996</v>
      </c>
      <c r="I10" s="370">
        <f>SUM(I4:I9)</f>
        <v>5710014.496249998</v>
      </c>
      <c r="K10" s="370">
        <f>SUM(K4:K9)</f>
        <v>5852764.8586562481</v>
      </c>
      <c r="M10" s="370">
        <f>SUM(M4:M9)</f>
        <v>5999083.9801226547</v>
      </c>
      <c r="O10" s="370">
        <f>SUM(O4:O9)</f>
        <v>6149061.0796257202</v>
      </c>
      <c r="Q10" s="370">
        <f>SUM(Q4:Q9)</f>
        <v>6302787.606616362</v>
      </c>
      <c r="S10" s="370">
        <f>SUM(S4:S9)</f>
        <v>6460357.2967817709</v>
      </c>
      <c r="U10" s="370">
        <f>SUM(U4:U9)</f>
        <v>6621866.229201314</v>
      </c>
      <c r="W10" s="370">
        <f>SUM(W4:W9)</f>
        <v>6787412.8849313464</v>
      </c>
      <c r="Y10" s="370">
        <f>SUM(Y4:Y9)</f>
        <v>6957098.207054629</v>
      </c>
      <c r="AA10" s="370">
        <f>SUM(AA4:AA9)</f>
        <v>7131025.6622309946</v>
      </c>
      <c r="AC10" s="370">
        <f>SUM(AC4:AC9)</f>
        <v>7309301.3037867686</v>
      </c>
      <c r="AE10" s="370">
        <f>SUM(AE4:AE9)</f>
        <v>7492033.8363814373</v>
      </c>
      <c r="AG10" s="370">
        <f>SUM(AG4:AG9)</f>
        <v>7679334.6822909722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153200</v>
      </c>
      <c r="G14" s="366">
        <f>E14*$C$13</f>
        <v>158562</v>
      </c>
      <c r="I14" s="366">
        <f>G14*$C$13</f>
        <v>164111.66999999998</v>
      </c>
      <c r="K14" s="366">
        <f>I14*$C$13</f>
        <v>169855.57844999997</v>
      </c>
      <c r="M14" s="366">
        <f>K14*$C$13</f>
        <v>175800.52369574996</v>
      </c>
      <c r="O14" s="366">
        <f>M14*$C$13</f>
        <v>181953.5420251012</v>
      </c>
      <c r="Q14" s="366">
        <f>O14*$C$13</f>
        <v>188321.91599597971</v>
      </c>
      <c r="S14" s="366">
        <f>Q14*$C$13</f>
        <v>194913.18305583898</v>
      </c>
      <c r="U14" s="366">
        <f>S14*$C$13</f>
        <v>201735.14446279334</v>
      </c>
      <c r="W14" s="366">
        <f>U14*$C$13</f>
        <v>208795.8745189911</v>
      </c>
      <c r="Y14" s="366">
        <f>W14*$C$13</f>
        <v>216103.73012715578</v>
      </c>
      <c r="AA14" s="366">
        <f>Y14*$C$13</f>
        <v>223667.36068160622</v>
      </c>
      <c r="AC14" s="366">
        <f>AA14*$C$13</f>
        <v>231495.71830546242</v>
      </c>
      <c r="AE14" s="366">
        <f>AC14*$C$13</f>
        <v>239598.06844615357</v>
      </c>
      <c r="AG14" s="366">
        <f>AE14*$C$13</f>
        <v>247984.00084176892</v>
      </c>
    </row>
    <row r="15" spans="1:34" s="350" customFormat="1" ht="14.25">
      <c r="A15" s="350" t="s">
        <v>368</v>
      </c>
      <c r="C15" s="380"/>
      <c r="E15" s="369">
        <f>Application!W829</f>
        <v>171628</v>
      </c>
      <c r="F15" s="369"/>
      <c r="G15" s="369">
        <f t="shared" ref="G15:AG20" si="0">E15*$C$13</f>
        <v>177634.97999999998</v>
      </c>
      <c r="H15" s="369"/>
      <c r="I15" s="369">
        <f t="shared" si="0"/>
        <v>183852.20429999995</v>
      </c>
      <c r="J15" s="369"/>
      <c r="K15" s="369">
        <f t="shared" si="0"/>
        <v>190287.03145049993</v>
      </c>
      <c r="L15" s="369"/>
      <c r="M15" s="369">
        <f t="shared" si="0"/>
        <v>196947.0775512674</v>
      </c>
      <c r="N15" s="369"/>
      <c r="O15" s="369">
        <f t="shared" si="0"/>
        <v>203840.22526556175</v>
      </c>
      <c r="P15" s="369"/>
      <c r="Q15" s="369">
        <f t="shared" si="0"/>
        <v>210974.63314985638</v>
      </c>
      <c r="R15" s="369"/>
      <c r="S15" s="369">
        <f t="shared" si="0"/>
        <v>218358.74531010134</v>
      </c>
      <c r="T15" s="369"/>
      <c r="U15" s="369">
        <f t="shared" si="0"/>
        <v>226001.30139595486</v>
      </c>
      <c r="V15" s="369"/>
      <c r="W15" s="369">
        <f t="shared" si="0"/>
        <v>233911.34694481327</v>
      </c>
      <c r="X15" s="369"/>
      <c r="Y15" s="369">
        <f t="shared" si="0"/>
        <v>242098.2440878817</v>
      </c>
      <c r="Z15" s="369"/>
      <c r="AA15" s="369">
        <f t="shared" si="0"/>
        <v>250571.68263095754</v>
      </c>
      <c r="AB15" s="369"/>
      <c r="AC15" s="369">
        <f t="shared" si="0"/>
        <v>259341.69152304102</v>
      </c>
      <c r="AD15" s="369"/>
      <c r="AE15" s="369">
        <f t="shared" si="0"/>
        <v>268418.65072634746</v>
      </c>
      <c r="AF15" s="369"/>
      <c r="AG15" s="369">
        <f t="shared" si="0"/>
        <v>277813.30350176961</v>
      </c>
    </row>
    <row r="16" spans="1:34" s="350" customFormat="1" ht="14.25">
      <c r="A16" s="350" t="s">
        <v>609</v>
      </c>
      <c r="C16" s="380"/>
      <c r="E16" s="369">
        <f>Application!W835</f>
        <v>205300</v>
      </c>
      <c r="F16" s="369"/>
      <c r="G16" s="369">
        <f t="shared" si="0"/>
        <v>212485.49999999997</v>
      </c>
      <c r="H16" s="369"/>
      <c r="I16" s="369">
        <f t="shared" si="0"/>
        <v>219922.49249999996</v>
      </c>
      <c r="J16" s="369"/>
      <c r="K16" s="369">
        <f t="shared" si="0"/>
        <v>227619.77973749995</v>
      </c>
      <c r="L16" s="369"/>
      <c r="M16" s="369">
        <f t="shared" si="0"/>
        <v>235586.47202831242</v>
      </c>
      <c r="N16" s="369"/>
      <c r="O16" s="369">
        <f t="shared" si="0"/>
        <v>243831.99854930333</v>
      </c>
      <c r="P16" s="369"/>
      <c r="Q16" s="369">
        <f t="shared" si="0"/>
        <v>252366.11849852893</v>
      </c>
      <c r="R16" s="369"/>
      <c r="S16" s="369">
        <f t="shared" si="0"/>
        <v>261198.93264597742</v>
      </c>
      <c r="T16" s="369"/>
      <c r="U16" s="369">
        <f t="shared" si="0"/>
        <v>270340.89528858662</v>
      </c>
      <c r="V16" s="369"/>
      <c r="W16" s="369">
        <f t="shared" si="0"/>
        <v>279802.82662368711</v>
      </c>
      <c r="X16" s="369"/>
      <c r="Y16" s="369">
        <f t="shared" si="0"/>
        <v>289595.92555551615</v>
      </c>
      <c r="Z16" s="369"/>
      <c r="AA16" s="369">
        <f t="shared" si="0"/>
        <v>299731.78294995922</v>
      </c>
      <c r="AB16" s="369"/>
      <c r="AC16" s="369">
        <f t="shared" si="0"/>
        <v>310222.39535320777</v>
      </c>
      <c r="AD16" s="369"/>
      <c r="AE16" s="369">
        <f t="shared" si="0"/>
        <v>321080.17919057002</v>
      </c>
      <c r="AF16" s="369"/>
      <c r="AG16" s="369">
        <f t="shared" si="0"/>
        <v>332317.98546223994</v>
      </c>
    </row>
    <row r="17" spans="1:33" s="350" customFormat="1" ht="14.25">
      <c r="A17" s="350" t="s">
        <v>928</v>
      </c>
      <c r="C17" s="380"/>
      <c r="E17" s="369">
        <f>Application!W840</f>
        <v>421000</v>
      </c>
      <c r="F17" s="369"/>
      <c r="G17" s="369">
        <f t="shared" si="0"/>
        <v>435734.99999999994</v>
      </c>
      <c r="H17" s="369"/>
      <c r="I17" s="369">
        <f t="shared" si="0"/>
        <v>450985.72499999992</v>
      </c>
      <c r="J17" s="369"/>
      <c r="K17" s="369">
        <f t="shared" si="0"/>
        <v>466770.22537499986</v>
      </c>
      <c r="L17" s="369"/>
      <c r="M17" s="369">
        <f t="shared" si="0"/>
        <v>483107.18326312484</v>
      </c>
      <c r="N17" s="369"/>
      <c r="O17" s="369">
        <f t="shared" si="0"/>
        <v>500015.93467733415</v>
      </c>
      <c r="P17" s="369"/>
      <c r="Q17" s="369">
        <f t="shared" si="0"/>
        <v>517516.49239104078</v>
      </c>
      <c r="R17" s="369"/>
      <c r="S17" s="369">
        <f t="shared" si="0"/>
        <v>535629.56962472713</v>
      </c>
      <c r="T17" s="369"/>
      <c r="U17" s="369">
        <f t="shared" si="0"/>
        <v>554376.60456159257</v>
      </c>
      <c r="V17" s="369"/>
      <c r="W17" s="369">
        <f t="shared" si="0"/>
        <v>573779.78572124825</v>
      </c>
      <c r="X17" s="369"/>
      <c r="Y17" s="369">
        <f t="shared" si="0"/>
        <v>593862.07822149189</v>
      </c>
      <c r="Z17" s="369"/>
      <c r="AA17" s="369">
        <f t="shared" si="0"/>
        <v>614647.25095924409</v>
      </c>
      <c r="AB17" s="369"/>
      <c r="AC17" s="369">
        <f t="shared" si="0"/>
        <v>636159.90474281763</v>
      </c>
      <c r="AD17" s="369"/>
      <c r="AE17" s="369">
        <f t="shared" si="0"/>
        <v>658425.5014088162</v>
      </c>
      <c r="AF17" s="369"/>
      <c r="AG17" s="369">
        <f t="shared" si="0"/>
        <v>681470.39395812468</v>
      </c>
    </row>
    <row r="18" spans="1:33" s="350" customFormat="1" ht="14.25">
      <c r="A18" s="350" t="s">
        <v>162</v>
      </c>
      <c r="C18" s="380"/>
      <c r="E18" s="369">
        <f>Application!W841</f>
        <v>65000</v>
      </c>
      <c r="F18" s="369"/>
      <c r="G18" s="369">
        <f t="shared" si="0"/>
        <v>67275</v>
      </c>
      <c r="H18" s="369"/>
      <c r="I18" s="369">
        <f t="shared" si="0"/>
        <v>69629.625</v>
      </c>
      <c r="J18" s="369"/>
      <c r="K18" s="369">
        <f t="shared" si="0"/>
        <v>72066.661874999991</v>
      </c>
      <c r="L18" s="369"/>
      <c r="M18" s="369">
        <f t="shared" si="0"/>
        <v>74588.995040624985</v>
      </c>
      <c r="N18" s="369"/>
      <c r="O18" s="369">
        <f t="shared" si="0"/>
        <v>77199.609867046849</v>
      </c>
      <c r="P18" s="369"/>
      <c r="Q18" s="369">
        <f t="shared" si="0"/>
        <v>79901.596212393488</v>
      </c>
      <c r="R18" s="369"/>
      <c r="S18" s="369">
        <f t="shared" si="0"/>
        <v>82698.152079827254</v>
      </c>
      <c r="T18" s="369"/>
      <c r="U18" s="369">
        <f t="shared" si="0"/>
        <v>85592.587402621197</v>
      </c>
      <c r="V18" s="369"/>
      <c r="W18" s="369">
        <f t="shared" si="0"/>
        <v>88588.32796171293</v>
      </c>
      <c r="X18" s="369"/>
      <c r="Y18" s="369">
        <f t="shared" si="0"/>
        <v>91688.919440372876</v>
      </c>
      <c r="Z18" s="369"/>
      <c r="AA18" s="369">
        <f t="shared" si="0"/>
        <v>94898.031620785914</v>
      </c>
      <c r="AB18" s="369"/>
      <c r="AC18" s="369">
        <f t="shared" si="0"/>
        <v>98219.462727513412</v>
      </c>
      <c r="AD18" s="369"/>
      <c r="AE18" s="369">
        <f t="shared" si="0"/>
        <v>101657.14392297638</v>
      </c>
      <c r="AF18" s="369"/>
      <c r="AG18" s="369">
        <f t="shared" si="0"/>
        <v>105215.14396028055</v>
      </c>
    </row>
    <row r="19" spans="1:33" s="350" customFormat="1" ht="14.25">
      <c r="A19" s="350" t="s">
        <v>423</v>
      </c>
      <c r="C19" s="380"/>
      <c r="E19" s="369">
        <f>Application!W850</f>
        <v>528000</v>
      </c>
      <c r="F19" s="369"/>
      <c r="G19" s="369">
        <f t="shared" si="0"/>
        <v>546480</v>
      </c>
      <c r="H19" s="369"/>
      <c r="I19" s="369">
        <f t="shared" si="0"/>
        <v>565606.79999999993</v>
      </c>
      <c r="J19" s="369"/>
      <c r="K19" s="369">
        <f t="shared" si="0"/>
        <v>585403.03799999983</v>
      </c>
      <c r="L19" s="369"/>
      <c r="M19" s="369">
        <f t="shared" si="0"/>
        <v>605892.14432999981</v>
      </c>
      <c r="N19" s="369"/>
      <c r="O19" s="369">
        <f t="shared" si="0"/>
        <v>627098.36938154977</v>
      </c>
      <c r="P19" s="369"/>
      <c r="Q19" s="369">
        <f t="shared" si="0"/>
        <v>649046.81230990391</v>
      </c>
      <c r="R19" s="369"/>
      <c r="S19" s="369">
        <f t="shared" si="0"/>
        <v>671763.45074075053</v>
      </c>
      <c r="T19" s="369"/>
      <c r="U19" s="369">
        <f t="shared" si="0"/>
        <v>695275.17151667678</v>
      </c>
      <c r="V19" s="369"/>
      <c r="W19" s="369">
        <f t="shared" si="0"/>
        <v>719609.80251976044</v>
      </c>
      <c r="X19" s="369"/>
      <c r="Y19" s="369">
        <f t="shared" si="0"/>
        <v>744796.14560795203</v>
      </c>
      <c r="Z19" s="369"/>
      <c r="AA19" s="369">
        <f t="shared" si="0"/>
        <v>770864.01070423028</v>
      </c>
      <c r="AB19" s="369"/>
      <c r="AC19" s="369">
        <f t="shared" si="0"/>
        <v>797844.2510788783</v>
      </c>
      <c r="AD19" s="369"/>
      <c r="AE19" s="369">
        <f t="shared" si="0"/>
        <v>825768.79986663896</v>
      </c>
      <c r="AF19" s="369"/>
      <c r="AG19" s="369">
        <f t="shared" si="0"/>
        <v>854670.70786197123</v>
      </c>
    </row>
    <row r="20" spans="1:33" s="350" customFormat="1" ht="14.25">
      <c r="A20" s="373" t="s">
        <v>1071</v>
      </c>
      <c r="B20" s="373"/>
      <c r="C20" s="380"/>
      <c r="E20" s="379">
        <f>Application!W857</f>
        <v>170000</v>
      </c>
      <c r="F20" s="369"/>
      <c r="G20" s="379">
        <f t="shared" si="0"/>
        <v>175950</v>
      </c>
      <c r="H20" s="369"/>
      <c r="I20" s="379">
        <f t="shared" si="0"/>
        <v>182108.25</v>
      </c>
      <c r="J20" s="369"/>
      <c r="K20" s="379">
        <f t="shared" si="0"/>
        <v>188482.03874999998</v>
      </c>
      <c r="L20" s="369"/>
      <c r="M20" s="379">
        <f t="shared" si="0"/>
        <v>195078.91010624997</v>
      </c>
      <c r="N20" s="369"/>
      <c r="O20" s="379">
        <f t="shared" si="0"/>
        <v>201906.67195996869</v>
      </c>
      <c r="P20" s="369"/>
      <c r="Q20" s="379">
        <f t="shared" si="0"/>
        <v>208973.40547856758</v>
      </c>
      <c r="R20" s="369"/>
      <c r="S20" s="379">
        <f t="shared" si="0"/>
        <v>216287.47467031743</v>
      </c>
      <c r="T20" s="369"/>
      <c r="U20" s="379">
        <f t="shared" si="0"/>
        <v>223857.53628377852</v>
      </c>
      <c r="V20" s="369"/>
      <c r="W20" s="379">
        <f t="shared" si="0"/>
        <v>231692.55005371076</v>
      </c>
      <c r="X20" s="369"/>
      <c r="Y20" s="379">
        <f t="shared" si="0"/>
        <v>239801.78930559062</v>
      </c>
      <c r="Z20" s="369"/>
      <c r="AA20" s="379">
        <f t="shared" si="0"/>
        <v>248194.85193128628</v>
      </c>
      <c r="AB20" s="369"/>
      <c r="AC20" s="379">
        <f t="shared" si="0"/>
        <v>256881.67174888129</v>
      </c>
      <c r="AD20" s="369"/>
      <c r="AE20" s="379">
        <f t="shared" si="0"/>
        <v>265872.53026009211</v>
      </c>
      <c r="AF20" s="369"/>
      <c r="AG20" s="379">
        <f t="shared" si="0"/>
        <v>275178.06881919532</v>
      </c>
    </row>
    <row r="21" spans="1:33" s="370" customFormat="1" ht="15">
      <c r="A21" s="370" t="s">
        <v>929</v>
      </c>
      <c r="C21" s="380"/>
      <c r="E21" s="370">
        <f>SUM(E14:E20)</f>
        <v>1714128</v>
      </c>
      <c r="G21" s="370">
        <f>SUM(G14:G20)</f>
        <v>1774122.48</v>
      </c>
      <c r="I21" s="370">
        <f>SUM(I14:I20)</f>
        <v>1836216.7667999999</v>
      </c>
      <c r="K21" s="370">
        <f>SUM(K14:K20)</f>
        <v>1900484.3536379996</v>
      </c>
      <c r="M21" s="370">
        <f>SUM(M14:M20)</f>
        <v>1967001.3060153294</v>
      </c>
      <c r="O21" s="370">
        <f>SUM(O14:O20)</f>
        <v>2035846.3517258659</v>
      </c>
      <c r="Q21" s="370">
        <f>SUM(Q14:Q20)</f>
        <v>2107100.9740362708</v>
      </c>
      <c r="S21" s="370">
        <f>SUM(S14:S20)</f>
        <v>2180849.5081275399</v>
      </c>
      <c r="U21" s="370">
        <f>SUM(U14:U20)</f>
        <v>2257179.2409120039</v>
      </c>
      <c r="W21" s="370">
        <f>SUM(W14:W20)</f>
        <v>2336180.5143439234</v>
      </c>
      <c r="Y21" s="370">
        <f>SUM(Y14:Y20)</f>
        <v>2417946.8323459611</v>
      </c>
      <c r="AA21" s="370">
        <f>SUM(AA14:AA20)</f>
        <v>2502574.9714780692</v>
      </c>
      <c r="AC21" s="370">
        <f>SUM(AC14:AC20)</f>
        <v>2590165.0954798018</v>
      </c>
      <c r="AE21" s="370">
        <f>SUM(AE14:AE20)</f>
        <v>2680820.8738215948</v>
      </c>
      <c r="AG21" s="370">
        <f>SUM(AG14:AG20)</f>
        <v>2774649.6044053505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97200</v>
      </c>
      <c r="F25" s="369"/>
      <c r="G25" s="369">
        <f>$E$25</f>
        <v>97200</v>
      </c>
      <c r="H25" s="369"/>
      <c r="I25" s="369">
        <f>$E$25</f>
        <v>97200</v>
      </c>
      <c r="J25" s="369"/>
      <c r="K25" s="369">
        <f>$E$25</f>
        <v>97200</v>
      </c>
      <c r="L25" s="369"/>
      <c r="M25" s="369">
        <f>$E$25</f>
        <v>97200</v>
      </c>
      <c r="N25" s="369"/>
      <c r="O25" s="369">
        <f>$E$25</f>
        <v>97200</v>
      </c>
      <c r="P25" s="369"/>
      <c r="Q25" s="369">
        <f>$E$25</f>
        <v>97200</v>
      </c>
      <c r="R25" s="369"/>
      <c r="S25" s="369">
        <f>$E$25</f>
        <v>97200</v>
      </c>
      <c r="T25" s="369"/>
      <c r="U25" s="369">
        <f>$E$25</f>
        <v>97200</v>
      </c>
      <c r="V25" s="369"/>
      <c r="W25" s="369">
        <f>$E$25</f>
        <v>97200</v>
      </c>
      <c r="X25" s="369"/>
      <c r="Y25" s="369">
        <f>$E$25</f>
        <v>97200</v>
      </c>
      <c r="Z25" s="369"/>
      <c r="AA25" s="369">
        <f>$E$25</f>
        <v>97200</v>
      </c>
      <c r="AB25" s="369"/>
      <c r="AC25" s="369">
        <f>$E$25</f>
        <v>97200</v>
      </c>
      <c r="AD25" s="369"/>
      <c r="AE25" s="369">
        <f>$E$25</f>
        <v>97200</v>
      </c>
      <c r="AF25" s="369"/>
      <c r="AG25" s="369">
        <f>$E$25</f>
        <v>97200</v>
      </c>
    </row>
    <row r="26" spans="1:33" s="350" customFormat="1" ht="14.25">
      <c r="A26" s="350" t="s">
        <v>930</v>
      </c>
      <c r="C26" s="390">
        <v>1.02</v>
      </c>
      <c r="E26" s="369">
        <f>Application!AC868</f>
        <v>32828</v>
      </c>
      <c r="F26" s="369"/>
      <c r="G26" s="369">
        <f>E26*$C$26</f>
        <v>33484.559999999998</v>
      </c>
      <c r="H26" s="369"/>
      <c r="I26" s="369">
        <f>G26*$C$26</f>
        <v>34154.251199999999</v>
      </c>
      <c r="J26" s="369"/>
      <c r="K26" s="369">
        <f>I26*$C$26</f>
        <v>34837.336223999999</v>
      </c>
      <c r="L26" s="369"/>
      <c r="M26" s="369">
        <f>K26*$C$26</f>
        <v>35534.082948479998</v>
      </c>
      <c r="N26" s="369"/>
      <c r="O26" s="369">
        <f>M26*$C$26</f>
        <v>36244.764607449601</v>
      </c>
      <c r="P26" s="369"/>
      <c r="Q26" s="369">
        <f>O26*$C$26</f>
        <v>36969.659899598591</v>
      </c>
      <c r="R26" s="369"/>
      <c r="S26" s="369">
        <f>Q26*$C$26</f>
        <v>37709.053097590564</v>
      </c>
      <c r="T26" s="369"/>
      <c r="U26" s="369">
        <f>S26*$C$26</f>
        <v>38463.234159542379</v>
      </c>
      <c r="V26" s="369"/>
      <c r="W26" s="369">
        <f>U26*$C$26</f>
        <v>39232.498842733228</v>
      </c>
      <c r="X26" s="369"/>
      <c r="Y26" s="369">
        <f>W26*$C$26</f>
        <v>40017.148819587892</v>
      </c>
      <c r="Z26" s="369"/>
      <c r="AA26" s="369">
        <f>Y26*$C$26</f>
        <v>40817.491795979651</v>
      </c>
      <c r="AB26" s="369"/>
      <c r="AC26" s="369">
        <f>AA26*$C$26</f>
        <v>41633.841631899246</v>
      </c>
      <c r="AD26" s="369"/>
      <c r="AE26" s="369">
        <f>AC26*$C$26</f>
        <v>42466.518464537228</v>
      </c>
      <c r="AF26" s="369"/>
      <c r="AG26" s="369">
        <f>AE26*$C$26</f>
        <v>43315.848833827971</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1844156</v>
      </c>
      <c r="G30" s="370">
        <f>SUM(G21:G28)</f>
        <v>1904807.04</v>
      </c>
      <c r="I30" s="370">
        <f>SUM(I21:I28)</f>
        <v>1967571.0179999999</v>
      </c>
      <c r="K30" s="370">
        <f>SUM(K21:K28)</f>
        <v>2032521.6898619996</v>
      </c>
      <c r="M30" s="370">
        <f>SUM(M21:M28)</f>
        <v>2099735.3889638092</v>
      </c>
      <c r="O30" s="370">
        <f>SUM(O21:O28)</f>
        <v>2169291.1163333156</v>
      </c>
      <c r="Q30" s="370">
        <f>SUM(Q21:Q28)</f>
        <v>2241270.6339358692</v>
      </c>
      <c r="S30" s="370">
        <f>SUM(S21:S28)</f>
        <v>2315758.5612251302</v>
      </c>
      <c r="U30" s="370">
        <f>SUM(U21:U28)</f>
        <v>2392842.4750715462</v>
      </c>
      <c r="W30" s="370">
        <f>SUM(W21:W28)</f>
        <v>2472613.0131866569</v>
      </c>
      <c r="Y30" s="370">
        <f>SUM(Y21:Y28)</f>
        <v>2555163.9811655488</v>
      </c>
      <c r="AA30" s="370">
        <f>SUM(AA21:AA28)</f>
        <v>2640592.4632740486</v>
      </c>
      <c r="AC30" s="370">
        <f>SUM(AC21:AC28)</f>
        <v>2728998.9371117009</v>
      </c>
      <c r="AE30" s="370">
        <f>SUM(AE21:AE28)</f>
        <v>2820487.3922861321</v>
      </c>
      <c r="AG30" s="370">
        <f>SUM(AG21:AG28)</f>
        <v>2915165.4532391783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3590718</v>
      </c>
      <c r="G32" s="370">
        <f>G10-G30</f>
        <v>3665938.8099999996</v>
      </c>
      <c r="I32" s="370">
        <f>I10-I30</f>
        <v>3742443.4782499978</v>
      </c>
      <c r="K32" s="370">
        <f>K10-K30</f>
        <v>3820243.1687942483</v>
      </c>
      <c r="M32" s="370">
        <f>M10-M30</f>
        <v>3899348.5911588455</v>
      </c>
      <c r="O32" s="370">
        <f>O10-O30</f>
        <v>3979769.9632924045</v>
      </c>
      <c r="Q32" s="370">
        <f>Q10-Q30</f>
        <v>4061516.9726804928</v>
      </c>
      <c r="S32" s="370">
        <f>S10-S30</f>
        <v>4144598.7355566407</v>
      </c>
      <c r="U32" s="370">
        <f>U10-U30</f>
        <v>4229023.7541297674</v>
      </c>
      <c r="W32" s="370">
        <f>W10-W30</f>
        <v>4314799.8717446895</v>
      </c>
      <c r="Y32" s="370">
        <f>Y10-Y30</f>
        <v>4401934.2258890802</v>
      </c>
      <c r="AA32" s="370">
        <f>AA10-AA30</f>
        <v>4490433.1989569459</v>
      </c>
      <c r="AC32" s="370">
        <f>AC10-AC30</f>
        <v>4580302.3666750677</v>
      </c>
      <c r="AE32" s="370">
        <f>AE10-AE30</f>
        <v>4671546.4440953052</v>
      </c>
      <c r="AG32" s="370">
        <f>AG10-AG30</f>
        <v>4764169.2290517939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(Tax Exempt Bonds)</v>
      </c>
      <c r="B35" s="373"/>
      <c r="C35" s="367"/>
      <c r="E35" s="369">
        <f>Application!AB618</f>
        <v>3254084</v>
      </c>
      <c r="F35" s="369"/>
      <c r="G35" s="369">
        <f>$E$35</f>
        <v>3254084</v>
      </c>
      <c r="H35" s="369"/>
      <c r="I35" s="369">
        <f>$E$35</f>
        <v>3254084</v>
      </c>
      <c r="J35" s="369"/>
      <c r="K35" s="369">
        <f>$E$35</f>
        <v>3254084</v>
      </c>
      <c r="L35" s="369"/>
      <c r="M35" s="369">
        <f>$E$35</f>
        <v>3254084</v>
      </c>
      <c r="N35" s="369"/>
      <c r="O35" s="369">
        <f>$E$35</f>
        <v>3254084</v>
      </c>
      <c r="P35" s="369"/>
      <c r="Q35" s="369">
        <f>$E$35</f>
        <v>3254084</v>
      </c>
      <c r="R35" s="369"/>
      <c r="S35" s="369">
        <f>$E$35</f>
        <v>3254084</v>
      </c>
      <c r="T35" s="369"/>
      <c r="U35" s="369">
        <f>$E$35</f>
        <v>3254084</v>
      </c>
      <c r="V35" s="369"/>
      <c r="W35" s="369">
        <f>$E$35</f>
        <v>3254084</v>
      </c>
      <c r="X35" s="369"/>
      <c r="Y35" s="369">
        <f>$E$35</f>
        <v>3254084</v>
      </c>
      <c r="Z35" s="369"/>
      <c r="AA35" s="369">
        <f>$E$35</f>
        <v>3254084</v>
      </c>
      <c r="AB35" s="369"/>
      <c r="AC35" s="369">
        <f>$E$35</f>
        <v>3254084</v>
      </c>
      <c r="AD35" s="369"/>
      <c r="AE35" s="369">
        <f>$E$35</f>
        <v>3254084</v>
      </c>
      <c r="AF35" s="369"/>
      <c r="AG35" s="369">
        <f>$E$35</f>
        <v>3254084</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3254084</v>
      </c>
      <c r="G38" s="370">
        <f>SUM(G35:G37)</f>
        <v>3254084</v>
      </c>
      <c r="I38" s="370">
        <f>SUM(I35:I37)</f>
        <v>3254084</v>
      </c>
      <c r="K38" s="370">
        <f>SUM(K35:K37)</f>
        <v>3254084</v>
      </c>
      <c r="M38" s="370">
        <f>SUM(M35:M37)</f>
        <v>3254084</v>
      </c>
      <c r="O38" s="370">
        <f>SUM(O35:O37)</f>
        <v>3254084</v>
      </c>
      <c r="Q38" s="370">
        <f>SUM(Q35:Q37)</f>
        <v>3254084</v>
      </c>
      <c r="S38" s="370">
        <f>SUM(S35:S37)</f>
        <v>3254084</v>
      </c>
      <c r="U38" s="370">
        <f>SUM(U35:U37)</f>
        <v>3254084</v>
      </c>
      <c r="W38" s="370">
        <f>SUM(W35:W37)</f>
        <v>3254084</v>
      </c>
      <c r="Y38" s="370">
        <f>SUM(Y35:Y37)</f>
        <v>3254084</v>
      </c>
      <c r="AA38" s="370">
        <f>SUM(AA35:AA37)</f>
        <v>3254084</v>
      </c>
      <c r="AC38" s="370">
        <f>SUM(AC35:AC37)</f>
        <v>3254084</v>
      </c>
      <c r="AE38" s="370">
        <f>SUM(AE35:AE37)</f>
        <v>3254084</v>
      </c>
      <c r="AG38" s="370">
        <f>SUM(AG35:AG37)</f>
        <v>3254084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336634</v>
      </c>
      <c r="G40" s="370">
        <f>G32-G38</f>
        <v>411854.80999999959</v>
      </c>
      <c r="I40" s="370">
        <f>I32-I38</f>
        <v>488359.47824999783</v>
      </c>
      <c r="K40" s="370">
        <f>K32-K38</f>
        <v>566159.16879424825</v>
      </c>
      <c r="M40" s="370">
        <f>M32-M38</f>
        <v>645264.59115884546</v>
      </c>
      <c r="O40" s="370">
        <f>O32-O38</f>
        <v>725685.96329240454</v>
      </c>
      <c r="Q40" s="370">
        <f>Q32-Q38</f>
        <v>807432.97268049279</v>
      </c>
      <c r="S40" s="370">
        <f>S32-S38</f>
        <v>890514.73555664066</v>
      </c>
      <c r="U40" s="370">
        <f>U32-U38</f>
        <v>974939.75412976742</v>
      </c>
      <c r="W40" s="370">
        <f>W32-W38</f>
        <v>1060715.8717446895</v>
      </c>
      <c r="Y40" s="370">
        <f>Y32-Y38</f>
        <v>1147850.2258890802</v>
      </c>
      <c r="AA40" s="370">
        <f>AA32-AA38</f>
        <v>1236349.1989569459</v>
      </c>
      <c r="AC40" s="370">
        <f>AC32-AC38</f>
        <v>1326218.3666750677</v>
      </c>
      <c r="AE40" s="370">
        <f>AE32-AE38</f>
        <v>1417462.4440953052</v>
      </c>
      <c r="AG40" s="370">
        <f>AG32-AG38</f>
        <v>1510085.2290517939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5.8842633702271663E-2</v>
      </c>
      <c r="G42" s="374">
        <f>G40/(G4+G6+G8)</f>
        <v>7.0235131889924515E-2</v>
      </c>
      <c r="I42" s="374">
        <f>I40/(I4+I6+I8)</f>
        <v>8.1250495010509599E-2</v>
      </c>
      <c r="K42" s="374">
        <f>K40/(K4+K6+K8)</f>
        <v>9.1896945006948824E-2</v>
      </c>
      <c r="M42" s="374">
        <f>M40/(M4+M6+M8)</f>
        <v>0.10218249379939004</v>
      </c>
      <c r="O42" s="374">
        <f>O40/(O4+O6+O8)</f>
        <v>0.11211494831496237</v>
      </c>
      <c r="Q42" s="374">
        <f>Q40/(Q4+Q6+Q8)</f>
        <v>0.12170191539395112</v>
      </c>
      <c r="S42" s="374">
        <f>S40/(S4+S6+S8)</f>
        <v>0.13095080657539457</v>
      </c>
      <c r="U42" s="374">
        <f>U40/(U4+U6+U8)</f>
        <v>0.1398688427650388</v>
      </c>
      <c r="W42" s="374">
        <f>W40/(W4+W6+W8)</f>
        <v>0.14846305878851032</v>
      </c>
      <c r="Y42" s="374">
        <f>Y40/(Y4+Y6+Y8)</f>
        <v>0.15674030783249276</v>
      </c>
      <c r="AA42" s="374">
        <f>AA40/(AA4+AA6+AA8)</f>
        <v>0.16470726577663691</v>
      </c>
      <c r="AC42" s="374">
        <f>AC40/(AC4+AC6+AC8)</f>
        <v>0.17237043541885289</v>
      </c>
      <c r="AE42" s="374">
        <f>AE40/(AE4+AE6+AE8)</f>
        <v>0.17973615059658171</v>
      </c>
      <c r="AG42" s="374">
        <f>AG40/(AG4+AG6+AG8)</f>
        <v>0.18681058020656893</v>
      </c>
    </row>
    <row r="43" spans="1:35" s="374" customFormat="1" ht="14.25">
      <c r="A43" s="374" t="s">
        <v>938</v>
      </c>
      <c r="C43" s="367"/>
      <c r="E43" s="374">
        <f>E40/E38</f>
        <v>0.10344969582838058</v>
      </c>
      <c r="G43" s="374">
        <f>G40/G38</f>
        <v>0.12656551275259015</v>
      </c>
      <c r="I43" s="374">
        <f>I40/I38</f>
        <v>0.15007586720256694</v>
      </c>
      <c r="K43" s="374">
        <f>K40/K38</f>
        <v>0.17398418995768034</v>
      </c>
      <c r="M43" s="374">
        <f>M40/M38</f>
        <v>0.19829377212107785</v>
      </c>
      <c r="O43" s="374">
        <f>O40/O38</f>
        <v>0.22300775373112819</v>
      </c>
      <c r="Q43" s="374">
        <f>Q40/Q38</f>
        <v>0.2481291118116474</v>
      </c>
      <c r="S43" s="374">
        <f>S40/S38</f>
        <v>0.27366064783719185</v>
      </c>
      <c r="U43" s="374">
        <f>U40/U38</f>
        <v>0.29960497458878366</v>
      </c>
      <c r="W43" s="374">
        <f>W40/W38</f>
        <v>0.32596450237445918</v>
      </c>
      <c r="Y43" s="374">
        <f>Y40/Y38</f>
        <v>0.35274142458801933</v>
      </c>
      <c r="AA43" s="374">
        <f>AA40/AA38</f>
        <v>0.37993770257834336</v>
      </c>
      <c r="AC43" s="374">
        <f>AC40/AC38</f>
        <v>0.40755504980051765</v>
      </c>
      <c r="AE43" s="374">
        <f>AE40/AE38</f>
        <v>0.43559491521893878</v>
      </c>
      <c r="AG43" s="374">
        <f>AG40/AG38</f>
        <v>0.46405846593136313</v>
      </c>
    </row>
    <row r="44" spans="1:35" s="375" customFormat="1" ht="14.25">
      <c r="A44" s="375" t="s">
        <v>936</v>
      </c>
      <c r="C44" s="376"/>
      <c r="E44" s="375">
        <f>E32/E38</f>
        <v>1.1034496958283806</v>
      </c>
      <c r="G44" s="375">
        <f>G32/G38</f>
        <v>1.1265655127525902</v>
      </c>
      <c r="I44" s="375">
        <f>I32/I38</f>
        <v>1.150075867202567</v>
      </c>
      <c r="K44" s="375">
        <f>K32/K38</f>
        <v>1.1739841899576804</v>
      </c>
      <c r="M44" s="375">
        <f>M32/M38</f>
        <v>1.1982937721210778</v>
      </c>
      <c r="O44" s="375">
        <f>O32/O38</f>
        <v>1.2230077537311281</v>
      </c>
      <c r="Q44" s="375">
        <f>Q32/Q38</f>
        <v>1.2481291118116473</v>
      </c>
      <c r="S44" s="375">
        <f>S32/S38</f>
        <v>1.2736606478371919</v>
      </c>
      <c r="U44" s="375">
        <f>U32/U38</f>
        <v>1.2996049745887837</v>
      </c>
      <c r="W44" s="375">
        <f>W32/W38</f>
        <v>1.3259645023744591</v>
      </c>
      <c r="Y44" s="375">
        <f>Y32/Y38</f>
        <v>1.3527414245880194</v>
      </c>
      <c r="AA44" s="375">
        <f>AA32/AA38</f>
        <v>1.3799377025783435</v>
      </c>
      <c r="AC44" s="375">
        <f>AC32/AC38</f>
        <v>1.4075550498005176</v>
      </c>
      <c r="AE44" s="375">
        <f>AE32/AE38</f>
        <v>1.4355949152189387</v>
      </c>
      <c r="AG44" s="375">
        <f>AG32/AG38</f>
        <v>1.4640584659313631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336634</v>
      </c>
      <c r="G54" s="255">
        <f>G40-G52</f>
        <v>411854.80999999959</v>
      </c>
      <c r="I54" s="255">
        <f>I40-I52</f>
        <v>488359.47824999783</v>
      </c>
      <c r="K54" s="255">
        <f>K40-K52</f>
        <v>566159.16879424825</v>
      </c>
      <c r="M54" s="255">
        <f>M40-M52</f>
        <v>645264.59115884546</v>
      </c>
      <c r="O54" s="255">
        <f>O40-O52</f>
        <v>725685.96329240454</v>
      </c>
      <c r="Q54" s="255">
        <f>Q40-Q52</f>
        <v>807432.97268049279</v>
      </c>
      <c r="S54" s="255">
        <f>S40-S52</f>
        <v>890514.73555664066</v>
      </c>
      <c r="U54" s="255">
        <f>U40-U52</f>
        <v>974939.75412976742</v>
      </c>
      <c r="W54" s="255">
        <f>W40-W52</f>
        <v>1060715.8717446895</v>
      </c>
      <c r="Y54" s="255">
        <f>Y40-Y52</f>
        <v>1147850.2258890802</v>
      </c>
      <c r="AA54" s="255">
        <f>AA40-AA52</f>
        <v>1236349.1989569459</v>
      </c>
      <c r="AC54" s="255">
        <f>AC40-AC52</f>
        <v>1326218.3666750677</v>
      </c>
      <c r="AE54" s="255">
        <f>AE40-AE52</f>
        <v>1417462.4440953052</v>
      </c>
      <c r="AG54" s="255">
        <f>AG40-AG52</f>
        <v>1510085.2290517939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0" t="s">
        <v>950</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2020-03-16T23:24:55Z</dcterms:modified>
</cp:coreProperties>
</file>