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Y:\02. Pipeline Projects\18-10 Asante 11001 S Broadway (City LA)\08. Funding\8.5 CDLAC\1. Application\2. Application Incomplete\40.SECTION 40 - TCAC EXCEL APPLICATION\"/>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17235" windowHeight="11205" tabRatio="905" firstSheet="6"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iterateCount="156"/>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435" i="3" l="1"/>
  <c r="AG429" i="3"/>
  <c r="AE547" i="3" l="1"/>
  <c r="S83" i="4" l="1"/>
  <c r="S82" i="4"/>
  <c r="E83" i="4"/>
  <c r="E82" i="4"/>
  <c r="C83" i="4"/>
  <c r="C82" i="4"/>
  <c r="AB50" i="15" l="1"/>
  <c r="AG619" i="3"/>
  <c r="F29" i="4"/>
  <c r="C29" i="4"/>
  <c r="C43" i="4" l="1"/>
  <c r="C89" i="4"/>
  <c r="S89" i="4"/>
  <c r="E89" i="4"/>
  <c r="E81" i="4"/>
  <c r="S81" i="4" l="1"/>
  <c r="C81" i="4"/>
  <c r="E29" i="4"/>
  <c r="G29" i="4"/>
  <c r="AG48" i="7" l="1"/>
  <c r="AE48" i="7"/>
  <c r="AC48" i="7"/>
  <c r="AA48" i="7"/>
  <c r="Y48" i="7"/>
  <c r="W48" i="7"/>
  <c r="U48" i="7"/>
  <c r="S48" i="7"/>
  <c r="Q48" i="7"/>
  <c r="O48" i="7"/>
  <c r="M48" i="7"/>
  <c r="K48" i="7"/>
  <c r="I48" i="7"/>
  <c r="G48" i="7"/>
  <c r="AG47" i="7"/>
  <c r="AE47" i="7"/>
  <c r="AC47" i="7"/>
  <c r="AA47" i="7"/>
  <c r="Y47" i="7"/>
  <c r="W47" i="7"/>
  <c r="U47" i="7"/>
  <c r="S47" i="7"/>
  <c r="Q47" i="7"/>
  <c r="O47" i="7"/>
  <c r="M47" i="7"/>
  <c r="K47" i="7"/>
  <c r="I47" i="7"/>
  <c r="G47" i="7"/>
  <c r="F31" i="4"/>
  <c r="E31" i="4"/>
  <c r="G13" i="4"/>
  <c r="C35" i="4"/>
  <c r="C13" i="4"/>
  <c r="A3" i="15" l="1"/>
  <c r="AN929" i="3" l="1"/>
  <c r="AD64" i="15" l="1"/>
  <c r="A61" i="15" l="1"/>
  <c r="AD67" i="15" l="1"/>
  <c r="Y67" i="15"/>
  <c r="AI22" i="15" l="1"/>
  <c r="AD22" i="15"/>
  <c r="T11" i="4" l="1"/>
  <c r="R10" i="4"/>
  <c r="R88" i="4"/>
  <c r="R81" i="4"/>
  <c r="T25" i="15"/>
  <c r="AI7" i="15" s="1"/>
  <c r="AG428" i="3"/>
  <c r="AG431" i="3"/>
  <c r="B58" i="4"/>
  <c r="C77" i="11"/>
  <c r="C78" i="11"/>
  <c r="C79" i="11" s="1"/>
  <c r="B77" i="11"/>
  <c r="B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8" i="4" s="1"/>
  <c r="B77" i="4"/>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D20"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C63" i="13"/>
  <c r="C96" i="13"/>
  <c r="C105" i="13"/>
  <c r="T104" i="4"/>
  <c r="H104" i="13" s="1"/>
  <c r="R103" i="4"/>
  <c r="R102" i="4"/>
  <c r="R101" i="4"/>
  <c r="R100" i="4"/>
  <c r="R99" i="4"/>
  <c r="R98" i="4"/>
  <c r="R94" i="4"/>
  <c r="R93" i="4"/>
  <c r="R92" i="4"/>
  <c r="R91" i="4"/>
  <c r="R90" i="4"/>
  <c r="R89" i="4"/>
  <c r="R87" i="4"/>
  <c r="R86" i="4"/>
  <c r="R85" i="4"/>
  <c r="R84" i="4"/>
  <c r="R83" i="4"/>
  <c r="R82" i="4"/>
  <c r="R80" i="4"/>
  <c r="R73" i="4"/>
  <c r="R72" i="4"/>
  <c r="R74" i="4" s="1"/>
  <c r="R69" i="4"/>
  <c r="R70" i="4"/>
  <c r="R71" i="4"/>
  <c r="R66" i="4"/>
  <c r="R65" i="4"/>
  <c r="R61" i="4"/>
  <c r="R60" i="4"/>
  <c r="R59" i="4"/>
  <c r="R58" i="4"/>
  <c r="R57" i="4"/>
  <c r="R56" i="4"/>
  <c r="R55" i="4"/>
  <c r="R62" i="4" s="1"/>
  <c r="R52" i="4"/>
  <c r="R51" i="4"/>
  <c r="R50" i="4"/>
  <c r="R49" i="4"/>
  <c r="R48" i="4"/>
  <c r="R47" i="4"/>
  <c r="R46" i="4"/>
  <c r="R45" i="4"/>
  <c r="R44" i="4"/>
  <c r="R43" i="4"/>
  <c r="R41" i="4"/>
  <c r="R39" i="4"/>
  <c r="R38" i="4"/>
  <c r="R40" i="4" s="1"/>
  <c r="R35" i="4"/>
  <c r="R34" i="4"/>
  <c r="R33" i="4"/>
  <c r="R32" i="4"/>
  <c r="R31" i="4"/>
  <c r="R30" i="4"/>
  <c r="R29" i="4"/>
  <c r="R28" i="4"/>
  <c r="R26" i="4"/>
  <c r="R24" i="4"/>
  <c r="R23" i="4"/>
  <c r="R22" i="4"/>
  <c r="R21" i="4"/>
  <c r="R25" i="4" s="1"/>
  <c r="R20" i="4"/>
  <c r="R19" i="4"/>
  <c r="R18" i="4"/>
  <c r="R17" i="4"/>
  <c r="R15" i="4"/>
  <c r="R14" i="4"/>
  <c r="R13" i="4"/>
  <c r="R9" i="4"/>
  <c r="R11" i="4"/>
  <c r="R7" i="4"/>
  <c r="R6" i="4"/>
  <c r="R5" i="4"/>
  <c r="R8" i="4" s="1"/>
  <c r="R4" i="4"/>
  <c r="AD991" i="3"/>
  <c r="B5" i="11"/>
  <c r="C5" i="11"/>
  <c r="B6" i="11"/>
  <c r="B9" i="11" s="1"/>
  <c r="C6" i="11"/>
  <c r="C9" i="11" s="1"/>
  <c r="B7" i="11"/>
  <c r="C7" i="11"/>
  <c r="C8" i="11"/>
  <c r="B8" i="11"/>
  <c r="B10" i="11"/>
  <c r="B11" i="11"/>
  <c r="B12" i="11" s="1"/>
  <c r="C10" i="11"/>
  <c r="C11" i="11"/>
  <c r="C12" i="11" s="1"/>
  <c r="B14" i="11"/>
  <c r="C14" i="11"/>
  <c r="B15" i="11"/>
  <c r="C15" i="11"/>
  <c r="B16" i="11"/>
  <c r="C16" i="11"/>
  <c r="D16" i="11"/>
  <c r="B18" i="11"/>
  <c r="C18" i="11"/>
  <c r="B19" i="11"/>
  <c r="C19" i="11"/>
  <c r="D19" i="11"/>
  <c r="B20" i="11"/>
  <c r="C20" i="11"/>
  <c r="B21" i="11"/>
  <c r="C21" i="11"/>
  <c r="D21" i="11"/>
  <c r="B22" i="11"/>
  <c r="B26" i="11" s="1"/>
  <c r="C22" i="11"/>
  <c r="D22" i="11" s="1"/>
  <c r="B23" i="11"/>
  <c r="C23" i="11"/>
  <c r="B24" i="11"/>
  <c r="C24" i="11"/>
  <c r="D24" i="11"/>
  <c r="B25" i="11"/>
  <c r="C25" i="11"/>
  <c r="D25" i="11"/>
  <c r="B27" i="11"/>
  <c r="C27" i="11"/>
  <c r="D27" i="11"/>
  <c r="B29" i="11"/>
  <c r="B30" i="11"/>
  <c r="B31" i="11"/>
  <c r="B32" i="11"/>
  <c r="B33" i="11"/>
  <c r="B34" i="11"/>
  <c r="B35" i="11"/>
  <c r="B36" i="11"/>
  <c r="B37" i="11" s="1"/>
  <c r="C29" i="11"/>
  <c r="D29" i="11" s="1"/>
  <c r="C30" i="11"/>
  <c r="C31" i="11"/>
  <c r="C32" i="11"/>
  <c r="D32" i="11" s="1"/>
  <c r="C33" i="11"/>
  <c r="D33" i="11" s="1"/>
  <c r="C34" i="11"/>
  <c r="D34" i="11"/>
  <c r="C35" i="11"/>
  <c r="D35" i="11" s="1"/>
  <c r="C36" i="11"/>
  <c r="D36" i="11" s="1"/>
  <c r="B39" i="11"/>
  <c r="C39" i="11"/>
  <c r="D39" i="11" s="1"/>
  <c r="C40" i="11"/>
  <c r="C41" i="11"/>
  <c r="B40" i="11"/>
  <c r="B41" i="11"/>
  <c r="D40" i="11"/>
  <c r="B42" i="11"/>
  <c r="C42" i="11"/>
  <c r="D42" i="11"/>
  <c r="B44" i="11"/>
  <c r="C44" i="11"/>
  <c r="D44" i="11" s="1"/>
  <c r="B45" i="11"/>
  <c r="D45" i="11" s="1"/>
  <c r="C45" i="11"/>
  <c r="B46" i="11"/>
  <c r="B47" i="11"/>
  <c r="B48" i="11"/>
  <c r="B49" i="11"/>
  <c r="B50" i="11"/>
  <c r="B51" i="11"/>
  <c r="B52" i="11"/>
  <c r="B53" i="11"/>
  <c r="D53" i="11" s="1"/>
  <c r="C46" i="11"/>
  <c r="C47" i="11"/>
  <c r="C48" i="11"/>
  <c r="D48" i="11" s="1"/>
  <c r="C49" i="11"/>
  <c r="C50" i="11"/>
  <c r="D50" i="11" s="1"/>
  <c r="C51" i="11"/>
  <c r="D51" i="11" s="1"/>
  <c r="C52" i="11"/>
  <c r="D52" i="11" s="1"/>
  <c r="C53" i="11"/>
  <c r="D47" i="11"/>
  <c r="B56" i="11"/>
  <c r="C56" i="11"/>
  <c r="B57" i="11"/>
  <c r="C57" i="11"/>
  <c r="B58" i="11"/>
  <c r="C58" i="11"/>
  <c r="B59" i="11"/>
  <c r="C59" i="11"/>
  <c r="D59" i="11"/>
  <c r="B60" i="11"/>
  <c r="C60" i="11"/>
  <c r="B61" i="11"/>
  <c r="C61" i="11"/>
  <c r="B62" i="11"/>
  <c r="C62" i="11"/>
  <c r="D62" i="11"/>
  <c r="B66" i="11"/>
  <c r="B67" i="11"/>
  <c r="D67" i="11" s="1"/>
  <c r="C66" i="11"/>
  <c r="D66" i="11" s="1"/>
  <c r="C67" i="11"/>
  <c r="C68" i="11"/>
  <c r="B70" i="11"/>
  <c r="C70" i="11"/>
  <c r="B71" i="11"/>
  <c r="C71" i="11"/>
  <c r="B72" i="11"/>
  <c r="C72" i="11"/>
  <c r="D72" i="11"/>
  <c r="B73" i="11"/>
  <c r="C73" i="11"/>
  <c r="D73" i="11" s="1"/>
  <c r="B74" i="11"/>
  <c r="C74" i="11"/>
  <c r="D74" i="11"/>
  <c r="B81" i="11"/>
  <c r="C81" i="11"/>
  <c r="D81" i="11"/>
  <c r="B82" i="11"/>
  <c r="C82" i="11"/>
  <c r="D82" i="11" s="1"/>
  <c r="C83" i="11"/>
  <c r="C84" i="11"/>
  <c r="C85" i="11"/>
  <c r="C86" i="11"/>
  <c r="D86" i="11" s="1"/>
  <c r="C87" i="11"/>
  <c r="D87" i="11" s="1"/>
  <c r="C88" i="11"/>
  <c r="D88" i="11" s="1"/>
  <c r="C89" i="11"/>
  <c r="D89" i="11" s="1"/>
  <c r="C90" i="11"/>
  <c r="D90" i="11" s="1"/>
  <c r="C91" i="11"/>
  <c r="C92" i="11"/>
  <c r="D92" i="11" s="1"/>
  <c r="C93" i="11"/>
  <c r="D93" i="11" s="1"/>
  <c r="C94" i="11"/>
  <c r="C95" i="11"/>
  <c r="B83" i="11"/>
  <c r="B84" i="11"/>
  <c r="D84" i="11" s="1"/>
  <c r="B85" i="11"/>
  <c r="D85" i="11" s="1"/>
  <c r="B86" i="11"/>
  <c r="B87" i="11"/>
  <c r="B88" i="11"/>
  <c r="B89" i="11"/>
  <c r="B90" i="11"/>
  <c r="B91" i="11"/>
  <c r="D91" i="11"/>
  <c r="B92" i="11"/>
  <c r="B93" i="11"/>
  <c r="B94" i="11"/>
  <c r="B95" i="11"/>
  <c r="D95" i="11" s="1"/>
  <c r="B99" i="11"/>
  <c r="C99" i="11"/>
  <c r="D99" i="11" s="1"/>
  <c r="B100" i="11"/>
  <c r="B101" i="11"/>
  <c r="B102" i="11"/>
  <c r="B103" i="11"/>
  <c r="B104" i="11"/>
  <c r="B105" i="11" s="1"/>
  <c r="C100" i="11"/>
  <c r="C101" i="11"/>
  <c r="C102" i="11"/>
  <c r="C103" i="11"/>
  <c r="D103" i="11"/>
  <c r="C104" i="11"/>
  <c r="A4" i="8"/>
  <c r="B4" i="8"/>
  <c r="F4" i="8" s="1"/>
  <c r="C4" i="8"/>
  <c r="H4" i="8"/>
  <c r="I4" i="8" s="1"/>
  <c r="A5" i="8"/>
  <c r="C5" i="8"/>
  <c r="H5" i="8"/>
  <c r="I5" i="8" s="1"/>
  <c r="A6" i="8"/>
  <c r="C6" i="8"/>
  <c r="H6" i="8"/>
  <c r="I6" i="8" s="1"/>
  <c r="A7" i="8"/>
  <c r="C7" i="8"/>
  <c r="H7" i="8"/>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M35" i="7"/>
  <c r="M38"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4" s="1"/>
  <c r="C53" i="4"/>
  <c r="B53" i="13" s="1"/>
  <c r="C62" i="4"/>
  <c r="B62" i="4" s="1"/>
  <c r="C74" i="4"/>
  <c r="B74" i="13" s="1"/>
  <c r="C95" i="4"/>
  <c r="B95" i="13" s="1"/>
  <c r="C104" i="4"/>
  <c r="B104" i="13" s="1"/>
  <c r="D8" i="4"/>
  <c r="D11" i="4"/>
  <c r="D12" i="4"/>
  <c r="D25" i="4"/>
  <c r="D36" i="4"/>
  <c r="D40" i="4"/>
  <c r="D53" i="4"/>
  <c r="D62" i="4"/>
  <c r="D67" i="4"/>
  <c r="D74" i="4"/>
  <c r="D95" i="4"/>
  <c r="D104" i="4"/>
  <c r="AG630" i="3"/>
  <c r="AG632" i="3" s="1"/>
  <c r="S25" i="4"/>
  <c r="E25" i="13"/>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F12" i="4" s="1"/>
  <c r="G8" i="4"/>
  <c r="G12" i="4" s="1"/>
  <c r="G11" i="4"/>
  <c r="H8" i="4"/>
  <c r="H11" i="4"/>
  <c r="H12" i="4"/>
  <c r="I8" i="4"/>
  <c r="I11" i="4"/>
  <c r="I12" i="4"/>
  <c r="J8" i="4"/>
  <c r="J11" i="4"/>
  <c r="J25" i="4"/>
  <c r="J36" i="4"/>
  <c r="J40" i="4"/>
  <c r="J53" i="4"/>
  <c r="J62" i="4"/>
  <c r="J63" i="4"/>
  <c r="J67" i="4"/>
  <c r="J74" i="4"/>
  <c r="J95" i="4"/>
  <c r="J96" i="4"/>
  <c r="J104" i="4"/>
  <c r="J105" i="4"/>
  <c r="K8" i="4"/>
  <c r="K11" i="4"/>
  <c r="K12" i="4"/>
  <c r="L8" i="4"/>
  <c r="L11" i="4"/>
  <c r="L12" i="4"/>
  <c r="M8" i="4"/>
  <c r="M11" i="4"/>
  <c r="M12" i="4"/>
  <c r="N8" i="4"/>
  <c r="O8" i="4"/>
  <c r="Q8" i="4"/>
  <c r="Q11" i="4"/>
  <c r="Q12" i="4"/>
  <c r="B9" i="4"/>
  <c r="B10" i="4"/>
  <c r="E11" i="4"/>
  <c r="F11" i="4"/>
  <c r="F25" i="4"/>
  <c r="F36" i="4"/>
  <c r="F40" i="4"/>
  <c r="F53" i="4"/>
  <c r="F62" i="4"/>
  <c r="N11" i="4"/>
  <c r="N12" i="4"/>
  <c r="O11" i="4"/>
  <c r="O12" i="4"/>
  <c r="B13" i="4"/>
  <c r="B14" i="4"/>
  <c r="B15" i="4"/>
  <c r="B17" i="4"/>
  <c r="B18" i="4"/>
  <c r="B19" i="4"/>
  <c r="B20" i="4"/>
  <c r="B21" i="4"/>
  <c r="B22" i="4"/>
  <c r="B23" i="4"/>
  <c r="B24" i="4"/>
  <c r="E25" i="4"/>
  <c r="G25" i="4"/>
  <c r="H25" i="4"/>
  <c r="I25" i="4"/>
  <c r="I36" i="4"/>
  <c r="I40" i="4"/>
  <c r="I53" i="4"/>
  <c r="I62" i="4"/>
  <c r="I63" i="4"/>
  <c r="K25" i="4"/>
  <c r="L25" i="4"/>
  <c r="M25" i="4"/>
  <c r="M36" i="4"/>
  <c r="M40" i="4"/>
  <c r="M53" i="4"/>
  <c r="M62" i="4"/>
  <c r="M63" i="4"/>
  <c r="M67" i="4"/>
  <c r="M74" i="4"/>
  <c r="M95" i="4"/>
  <c r="M96" i="4"/>
  <c r="M104" i="4"/>
  <c r="M105" i="4"/>
  <c r="N25" i="4"/>
  <c r="N36" i="4"/>
  <c r="N40" i="4"/>
  <c r="N53" i="4"/>
  <c r="N62" i="4"/>
  <c r="N63" i="4"/>
  <c r="N67" i="4"/>
  <c r="N74" i="4"/>
  <c r="N95" i="4"/>
  <c r="N96" i="4"/>
  <c r="N104" i="4"/>
  <c r="N105" i="4"/>
  <c r="O25" i="4"/>
  <c r="P25" i="4"/>
  <c r="Q25" i="4"/>
  <c r="B26" i="4"/>
  <c r="B28" i="4"/>
  <c r="B29" i="4"/>
  <c r="B30" i="4"/>
  <c r="B31" i="4"/>
  <c r="B32" i="4"/>
  <c r="B33" i="4"/>
  <c r="B34" i="4"/>
  <c r="B35" i="4"/>
  <c r="E36" i="4"/>
  <c r="G36" i="4"/>
  <c r="H36" i="4"/>
  <c r="K36" i="4"/>
  <c r="L36" i="4"/>
  <c r="O36" i="4"/>
  <c r="P36" i="4"/>
  <c r="P40" i="4"/>
  <c r="P53" i="4"/>
  <c r="P62" i="4"/>
  <c r="P63" i="4"/>
  <c r="P67" i="4"/>
  <c r="P74" i="4"/>
  <c r="P95" i="4"/>
  <c r="P96" i="4"/>
  <c r="P104" i="4"/>
  <c r="P105"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67" i="4"/>
  <c r="O74" i="4"/>
  <c r="O95" i="4"/>
  <c r="O96" i="4"/>
  <c r="O104" i="4"/>
  <c r="O105" i="4"/>
  <c r="Q62" i="4"/>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Q63" i="4"/>
  <c r="Q96" i="4"/>
  <c r="Q105" i="4"/>
  <c r="B67" i="4"/>
  <c r="D58" i="11"/>
  <c r="D49" i="11"/>
  <c r="D23" i="11"/>
  <c r="D94" i="11"/>
  <c r="D31" i="11"/>
  <c r="D15" i="11"/>
  <c r="D71" i="11"/>
  <c r="D18" i="11"/>
  <c r="D102" i="11"/>
  <c r="D60" i="11"/>
  <c r="D8" i="11"/>
  <c r="D56" i="11"/>
  <c r="C75" i="11"/>
  <c r="D61" i="11"/>
  <c r="C63" i="11"/>
  <c r="D10" i="11"/>
  <c r="D101" i="11"/>
  <c r="B75" i="11"/>
  <c r="D70" i="11"/>
  <c r="D57" i="11"/>
  <c r="D41" i="11"/>
  <c r="B63" i="11"/>
  <c r="D63" i="11"/>
  <c r="C105" i="11"/>
  <c r="K63" i="4"/>
  <c r="K96" i="4"/>
  <c r="K105" i="4"/>
  <c r="D100" i="11"/>
  <c r="D7" i="11"/>
  <c r="L63" i="4"/>
  <c r="L96" i="4"/>
  <c r="L105" i="4"/>
  <c r="D46" i="11"/>
  <c r="D12" i="13"/>
  <c r="J12" i="4"/>
  <c r="B25" i="4"/>
  <c r="H63" i="4"/>
  <c r="H96" i="4"/>
  <c r="H105" i="4"/>
  <c r="F105" i="13"/>
  <c r="F107" i="13"/>
  <c r="D77" i="11"/>
  <c r="I96" i="4"/>
  <c r="I105" i="4"/>
  <c r="D20" i="11"/>
  <c r="D5" i="11"/>
  <c r="D63" i="4"/>
  <c r="D96" i="4"/>
  <c r="D105" i="4"/>
  <c r="D14" i="11"/>
  <c r="B11" i="4"/>
  <c r="B11" i="13"/>
  <c r="AG432" i="3" l="1"/>
  <c r="AI27" i="15" s="1"/>
  <c r="B79" i="11"/>
  <c r="R78" i="4"/>
  <c r="D30" i="11"/>
  <c r="D78" i="11"/>
  <c r="D75" i="11"/>
  <c r="AB48" i="15"/>
  <c r="B40" i="4"/>
  <c r="D83" i="11"/>
  <c r="G63" i="4"/>
  <c r="D9" i="11"/>
  <c r="D6" i="11"/>
  <c r="B8" i="4"/>
  <c r="G96" i="4"/>
  <c r="G105" i="4" s="1"/>
  <c r="R95" i="4"/>
  <c r="R67" i="4"/>
  <c r="F63" i="4"/>
  <c r="F96" i="4" s="1"/>
  <c r="F105" i="4" s="1"/>
  <c r="R53" i="4"/>
  <c r="R36" i="4"/>
  <c r="R12" i="4"/>
  <c r="R104" i="4"/>
  <c r="S63" i="4"/>
  <c r="E63" i="13" s="1"/>
  <c r="C96" i="11"/>
  <c r="B78" i="13"/>
  <c r="D79" i="11"/>
  <c r="B68" i="11"/>
  <c r="D68" i="11"/>
  <c r="B62" i="13"/>
  <c r="C54" i="11"/>
  <c r="D54" i="11" s="1"/>
  <c r="B53" i="4"/>
  <c r="B63" i="4" s="1"/>
  <c r="B54" i="11"/>
  <c r="B36" i="13"/>
  <c r="C37" i="11"/>
  <c r="D37" i="11" s="1"/>
  <c r="B12" i="4"/>
  <c r="C13" i="11"/>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AI11" i="15" s="1"/>
  <c r="AI23" i="15" s="1"/>
  <c r="AI26" i="15" s="1"/>
  <c r="T7" i="15"/>
  <c r="K25" i="7"/>
  <c r="O25" i="7"/>
  <c r="I25" i="7"/>
  <c r="W25" i="7"/>
  <c r="S25" i="7"/>
  <c r="Y25" i="7"/>
  <c r="AC25" i="7"/>
  <c r="AG25" i="7"/>
  <c r="M25" i="7"/>
  <c r="G25" i="7"/>
  <c r="AA25" i="7"/>
  <c r="Q25" i="7"/>
  <c r="U25" i="7"/>
  <c r="BP614" i="3"/>
  <c r="BZ614" i="3"/>
  <c r="BK633" i="3"/>
  <c r="BK614" i="3"/>
  <c r="I30" i="8"/>
  <c r="Z789" i="3" s="1"/>
  <c r="E6" i="7" s="1"/>
  <c r="AC862" i="3"/>
  <c r="AD27" i="15"/>
  <c r="AD28" i="15" s="1"/>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D96" i="11" s="1"/>
  <c r="B95" i="4"/>
  <c r="T63" i="4"/>
  <c r="T96" i="4" s="1"/>
  <c r="D11" i="11"/>
  <c r="B13" i="11"/>
  <c r="B64" i="11"/>
  <c r="D12" i="11"/>
  <c r="C12" i="4"/>
  <c r="B12" i="13" s="1"/>
  <c r="AI28" i="15" l="1"/>
  <c r="D13" i="11"/>
  <c r="R63" i="4"/>
  <c r="R96" i="4" s="1"/>
  <c r="R105" i="4" s="1"/>
  <c r="S96" i="4"/>
  <c r="E96" i="13" s="1"/>
  <c r="BK635" i="3"/>
  <c r="V949" i="3" s="1"/>
  <c r="AD949" i="3" s="1"/>
  <c r="Y780" i="3"/>
  <c r="B63" i="13"/>
  <c r="C64" i="11"/>
  <c r="D64" i="11" s="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B97" i="11"/>
  <c r="B106" i="11" s="1"/>
  <c r="H63" i="13"/>
  <c r="T105" i="4"/>
  <c r="H96" i="13"/>
  <c r="B96" i="13"/>
  <c r="C105" i="4"/>
  <c r="B96" i="4"/>
  <c r="S105" i="4" l="1"/>
  <c r="S107" i="4" s="1"/>
  <c r="E107" i="13" s="1"/>
  <c r="Y11" i="15" s="1"/>
  <c r="Y23" i="15" s="1"/>
  <c r="Y26" i="15" s="1"/>
  <c r="Y28" i="15" s="1"/>
  <c r="AU675" i="3"/>
  <c r="C97" i="11"/>
  <c r="D97" i="11" s="1"/>
  <c r="Z798" i="3"/>
  <c r="V951" i="3"/>
  <c r="AD951" i="3" s="1"/>
  <c r="AD953" i="3" s="1"/>
  <c r="AD996" i="3" s="1"/>
  <c r="E10" i="7"/>
  <c r="E32" i="7" s="1"/>
  <c r="E40" i="7" s="1"/>
  <c r="G4" i="7"/>
  <c r="G5" i="7" s="1"/>
  <c r="AV650" i="3"/>
  <c r="AV675" i="3" s="1"/>
  <c r="AD734" i="3" s="1"/>
  <c r="M21" i="7"/>
  <c r="M30" i="7" s="1"/>
  <c r="O14" i="7"/>
  <c r="M8" i="7"/>
  <c r="K9" i="7"/>
  <c r="G7" i="7"/>
  <c r="I6" i="7"/>
  <c r="T107" i="4"/>
  <c r="H107" i="13" s="1"/>
  <c r="AD11" i="15" s="1"/>
  <c r="AD23" i="15" s="1"/>
  <c r="AD26" i="15" s="1"/>
  <c r="H105" i="13"/>
  <c r="AC442" i="3"/>
  <c r="B105" i="13"/>
  <c r="B105" i="4"/>
  <c r="E105" i="13" l="1"/>
  <c r="AD1000" i="3"/>
  <c r="AD1004" i="3" s="1"/>
  <c r="C106" i="11"/>
  <c r="D106" i="11" s="1"/>
  <c r="B1014" i="3"/>
  <c r="V952" i="3"/>
  <c r="G10" i="7"/>
  <c r="G32" i="7" s="1"/>
  <c r="G44" i="7" s="1"/>
  <c r="E44" i="7"/>
  <c r="I4" i="7"/>
  <c r="I5" i="7" s="1"/>
  <c r="I7" i="7"/>
  <c r="K6" i="7"/>
  <c r="M9" i="7"/>
  <c r="O8" i="7"/>
  <c r="O21" i="7"/>
  <c r="O30" i="7" s="1"/>
  <c r="Q14" i="7"/>
  <c r="E54" i="7"/>
  <c r="E43" i="7"/>
  <c r="E42" i="7"/>
  <c r="AC443" i="3"/>
  <c r="T11" i="15"/>
  <c r="T23" i="15" s="1"/>
  <c r="Y64" i="15" s="1"/>
  <c r="AC441" i="3"/>
  <c r="AB47" i="15"/>
  <c r="AB49" i="15" s="1"/>
  <c r="E59" i="7" l="1"/>
  <c r="E60" i="7"/>
  <c r="T24" i="15"/>
  <c r="AD38" i="15" s="1"/>
  <c r="AD40" i="15" s="1"/>
  <c r="G40" i="7"/>
  <c r="G54" i="7" s="1"/>
  <c r="K4" i="7"/>
  <c r="M4" i="7" s="1"/>
  <c r="M5" i="7" s="1"/>
  <c r="I10" i="7"/>
  <c r="I32" i="7" s="1"/>
  <c r="I44" i="7" s="1"/>
  <c r="Q21" i="7"/>
  <c r="Q30" i="7" s="1"/>
  <c r="S14" i="7"/>
  <c r="M6" i="7"/>
  <c r="K7" i="7"/>
  <c r="O9" i="7"/>
  <c r="Q8" i="7"/>
  <c r="Y68" i="15"/>
  <c r="T26" i="15"/>
  <c r="T28" i="15" s="1"/>
  <c r="T29" i="15" s="1"/>
  <c r="AB54" i="15"/>
  <c r="AB55" i="15" s="1"/>
  <c r="G60" i="7" l="1"/>
  <c r="G59" i="7"/>
  <c r="G42" i="7"/>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K60" i="7" l="1"/>
  <c r="K59" i="7"/>
  <c r="I60" i="7"/>
  <c r="I59" i="7"/>
  <c r="M27" i="3"/>
  <c r="P204" i="3" s="1"/>
  <c r="P203" i="3" s="1"/>
  <c r="AB86" i="15"/>
  <c r="AB78" i="15"/>
  <c r="AB80" i="15" s="1"/>
  <c r="J81" i="15" s="1"/>
  <c r="Q5" i="7"/>
  <c r="O40" i="7"/>
  <c r="O44" i="7"/>
  <c r="W21" i="7"/>
  <c r="W30" i="7" s="1"/>
  <c r="Y14" i="7"/>
  <c r="W8" i="7"/>
  <c r="U9" i="7"/>
  <c r="M43" i="7"/>
  <c r="M42" i="7"/>
  <c r="M54" i="7"/>
  <c r="U4" i="7"/>
  <c r="S5" i="7"/>
  <c r="Q7" i="7"/>
  <c r="S6" i="7"/>
  <c r="M60" i="7" l="1"/>
  <c r="M59" i="7"/>
  <c r="Q10" i="7"/>
  <c r="Q32" i="7" s="1"/>
  <c r="Q44" i="7" s="1"/>
  <c r="W4" i="7"/>
  <c r="U5" i="7"/>
  <c r="Y8" i="7"/>
  <c r="W9" i="7"/>
  <c r="Y21" i="7"/>
  <c r="Y30" i="7" s="1"/>
  <c r="AA14" i="7"/>
  <c r="S7" i="7"/>
  <c r="S10" i="7" s="1"/>
  <c r="S32" i="7" s="1"/>
  <c r="U6" i="7"/>
  <c r="O54" i="7"/>
  <c r="O42" i="7"/>
  <c r="O43" i="7"/>
  <c r="O60" i="7" l="1"/>
  <c r="O59" i="7"/>
  <c r="Q40" i="7"/>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S60" i="7" l="1"/>
  <c r="S59" i="7"/>
  <c r="Q60" i="7"/>
  <c r="Q59" i="7"/>
  <c r="AA6" i="7"/>
  <c r="Y7" i="7"/>
  <c r="Y10" i="7" s="1"/>
  <c r="Y32" i="7" s="1"/>
  <c r="AE8" i="7"/>
  <c r="AC9" i="7"/>
  <c r="AC4" i="7"/>
  <c r="AA5" i="7"/>
  <c r="W44" i="7"/>
  <c r="W40" i="7"/>
  <c r="AG14" i="7"/>
  <c r="AG21" i="7" s="1"/>
  <c r="AG30" i="7" s="1"/>
  <c r="AE21" i="7"/>
  <c r="AE30" i="7" s="1"/>
  <c r="U43" i="7"/>
  <c r="U42" i="7"/>
  <c r="U54" i="7"/>
  <c r="U60" i="7" l="1"/>
  <c r="U59" i="7"/>
  <c r="W42" i="7"/>
  <c r="W54" i="7"/>
  <c r="W43" i="7"/>
  <c r="Y40" i="7"/>
  <c r="Y44" i="7"/>
  <c r="AE4" i="7"/>
  <c r="AC5" i="7"/>
  <c r="AE9" i="7"/>
  <c r="AG8" i="7"/>
  <c r="AG9" i="7" s="1"/>
  <c r="AA7" i="7"/>
  <c r="AA10" i="7" s="1"/>
  <c r="AA32" i="7" s="1"/>
  <c r="AC6" i="7"/>
  <c r="W60" i="7" l="1"/>
  <c r="W59" i="7"/>
  <c r="AA44" i="7"/>
  <c r="AA40" i="7"/>
  <c r="AE5" i="7"/>
  <c r="AG4" i="7"/>
  <c r="Y43" i="7"/>
  <c r="Y42" i="7"/>
  <c r="Y54" i="7"/>
  <c r="AC7" i="7"/>
  <c r="AC10" i="7" s="1"/>
  <c r="AC32" i="7" s="1"/>
  <c r="AE6" i="7"/>
  <c r="Y60" i="7" l="1"/>
  <c r="Y59" i="7"/>
  <c r="AE7" i="7"/>
  <c r="AE10" i="7" s="1"/>
  <c r="AE32" i="7" s="1"/>
  <c r="AG6" i="7"/>
  <c r="AG7" i="7" s="1"/>
  <c r="AC40" i="7"/>
  <c r="AC44" i="7"/>
  <c r="AG5" i="7"/>
  <c r="AA42" i="7"/>
  <c r="AA43" i="7"/>
  <c r="AA54" i="7"/>
  <c r="AA60" i="7" l="1"/>
  <c r="AA59" i="7"/>
  <c r="AG10" i="7"/>
  <c r="AG32" i="7" s="1"/>
  <c r="AG44" i="7" s="1"/>
  <c r="AE44" i="7"/>
  <c r="AE40" i="7"/>
  <c r="AC42" i="7"/>
  <c r="AC54" i="7"/>
  <c r="AC43" i="7"/>
  <c r="AC60" i="7" l="1"/>
  <c r="AC59" i="7"/>
  <c r="AG40" i="7"/>
  <c r="AG42" i="7" s="1"/>
  <c r="AE54" i="7"/>
  <c r="AE42" i="7"/>
  <c r="AE43" i="7"/>
  <c r="AE60" i="7" l="1"/>
  <c r="AE59" i="7"/>
  <c r="AG54" i="7"/>
  <c r="AG43" i="7"/>
  <c r="AG60" i="7" l="1"/>
  <c r="AG59"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<sst xmlns="http://schemas.openxmlformats.org/spreadsheetml/2006/main" count="3635" uniqueCount="1787">
  <si>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</si>
  <si>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</si>
  <si>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</si>
  <si>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</si>
  <si>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</si>
  <si>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</si>
  <si>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</si>
  <si>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</si>
  <si>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</si>
  <si>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</si>
  <si>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</si>
  <si>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</si>
  <si>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</si>
  <si>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</si>
  <si>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</si>
  <si>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</si>
  <si>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</si>
  <si>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</si>
  <si>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</si>
  <si>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</si>
  <si>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</si>
  <si>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</si>
  <si>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</si>
  <si>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</si>
  <si>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</si>
  <si>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</si>
  <si>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</si>
  <si>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</si>
  <si>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</si>
  <si>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</si>
  <si>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</si>
  <si>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</si>
  <si>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</si>
  <si>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</si>
  <si>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</si>
  <si>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</si>
  <si>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</si>
  <si>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</si>
  <si>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</si>
  <si>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</si>
  <si>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</si>
  <si>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</si>
  <si>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</si>
  <si>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</si>
  <si>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</si>
  <si>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</si>
  <si>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</si>
  <si>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</si>
  <si>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</si>
  <si>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</si>
  <si>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</si>
  <si>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</si>
  <si>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</si>
  <si>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</si>
  <si>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</si>
  <si>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</si>
  <si>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</si>
  <si>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</si>
  <si>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</si>
  <si>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</si>
  <si>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</si>
  <si>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</si>
  <si>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</si>
  <si>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</si>
  <si>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</si>
  <si>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</si>
  <si>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</si>
  <si>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</si>
  <si>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</si>
  <si>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</si>
  <si>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</si>
  <si>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</si>
  <si>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</si>
  <si>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</si>
  <si>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</si>
  <si>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</si>
  <si>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</si>
  <si>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</si>
  <si>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</si>
  <si>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</si>
  <si>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</si>
  <si>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</si>
  <si>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</si>
  <si>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</si>
  <si>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</si>
  <si>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</si>
  <si>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</si>
  <si>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</si>
  <si>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</si>
  <si>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</si>
  <si>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</si>
  <si>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</si>
  <si>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</si>
  <si>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</si>
  <si>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</si>
  <si>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</si>
  <si>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</si>
  <si>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</si>
  <si>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</si>
  <si>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</si>
  <si>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</si>
  <si>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</si>
  <si>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</si>
  <si>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</si>
  <si>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</si>
  <si>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</si>
  <si>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</si>
  <si>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</si>
  <si>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</si>
  <si>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</si>
  <si>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</si>
  <si>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</si>
  <si>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</si>
  <si>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</si>
  <si>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</si>
  <si>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</si>
  <si>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</si>
  <si>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</si>
  <si>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</si>
  <si>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</si>
  <si>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</si>
  <si>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</si>
  <si>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</si>
  <si>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</si>
  <si>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</si>
  <si>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</si>
  <si>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</si>
  <si>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</si>
  <si>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</si>
  <si>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</si>
  <si>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</si>
  <si>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</si>
  <si>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</si>
  <si>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</si>
  <si>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</si>
  <si>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</si>
  <si>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</si>
  <si>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</si>
  <si>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</si>
  <si>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</si>
  <si>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</si>
  <si>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</si>
  <si>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</si>
  <si>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</si>
  <si>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</si>
  <si>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</si>
  <si>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</si>
  <si>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</si>
  <si>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</si>
  <si>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</si>
  <si>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</si>
  <si>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</si>
  <si>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</si>
  <si>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</si>
  <si>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</si>
  <si>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</si>
  <si>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</si>
  <si>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</si>
  <si>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</si>
  <si>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</si>
  <si>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</si>
  <si>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</si>
  <si>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</si>
  <si>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</si>
  <si>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</si>
  <si>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</si>
  <si>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</si>
  <si>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</si>
  <si>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</si>
  <si>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</si>
  <si>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</si>
  <si>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</si>
  <si>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</si>
  <si>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</si>
  <si>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</si>
  <si>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</si>
  <si>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</si>
  <si>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</si>
  <si>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</si>
  <si>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</si>
  <si>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</si>
  <si>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</si>
  <si>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</si>
  <si>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</si>
  <si>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</si>
  <si>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</si>
  <si>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</si>
  <si>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</si>
  <si>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</si>
  <si>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</si>
  <si>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</si>
  <si>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</si>
  <si>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</si>
  <si>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</si>
  <si>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</si>
  <si>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</si>
  <si>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</si>
  <si>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</si>
  <si>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</si>
  <si>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</si>
  <si>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</si>
  <si>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</si>
  <si>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</si>
  <si>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</si>
  <si>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</si>
  <si>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</si>
  <si>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</si>
  <si>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</si>
  <si>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</si>
  <si>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</si>
  <si>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</si>
  <si>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</si>
  <si>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</si>
  <si>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</si>
  <si>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</si>
  <si>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</si>
  <si>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</si>
  <si>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</si>
  <si>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</si>
  <si>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</si>
  <si>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</si>
  <si>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</si>
  <si>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</si>
  <si>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</si>
  <si>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</si>
  <si>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</si>
  <si>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</si>
  <si>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</si>
  <si>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</si>
  <si>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</si>
  <si>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</si>
  <si>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</si>
  <si>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</si>
  <si>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</si>
  <si>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</si>
  <si>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</si>
  <si>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</si>
  <si>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</si>
  <si>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</si>
  <si>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</si>
  <si>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</si>
  <si>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</si>
  <si>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</si>
  <si>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</si>
  <si>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</si>
  <si>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</si>
  <si>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</si>
  <si>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</si>
  <si>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</si>
  <si>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</si>
  <si>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</si>
  <si>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</si>
  <si>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</si>
  <si>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</si>
  <si>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</si>
  <si>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</si>
  <si>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</si>
  <si>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</si>
  <si>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</si>
  <si>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</si>
  <si>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</si>
  <si>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</si>
  <si>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</si>
  <si>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</si>
  <si>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</si>
  <si>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</si>
  <si>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</si>
  <si>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</si>
  <si>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</si>
  <si>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</si>
  <si>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</si>
  <si>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</si>
  <si>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</si>
  <si>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</si>
  <si>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</si>
  <si>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</si>
  <si>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</si>
  <si>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</si>
  <si>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</si>
  <si>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</si>
  <si>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</si>
  <si>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</si>
  <si>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</si>
  <si>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</si>
  <si>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</si>
  <si>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</si>
  <si>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</si>
  <si>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</si>
  <si>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</si>
  <si>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</si>
  <si>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</si>
  <si>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</si>
  <si>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</si>
  <si>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</si>
  <si>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</si>
  <si>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</si>
  <si>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</si>
  <si>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</si>
  <si>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</si>
  <si>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</si>
  <si>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</si>
  <si>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</si>
  <si>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</si>
  <si>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</si>
  <si>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</si>
  <si>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</si>
  <si>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</si>
  <si>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</si>
  <si>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</si>
  <si>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</si>
  <si>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</si>
  <si>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</si>
  <si>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</si>
  <si>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</si>
  <si>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</si>
  <si>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</si>
  <si>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</si>
  <si>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</si>
  <si>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</si>
  <si>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</si>
  <si>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</si>
  <si>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</si>
  <si>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</si>
  <si>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</si>
  <si>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</si>
  <si>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</si>
  <si>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</si>
  <si>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</si>
  <si>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</si>
  <si>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</si>
  <si>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</si>
  <si>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</si>
  <si>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</si>
  <si>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</si>
  <si>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</si>
  <si>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</si>
  <si>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</si>
  <si>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</si>
  <si>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</si>
  <si>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</si>
  <si>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</si>
  <si>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</si>
  <si>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</si>
  <si>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</si>
  <si>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</si>
  <si>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</si>
  <si>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</si>
  <si>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</si>
  <si>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</si>
  <si>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</si>
  <si>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</si>
  <si>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</si>
  <si>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</si>
  <si>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</si>
  <si>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</si>
  <si>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</si>
  <si>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</si>
  <si>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</si>
  <si>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</si>
  <si>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</si>
  <si>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</si>
  <si>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</si>
  <si>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</si>
  <si>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</si>
  <si>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</si>
  <si>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</si>
  <si>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</si>
  <si>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</si>
  <si>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</si>
  <si>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</si>
  <si>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</si>
  <si>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</si>
  <si>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</si>
  <si>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</si>
  <si>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</si>
  <si>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</si>
  <si>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</si>
  <si>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</si>
  <si>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</si>
  <si>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</si>
  <si>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</si>
  <si>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</si>
  <si>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</si>
  <si>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</si>
  <si>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</si>
  <si>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</si>
  <si>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</si>
  <si>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</si>
  <si>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</si>
  <si>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</si>
  <si>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</si>
  <si>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</si>
  <si>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</si>
  <si>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</si>
  <si>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</si>
  <si>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</si>
  <si>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</si>
  <si>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</si>
  <si>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</si>
  <si>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</si>
  <si>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</si>
  <si>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</si>
  <si>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</si>
  <si>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</si>
  <si>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</si>
  <si>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</si>
  <si>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</si>
  <si>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</si>
  <si>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</si>
  <si>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</si>
  <si>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</si>
  <si>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</si>
  <si>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</si>
  <si>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</si>
  <si>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</si>
  <si>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</si>
  <si>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</si>
  <si>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</si>
  <si>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</si>
  <si>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</si>
  <si>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</si>
  <si>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</si>
  <si>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</si>
  <si>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</si>
  <si>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</si>
  <si>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</si>
  <si>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</si>
  <si>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</si>
  <si>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</si>
  <si>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</si>
  <si>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</si>
  <si>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</si>
  <si>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</si>
  <si>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</si>
  <si>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</si>
  <si>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</si>
  <si>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</si>
  <si>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</si>
  <si>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</si>
  <si>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</si>
  <si>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</si>
  <si>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</si>
  <si>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</si>
  <si>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</si>
  <si>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</si>
  <si>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</si>
  <si>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</si>
  <si>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</si>
  <si>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</si>
  <si>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</si>
  <si>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</si>
  <si>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</si>
  <si>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</si>
  <si>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</si>
  <si>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</si>
  <si>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</si>
  <si>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</si>
  <si>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</si>
  <si>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</si>
  <si>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</si>
  <si>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</si>
  <si>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</si>
  <si>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</si>
  <si>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</si>
  <si>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</si>
  <si>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</si>
  <si>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</si>
  <si>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</si>
  <si>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</si>
  <si>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</si>
  <si>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</si>
  <si>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</si>
  <si>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</si>
  <si>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</si>
  <si>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</si>
  <si>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</si>
  <si>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</si>
  <si>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</si>
  <si>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</si>
  <si>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</si>
  <si>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</si>
  <si>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</si>
  <si>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</si>
  <si>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</si>
  <si>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</si>
  <si>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</si>
  <si>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</si>
  <si>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</si>
  <si>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</si>
  <si>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</si>
  <si>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</si>
  <si>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</si>
  <si>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</si>
  <si>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</si>
  <si>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</si>
  <si>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</si>
  <si>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</si>
  <si>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</si>
  <si>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</si>
  <si>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</si>
  <si>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</si>
  <si>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</si>
  <si>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</si>
  <si>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</si>
  <si>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</si>
  <si>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</si>
  <si>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</si>
  <si>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</si>
  <si>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</si>
  <si>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</si>
  <si>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</si>
  <si>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</si>
  <si>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</si>
  <si>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</si>
  <si>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</si>
  <si>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</si>
  <si>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</si>
  <si>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</si>
  <si>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</si>
  <si>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</si>
  <si>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</si>
  <si>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</si>
  <si>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</si>
  <si>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</si>
  <si>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</si>
  <si>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</si>
  <si>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</si>
  <si>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</si>
  <si>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</si>
  <si>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</si>
  <si>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</si>
  <si>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</si>
  <si>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</si>
  <si>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</si>
  <si>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</si>
  <si>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</si>
  <si>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</si>
  <si>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</si>
  <si>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</si>
  <si>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</si>
  <si>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</si>
  <si>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</si>
  <si>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</si>
  <si>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</si>
  <si>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</si>
  <si>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</si>
  <si>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</si>
  <si>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</si>
  <si>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</si>
  <si>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</si>
  <si>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</si>
  <si>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</si>
  <si>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</si>
  <si>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</si>
  <si>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</si>
  <si>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</si>
  <si>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</si>
  <si>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</si>
  <si>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</si>
  <si>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</si>
  <si>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</si>
  <si>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</si>
  <si>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</si>
  <si>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</si>
  <si>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</si>
  <si>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</si>
  <si>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</si>
  <si>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</si>
  <si>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</si>
  <si>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</si>
  <si>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</si>
  <si>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</si>
  <si>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</si>
  <si>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</si>
  <si>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</si>
  <si>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</si>
  <si>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</si>
  <si>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</si>
  <si>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</si>
  <si>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</si>
  <si>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</si>
  <si>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</si>
  <si>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</si>
  <si>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</si>
  <si>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</si>
  <si>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</si>
  <si>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</si>
  <si>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</si>
  <si>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</si>
  <si>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</si>
  <si>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</si>
  <si>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</si>
  <si>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</si>
  <si>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</si>
  <si>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</si>
  <si>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</si>
  <si>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</si>
  <si>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</si>
  <si>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</si>
  <si>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</si>
  <si>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</si>
  <si>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</si>
  <si>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</si>
  <si>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</si>
  <si>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</si>
  <si>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</si>
  <si>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</si>
  <si>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</si>
  <si>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</si>
  <si>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</si>
  <si>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</si>
  <si>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</si>
  <si>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</si>
  <si>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</si>
  <si>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</si>
  <si>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</si>
  <si>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</si>
  <si>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</si>
  <si>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</si>
  <si>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</si>
  <si>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</si>
  <si>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</si>
  <si>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</si>
  <si>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</si>
  <si>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</si>
  <si>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</si>
  <si>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</si>
  <si>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</si>
  <si>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</si>
  <si>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</si>
  <si>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</si>
  <si>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</si>
  <si>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</si>
  <si>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</si>
  <si>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</si>
  <si>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</si>
  <si>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</si>
  <si>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</si>
  <si>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</si>
  <si>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</si>
  <si>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</si>
  <si>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</si>
  <si>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</si>
  <si>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</si>
  <si>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</si>
  <si>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</si>
  <si>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</si>
  <si>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</si>
  <si>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</si>
  <si>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</si>
  <si>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</si>
  <si>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</si>
  <si>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</si>
  <si>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</si>
  <si>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</si>
  <si>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</si>
  <si>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</si>
  <si>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</si>
  <si>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</si>
  <si>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</si>
  <si>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</si>
  <si>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</si>
  <si>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</si>
  <si>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</si>
  <si>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</si>
  <si>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</si>
  <si>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</si>
  <si>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</si>
  <si>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</si>
  <si>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</si>
  <si>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</si>
  <si>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</si>
  <si>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</si>
  <si>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</si>
  <si>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</si>
  <si>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</si>
  <si>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</si>
  <si>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</si>
  <si>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</si>
  <si>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</si>
  <si>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</si>
  <si>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</si>
  <si>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</si>
  <si>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</si>
  <si>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</si>
  <si>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</si>
  <si>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</si>
  <si>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</si>
  <si>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</si>
  <si>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</si>
  <si>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</si>
  <si>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</si>
  <si>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</si>
  <si>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</si>
  <si>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</si>
  <si>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</si>
  <si>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</si>
  <si>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</si>
  <si>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</si>
  <si>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</si>
  <si>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</si>
  <si>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</si>
  <si>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</si>
  <si>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</si>
  <si>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</si>
  <si>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</si>
  <si>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</si>
  <si>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</si>
  <si>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</si>
  <si>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</si>
  <si>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</si>
  <si>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</si>
  <si>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</si>
  <si>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</si>
  <si>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</si>
  <si>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</si>
  <si>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</si>
  <si>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</si>
  <si>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</si>
  <si>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</si>
  <si>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</si>
  <si>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</si>
  <si>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</si>
  <si>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</si>
  <si>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</si>
  <si>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</si>
  <si>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</si>
  <si>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</si>
  <si>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</si>
  <si>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</si>
  <si>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</si>
  <si>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</si>
  <si>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</si>
  <si>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</si>
  <si>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</si>
  <si>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</si>
  <si>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</si>
  <si>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</si>
  <si>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</si>
  <si>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</si>
  <si>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</si>
  <si>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</si>
  <si>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</si>
  <si>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</si>
  <si>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</si>
  <si>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</si>
  <si>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</si>
  <si>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</si>
  <si>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</si>
  <si>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</si>
  <si>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</si>
  <si>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</si>
  <si>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</si>
  <si>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</si>
  <si>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</si>
  <si>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</si>
  <si>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</si>
  <si>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</si>
  <si>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</si>
  <si>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</si>
  <si>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</si>
  <si>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</si>
  <si>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</si>
  <si>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</si>
  <si>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</si>
  <si>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</si>
  <si>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</si>
  <si>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</si>
  <si>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</si>
  <si>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</si>
  <si>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</si>
  <si>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</si>
  <si>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</si>
  <si>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</si>
  <si>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</si>
  <si>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</si>
  <si>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</si>
  <si>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</si>
  <si>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</si>
  <si>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</si>
  <si>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</si>
  <si>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</si>
  <si>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</si>
  <si>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</si>
  <si>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</si>
  <si>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</si>
  <si>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</si>
  <si>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</si>
  <si>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</si>
  <si>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</si>
  <si>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</si>
  <si>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</si>
  <si>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</si>
  <si>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</si>
  <si>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</si>
  <si>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</si>
  <si>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</si>
  <si>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</si>
  <si>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</si>
  <si>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</si>
  <si>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</si>
  <si>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</si>
  <si>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</si>
  <si>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</si>
  <si>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</si>
  <si>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</si>
  <si>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</si>
  <si>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</si>
  <si>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</si>
  <si>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</si>
  <si>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</si>
  <si>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</si>
  <si>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</si>
  <si>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</si>
  <si>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</si>
  <si>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</si>
  <si>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</si>
  <si>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</si>
  <si>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</si>
  <si>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</si>
  <si>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</si>
  <si>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</si>
  <si>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</si>
  <si>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</si>
  <si>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</si>
  <si>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</si>
  <si>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</si>
  <si>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</si>
  <si>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</si>
  <si>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</si>
  <si>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</si>
  <si>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</si>
  <si>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</si>
  <si>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</si>
  <si>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</si>
  <si>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</si>
  <si>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</si>
  <si>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</si>
  <si>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</si>
  <si>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</si>
  <si>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</si>
  <si>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</si>
  <si>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</si>
  <si>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</si>
  <si>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</si>
  <si>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</si>
  <si>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</si>
  <si>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</si>
  <si>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</si>
  <si>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</si>
  <si>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</si>
  <si>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</si>
  <si>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</si>
  <si>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</si>
  <si>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</si>
  <si>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</si>
  <si>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</si>
  <si>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</si>
  <si>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</si>
  <si>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</si>
  <si>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</si>
  <si>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</si>
  <si>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</si>
  <si>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</si>
  <si>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</si>
  <si>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</si>
  <si>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</si>
  <si>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</si>
  <si>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</si>
  <si>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</si>
  <si>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</si>
  <si>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</si>
  <si>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</si>
  <si>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</si>
  <si>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</si>
  <si>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</si>
  <si>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</si>
  <si>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</si>
  <si>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</si>
  <si>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</si>
  <si>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</si>
  <si>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</si>
  <si>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</si>
  <si>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</si>
  <si>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</si>
  <si>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</si>
  <si>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</si>
  <si>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</si>
  <si>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</si>
  <si>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</si>
  <si>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</si>
  <si>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</si>
  <si>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</si>
  <si>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</si>
  <si>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</si>
  <si>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</si>
  <si>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</si>
  <si>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</si>
  <si>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</si>
  <si>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</si>
  <si>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</si>
  <si>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</si>
  <si>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</si>
  <si>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</si>
  <si>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</si>
  <si>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</si>
  <si>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</si>
  <si>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</si>
  <si>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</si>
  <si>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</si>
  <si>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</si>
  <si>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</si>
  <si>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</si>
  <si>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</si>
  <si>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</si>
  <si>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</si>
  <si>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</si>
  <si>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</si>
  <si>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</si>
  <si>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</si>
  <si>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</si>
  <si>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</si>
  <si>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</si>
  <si>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</si>
  <si>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</si>
  <si>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</si>
  <si>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</si>
  <si>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</si>
  <si>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</si>
  <si>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</si>
  <si>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</si>
  <si>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</si>
  <si>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</si>
  <si>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</si>
  <si>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</si>
  <si>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</si>
  <si>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</si>
  <si>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</si>
  <si>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</si>
  <si>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</si>
  <si>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</si>
  <si>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</si>
  <si>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</si>
  <si>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</si>
  <si>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</si>
  <si>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</si>
  <si>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</si>
  <si>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</si>
  <si>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</si>
  <si>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</si>
  <si>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</si>
  <si>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</si>
  <si>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</si>
  <si>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</si>
  <si>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</si>
  <si>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</si>
  <si>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</si>
  <si>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</si>
  <si>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</si>
  <si>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</si>
  <si>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</si>
  <si>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</si>
  <si>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</si>
  <si>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</si>
  <si>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</si>
  <si>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</si>
  <si>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</si>
  <si>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</si>
  <si>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</si>
  <si>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</si>
  <si>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</si>
  <si>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</si>
  <si>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</si>
  <si>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</si>
  <si>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</si>
  <si>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</si>
  <si>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</si>
  <si>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</si>
  <si>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</si>
  <si>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</si>
  <si>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</si>
  <si>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</si>
  <si>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</si>
  <si>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</si>
  <si>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</si>
  <si>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</si>
  <si>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</si>
  <si>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</si>
  <si>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</si>
  <si>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</si>
  <si>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</si>
  <si>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</si>
  <si>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</si>
  <si>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</si>
  <si>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</si>
  <si>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</si>
  <si>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</si>
  <si>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</si>
  <si>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</si>
  <si>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</si>
  <si>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</si>
  <si>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</si>
  <si>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</si>
  <si>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</si>
  <si>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</si>
  <si>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</si>
  <si>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</si>
  <si>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</si>
  <si>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</si>
  <si>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</si>
  <si>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</si>
  <si>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</si>
  <si>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</si>
  <si>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</si>
  <si>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</si>
  <si>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</si>
  <si>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</si>
  <si>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</si>
  <si>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</si>
  <si>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</si>
  <si>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</si>
  <si>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</si>
  <si>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</si>
  <si>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</si>
  <si>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</si>
  <si>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</si>
  <si>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</si>
  <si>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</si>
  <si>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</si>
  <si>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</si>
  <si>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</si>
  <si>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</si>
  <si>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</si>
  <si>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</si>
  <si>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</si>
  <si>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</si>
  <si>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</si>
  <si>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</si>
  <si>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</si>
  <si>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</si>
  <si>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</si>
  <si>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</si>
  <si>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</si>
  <si>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</si>
  <si>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</si>
  <si>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</si>
  <si>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</si>
  <si>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</si>
  <si>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</si>
  <si>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</si>
  <si>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</si>
  <si>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</si>
  <si>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</si>
  <si>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</si>
  <si>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</si>
  <si>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</si>
  <si>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</si>
  <si>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</si>
  <si>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</si>
  <si>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</si>
  <si>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</si>
  <si>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</si>
  <si>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</si>
  <si>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</si>
  <si>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</si>
  <si>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</si>
  <si>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</si>
  <si>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</si>
  <si>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</si>
  <si>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</si>
  <si>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</si>
  <si>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</si>
  <si>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</si>
  <si>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</si>
  <si>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</si>
  <si>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</si>
  <si>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</si>
  <si>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</si>
  <si>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</si>
  <si>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</si>
  <si>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</si>
  <si>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</si>
  <si>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</si>
  <si>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</si>
  <si>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</si>
  <si>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</si>
  <si>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</si>
  <si>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</si>
  <si>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</si>
  <si>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</si>
  <si>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</si>
  <si>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</si>
  <si>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</si>
  <si>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</si>
  <si>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</si>
  <si>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</si>
  <si>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</si>
  <si>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</si>
  <si>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</si>
  <si>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</si>
  <si>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</si>
  <si>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</si>
  <si>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</si>
  <si>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</si>
  <si>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</si>
  <si>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</si>
  <si>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</si>
  <si>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</si>
  <si>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</si>
  <si>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</si>
  <si>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</si>
  <si>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</si>
  <si>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</si>
  <si>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</si>
  <si>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</si>
  <si>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</si>
  <si>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</si>
  <si>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</si>
  <si>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</si>
  <si>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</si>
  <si>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</si>
  <si>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</si>
  <si>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</si>
  <si>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</si>
  <si>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</si>
  <si>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</si>
  <si>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</si>
  <si>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</si>
  <si>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</si>
  <si>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</si>
  <si>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</si>
  <si>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</si>
  <si>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</si>
  <si>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</si>
  <si>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</si>
  <si>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</si>
  <si>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</si>
  <si>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</si>
  <si>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</si>
  <si>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</si>
  <si>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</si>
  <si>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</si>
  <si>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</si>
  <si>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</si>
  <si>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</si>
  <si>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</si>
  <si>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</si>
  <si>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</si>
  <si>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</si>
  <si>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</si>
  <si>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</si>
  <si>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</si>
  <si>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</si>
  <si>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</si>
  <si>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</si>
  <si>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</si>
  <si>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</si>
  <si>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</si>
  <si>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</si>
  <si>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</si>
  <si>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</si>
  <si>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</si>
  <si>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</si>
  <si>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</si>
  <si>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</si>
  <si>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</si>
  <si>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</si>
  <si>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</si>
  <si>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</si>
  <si>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</si>
  <si>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</si>
  <si>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</si>
  <si>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</si>
  <si>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</si>
  <si>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</si>
  <si>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</si>
  <si>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</si>
  <si>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</si>
  <si>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</si>
  <si>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</si>
  <si>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</si>
  <si>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</si>
  <si>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</si>
  <si>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</si>
  <si>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</si>
  <si>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</si>
  <si>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</si>
  <si>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</si>
  <si>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</si>
  <si>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</si>
  <si>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</si>
  <si>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</si>
  <si>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</si>
  <si>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</si>
  <si>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</si>
  <si>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</si>
  <si>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</si>
  <si>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</si>
  <si>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</si>
  <si>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</si>
  <si>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</si>
  <si>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</si>
  <si>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</si>
  <si>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</si>
  <si>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</si>
  <si>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</si>
  <si>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</si>
  <si>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</si>
  <si>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</si>
  <si>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</si>
  <si>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</si>
  <si>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</si>
  <si>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</si>
  <si>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</si>
  <si>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</si>
  <si>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</si>
  <si>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</si>
  <si>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</si>
  <si>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</si>
  <si>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</si>
  <si>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</si>
  <si>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</si>
  <si>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</si>
  <si>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</si>
  <si>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</si>
  <si>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</si>
  <si>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</si>
  <si>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</si>
  <si>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</si>
  <si>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</si>
  <si>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</si>
  <si>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</si>
  <si>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</si>
  <si>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</si>
  <si>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</si>
  <si>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</si>
  <si>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</si>
  <si>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</si>
  <si>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</si>
  <si>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</si>
  <si>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</si>
  <si>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</si>
  <si>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</si>
  <si>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</si>
  <si>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</si>
  <si>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</si>
  <si>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</si>
  <si>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</si>
  <si>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</si>
  <si>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</si>
  <si>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</si>
  <si>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</si>
  <si>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</si>
  <si>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</si>
  <si>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</si>
  <si>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</si>
  <si>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</si>
  <si>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</si>
  <si>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</si>
  <si>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</si>
  <si>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</si>
  <si>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</si>
  <si>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</si>
  <si>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</si>
  <si>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</si>
  <si>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</si>
  <si>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</si>
  <si>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</si>
  <si>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</si>
  <si>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</si>
  <si>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</si>
  <si>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</si>
  <si>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</si>
  <si>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</si>
  <si>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</si>
  <si>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</si>
  <si>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</si>
  <si>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</si>
  <si>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</si>
  <si>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</si>
  <si>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</si>
  <si>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</si>
  <si>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</si>
  <si>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</si>
  <si>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</si>
  <si>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</si>
  <si>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</si>
  <si>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</si>
  <si>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</si>
  <si>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</si>
  <si>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</si>
  <si>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</si>
  <si>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</si>
  <si>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</si>
  <si>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</si>
  <si>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</si>
  <si>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</si>
  <si>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</si>
  <si>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</si>
  <si>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</si>
  <si>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</si>
  <si>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</si>
  <si>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</si>
  <si>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</si>
  <si>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</si>
  <si>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</si>
  <si>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</si>
  <si>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</si>
  <si>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</si>
  <si>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</si>
  <si>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</si>
  <si>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</si>
  <si>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</si>
  <si>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</si>
  <si>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</si>
  <si>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</si>
  <si>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</si>
  <si>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</si>
  <si>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</si>
  <si>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</si>
  <si>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</si>
  <si>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</si>
  <si>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</si>
  <si>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</si>
  <si>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</si>
  <si>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</si>
  <si>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</si>
  <si>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</si>
  <si>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</si>
  <si>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</si>
  <si>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</si>
  <si>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</si>
  <si>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</si>
  <si>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</si>
  <si>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</si>
  <si>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</si>
  <si>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</si>
  <si>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</si>
  <si>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</si>
  <si>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</si>
  <si>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</si>
  <si>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</si>
  <si>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</si>
  <si>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</si>
  <si>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</si>
  <si>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</si>
  <si>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</si>
  <si>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</si>
  <si>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</si>
  <si>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</si>
  <si>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</si>
  <si>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</si>
  <si>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</si>
  <si>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</si>
  <si>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</si>
  <si>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</si>
  <si>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</si>
  <si>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</si>
  <si>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</si>
  <si>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</si>
  <si>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</si>
  <si>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</si>
  <si>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</si>
  <si>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</si>
  <si>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</si>
  <si>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</si>
  <si>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</si>
  <si>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</si>
  <si>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</si>
  <si>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</si>
  <si>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</si>
  <si>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</si>
  <si>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</si>
  <si>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</si>
  <si>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</si>
  <si>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</si>
  <si>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</si>
  <si>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</si>
  <si>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</si>
  <si>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</si>
  <si>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</si>
  <si>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</si>
  <si>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</si>
  <si>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</si>
  <si>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</si>
  <si>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</si>
  <si>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</si>
  <si>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</si>
  <si>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</si>
  <si>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</si>
  <si>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</si>
  <si>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</si>
  <si>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</si>
  <si>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</si>
  <si>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</si>
  <si>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</si>
  <si>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</si>
  <si>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</si>
  <si>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</si>
  <si>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</si>
  <si>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</si>
  <si>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</si>
  <si>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</si>
  <si>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</si>
  <si>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</si>
  <si>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</si>
  <si>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</si>
  <si>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</si>
  <si>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</si>
  <si>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</si>
  <si>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</si>
  <si>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</si>
  <si>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</si>
  <si>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</si>
  <si>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</si>
  <si>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</si>
  <si>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</si>
  <si>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</si>
  <si>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</si>
  <si>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</si>
  <si>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</si>
  <si>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</si>
  <si>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</si>
  <si>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</si>
  <si>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</si>
  <si>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</si>
  <si>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</si>
  <si>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</si>
  <si>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</si>
  <si>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</si>
  <si>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</si>
  <si>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</si>
  <si>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</si>
  <si>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</si>
  <si>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</si>
  <si>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</si>
  <si>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</si>
  <si>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</si>
  <si>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</si>
  <si>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</si>
  <si>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</si>
  <si>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</si>
  <si>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</si>
  <si>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</si>
  <si>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</si>
  <si>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</si>
  <si>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</si>
  <si>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</si>
  <si>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</si>
  <si>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</si>
  <si>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</si>
  <si>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</si>
  <si>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</si>
  <si>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</si>
  <si>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</si>
  <si>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</si>
  <si>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</si>
  <si>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</si>
  <si>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</si>
  <si>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</si>
  <si>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</si>
  <si>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</si>
  <si>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</si>
  <si>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</si>
  <si>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</si>
  <si>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</si>
  <si>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</si>
  <si>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</si>
  <si>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</si>
  <si>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</si>
  <si>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</si>
  <si>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</si>
  <si>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</si>
  <si>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</si>
  <si>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</si>
  <si>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</si>
  <si>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</si>
  <si>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</si>
  <si>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</si>
  <si>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</si>
  <si>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</si>
  <si>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</si>
  <si>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</si>
  <si>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</si>
  <si>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</si>
  <si>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</si>
  <si>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</si>
  <si>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</si>
  <si>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</si>
  <si>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</si>
  <si>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</si>
  <si>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</si>
  <si>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</si>
  <si>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</si>
  <si>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</si>
  <si>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</si>
  <si>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</si>
  <si>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</si>
  <si>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</si>
  <si>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</si>
  <si>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</si>
  <si>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</si>
  <si>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</si>
  <si>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</si>
  <si>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</si>
  <si>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</si>
  <si>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</si>
  <si>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</si>
  <si>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</si>
  <si>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</si>
  <si>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</si>
  <si>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</si>
  <si>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</si>
  <si>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</si>
  <si>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</si>
  <si>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</si>
  <si>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</si>
  <si>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</si>
  <si>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</si>
  <si>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</si>
  <si>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</si>
  <si>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</si>
  <si>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</si>
  <si>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</si>
  <si>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</si>
  <si>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</si>
  <si>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</si>
  <si>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</si>
  <si>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</si>
  <si>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</si>
  <si>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</si>
  <si>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</si>
  <si>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</si>
  <si>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</si>
  <si>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</si>
  <si>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</si>
  <si>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</si>
  <si>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</si>
  <si>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</si>
  <si>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</si>
  <si>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</si>
  <si>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</si>
  <si>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</si>
  <si>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</si>
  <si>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</si>
  <si>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</si>
  <si>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</si>
  <si>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</si>
  <si>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</si>
  <si>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</si>
  <si>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</si>
  <si>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</si>
  <si>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</si>
  <si>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</si>
  <si>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</si>
  <si>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</si>
  <si>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</si>
  <si>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</si>
  <si>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</si>
  <si>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</si>
  <si>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</si>
  <si>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</si>
  <si>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</si>
  <si>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</si>
  <si>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</si>
  <si>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</si>
  <si>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</si>
  <si>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</si>
  <si>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</si>
  <si>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</si>
  <si>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</si>
  <si>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</si>
  <si>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</si>
  <si>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</si>
  <si>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</si>
  <si>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</si>
  <si>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</si>
  <si>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</si>
  <si>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</si>
  <si>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</si>
  <si>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</si>
  <si>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</si>
  <si>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</si>
  <si>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</si>
  <si>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</si>
  <si>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</si>
  <si>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</si>
  <si>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</si>
  <si>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</si>
  <si>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</si>
  <si>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</si>
  <si>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</si>
  <si>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</si>
  <si>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</si>
  <si>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</si>
  <si>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</si>
  <si>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</si>
  <si>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</si>
  <si>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</si>
  <si>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</si>
  <si>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</si>
  <si>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</si>
  <si>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</si>
  <si>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</si>
  <si>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</si>
  <si>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</si>
  <si>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</si>
  <si>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</si>
  <si>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</si>
  <si>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</si>
  <si>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</si>
  <si>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</si>
  <si>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</si>
  <si>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</si>
  <si>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</si>
  <si>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</si>
  <si>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</si>
  <si>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</si>
  <si>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</si>
  <si>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</si>
  <si>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</si>
  <si>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</si>
  <si>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</si>
  <si>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</si>
  <si>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</si>
  <si>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</si>
  <si>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</si>
  <si>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</si>
  <si>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</si>
  <si>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</si>
  <si>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</si>
  <si>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</si>
  <si>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</si>
  <si>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</si>
  <si>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</si>
  <si>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</si>
  <si>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</si>
  <si>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</si>
  <si>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</si>
  <si>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</si>
  <si>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</si>
  <si>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</si>
  <si>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</si>
  <si>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</si>
  <si>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</si>
  <si>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11001 S. Broadway</t>
  </si>
  <si>
    <t xml:space="preserve">Los Angeles </t>
  </si>
  <si>
    <t>6074-018-025</t>
  </si>
  <si>
    <t>Asante</t>
  </si>
  <si>
    <t xml:space="preserve">City of Los Angeles </t>
  </si>
  <si>
    <t>CDLAC-TCAC Joint Application (submitting concurrently)</t>
  </si>
  <si>
    <t>S. Broadway SH, L.P.</t>
  </si>
  <si>
    <t xml:space="preserve">1200 W. 7th Street 8th Floor </t>
  </si>
  <si>
    <t>(213) 808-8596</t>
  </si>
  <si>
    <t>(213) 808 8910</t>
  </si>
  <si>
    <t>timothy.elliot@lacity.org</t>
  </si>
  <si>
    <t>40%/60%</t>
  </si>
  <si>
    <t>13520 Evening Creek Drive N. Suite 160</t>
  </si>
  <si>
    <t>CA</t>
  </si>
  <si>
    <t>Marie Allen</t>
  </si>
  <si>
    <t>(858) 679-2464</t>
  </si>
  <si>
    <t>(858) 679-9076</t>
  </si>
  <si>
    <t>marie@affirmedhousing.com</t>
  </si>
  <si>
    <t xml:space="preserve">Affirmed Housing Group, Inc </t>
  </si>
  <si>
    <t>AHG Asante, LLC</t>
  </si>
  <si>
    <t>(858) 679 - 2464</t>
  </si>
  <si>
    <t>Marie@affirmedhousing.com</t>
  </si>
  <si>
    <t>Administrative GP</t>
  </si>
  <si>
    <t>Managing GP</t>
  </si>
  <si>
    <t>Affirmed Housing Group, Inc.</t>
  </si>
  <si>
    <t xml:space="preserve">13520 Evening Creek Drive N. Suite 160 </t>
  </si>
  <si>
    <t xml:space="preserve">Project Manager </t>
  </si>
  <si>
    <t xml:space="preserve">Affirmed Housing Group, Inc. </t>
  </si>
  <si>
    <t>13520 Evening Creek Drive N., Suite 160</t>
  </si>
  <si>
    <t>San Diego, CA 92128</t>
  </si>
  <si>
    <t>Togawa Smith Martin, Inc.</t>
  </si>
  <si>
    <t>444 S Flower Street, Suite 1220</t>
  </si>
  <si>
    <t>Los Angeles, CA 90071</t>
  </si>
  <si>
    <t>Tom Greer</t>
  </si>
  <si>
    <t>tgreer@tsminc.com</t>
  </si>
  <si>
    <t>Katten Muchin Rosenman LLP</t>
  </si>
  <si>
    <t>525 W. Monroe Street</t>
  </si>
  <si>
    <t>Chicago, IL 60661</t>
  </si>
  <si>
    <t>David Cohen</t>
  </si>
  <si>
    <t>David.cohen@kattenlaw.com</t>
  </si>
  <si>
    <t>TBD</t>
  </si>
  <si>
    <t>Novogradac &amp; Co LLP</t>
  </si>
  <si>
    <t>2033 N. Main Street, Suite 400</t>
  </si>
  <si>
    <t>Walnut Creek, CA 94597</t>
  </si>
  <si>
    <t>Jim Kroger</t>
  </si>
  <si>
    <t>jim.kroger@novoco.com</t>
  </si>
  <si>
    <t>City of Los Angeles (HCIDLA)</t>
  </si>
  <si>
    <t>1200 West 7th Street</t>
  </si>
  <si>
    <t>Los Angeles, CA 90017</t>
  </si>
  <si>
    <t>Bruce Ortiz</t>
  </si>
  <si>
    <t>bruce.ortiz@lacity.org</t>
  </si>
  <si>
    <t>Solari Enterprises, Inc.</t>
  </si>
  <si>
    <t>1507 Yale Avenue</t>
  </si>
  <si>
    <t>Orange, CA 92867</t>
  </si>
  <si>
    <t>Gianna Richards</t>
  </si>
  <si>
    <t>gianna@solari-ent.com</t>
  </si>
  <si>
    <t xml:space="preserve">Partner Energy </t>
  </si>
  <si>
    <t>680 Knox St., Suite 150</t>
  </si>
  <si>
    <t>Los Angeles, CA 90502</t>
  </si>
  <si>
    <t>Jennifer Webb</t>
  </si>
  <si>
    <t>310-622-8869</t>
  </si>
  <si>
    <t>310-862-2399</t>
  </si>
  <si>
    <t>Jwebb@ptrenergy.com</t>
  </si>
  <si>
    <t>WNC</t>
  </si>
  <si>
    <t xml:space="preserve">17782 Sky Park Circle </t>
  </si>
  <si>
    <t>Irvine, CA 92614</t>
  </si>
  <si>
    <t>949-236-8139</t>
  </si>
  <si>
    <t>NA</t>
  </si>
  <si>
    <t>Jessica Captanis</t>
  </si>
  <si>
    <t>jcaptanis@wncinc.com</t>
  </si>
  <si>
    <t>Raney Planning &amp; Management, Inc.</t>
  </si>
  <si>
    <t>1501 Sports Drive, Suite A</t>
  </si>
  <si>
    <t>Sacramento, CA 95834</t>
  </si>
  <si>
    <t xml:space="preserve">Stefanie Williams </t>
  </si>
  <si>
    <t>916-372-6100</t>
  </si>
  <si>
    <t>916-419-6108</t>
  </si>
  <si>
    <t>swilliams@laurinassociates.com</t>
  </si>
  <si>
    <t>Other (Specify below)</t>
  </si>
  <si>
    <t xml:space="preserve">Blood of Jesus Prayer and Deliverance Ministries, Inc. </t>
  </si>
  <si>
    <t xml:space="preserve">President </t>
  </si>
  <si>
    <t>Adotoyese A. Oyeyemi</t>
  </si>
  <si>
    <t>310-538-6700</t>
  </si>
  <si>
    <t>1025 West 190th Street, Suite 420</t>
  </si>
  <si>
    <t xml:space="preserve">One building, 5-stories, 55 units </t>
  </si>
  <si>
    <t xml:space="preserve">Las Palmas Foundation </t>
  </si>
  <si>
    <t>531 Encinitas Blvd., Suite 206</t>
  </si>
  <si>
    <t xml:space="preserve">Encinitas </t>
  </si>
  <si>
    <t xml:space="preserve">Noami Pines </t>
  </si>
  <si>
    <t>npines@laspalmashousing.com</t>
  </si>
  <si>
    <t>760-944-9050</t>
  </si>
  <si>
    <t>760-944-9908</t>
  </si>
  <si>
    <t>Low Medium II Residential</t>
  </si>
  <si>
    <t xml:space="preserve">None </t>
  </si>
  <si>
    <t xml:space="preserve">[Q]R4-1 </t>
  </si>
  <si>
    <t>Construction Loan</t>
  </si>
  <si>
    <t>Fixed</t>
  </si>
  <si>
    <t>HHH Funds (HCIDLA)</t>
  </si>
  <si>
    <t>HHH - HCIDLA</t>
  </si>
  <si>
    <t>HACLA PBV</t>
  </si>
  <si>
    <t>Construction Lender - Banner Bank</t>
  </si>
  <si>
    <t>4445 Eastgate Mall Suite 110</t>
  </si>
  <si>
    <t>San Diego, CA 92121</t>
  </si>
  <si>
    <t>Waheed Karim</t>
  </si>
  <si>
    <t>619-518-2610</t>
  </si>
  <si>
    <t>Tax Credit Equity - WNC</t>
  </si>
  <si>
    <t>Tax Credit Equity</t>
  </si>
  <si>
    <t>1200 W. 7th Street</t>
  </si>
  <si>
    <t>Tranche B Loan - Banner Bank</t>
  </si>
  <si>
    <t>4445 Eastgate Mall, Suite 110</t>
  </si>
  <si>
    <t xml:space="preserve">Permanent Financing </t>
  </si>
  <si>
    <t>213-808-8658</t>
  </si>
  <si>
    <t>Soft Loan</t>
  </si>
  <si>
    <t>(Fees)</t>
  </si>
  <si>
    <t>N/A Owner Paid Utilities</t>
  </si>
  <si>
    <t>Payroll Burden</t>
  </si>
  <si>
    <t>Cleaning &amp; Building Supplies</t>
  </si>
  <si>
    <t>Other (Misc state &amp; local fees, HCIDLA annual issuer fee):</t>
  </si>
  <si>
    <t>HHH (HCIDLA)</t>
  </si>
  <si>
    <t>HACLA</t>
  </si>
  <si>
    <t>Project-based vouchers (PBVs)</t>
  </si>
  <si>
    <t>Project Based Vouchers and HHH Funds</t>
  </si>
  <si>
    <t xml:space="preserve">Other: Site Security &amp; Solar </t>
  </si>
  <si>
    <t>Other: Construction Service Fee (Bank)</t>
  </si>
  <si>
    <t>Other: Construction Mgmt &amp; Deputy Services</t>
  </si>
  <si>
    <t xml:space="preserve">Other: Post Constrution Interest </t>
  </si>
  <si>
    <t>Other: Partnership&amp;Transaction</t>
  </si>
  <si>
    <t xml:space="preserve">Other: Case Mgmt Lease-Up Fee </t>
  </si>
  <si>
    <t>Other: Taxable Loan Interest</t>
  </si>
  <si>
    <t xml:space="preserve">HCIDLA </t>
  </si>
  <si>
    <t>Residual Receipts to Owner</t>
  </si>
  <si>
    <t xml:space="preserve">[Q]R4-1 62 residential units </t>
  </si>
  <si>
    <t>512-340-0421</t>
  </si>
  <si>
    <t>Community Housing Program Manager</t>
  </si>
  <si>
    <t>Tim Elliott</t>
  </si>
  <si>
    <t>General Office Costs</t>
  </si>
  <si>
    <t>Francisco Lopez</t>
  </si>
  <si>
    <t>Variable</t>
  </si>
  <si>
    <t>Lindsey Sutton</t>
  </si>
  <si>
    <t>512-349-3212</t>
  </si>
  <si>
    <t>lindsey.sutton@novoco.com</t>
  </si>
  <si>
    <t>11044 Research Blvd</t>
  </si>
  <si>
    <t>Austin, TX 78759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</si>
</sst>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8706">
    <xf numFmtId="0" fontId="0"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9" fillId="37" borderId="18" applyNumberFormat="0" applyAlignment="0" applyProtection="0"/>
    <xf numFmtId="0" fontId="79" fillId="37" borderId="18" applyNumberFormat="0" applyAlignment="0" applyProtection="0"/>
    <xf numFmtId="0" fontId="80" fillId="38"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71"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2" fillId="0" borderId="0" applyFont="0" applyFill="0" applyBorder="0" applyAlignment="0" applyProtection="0"/>
    <xf numFmtId="44" fontId="6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2" fillId="0" borderId="0" applyFont="0" applyFill="0" applyBorder="0" applyAlignment="0" applyProtection="0"/>
    <xf numFmtId="44" fontId="1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7" fillId="0" borderId="0" applyFont="0" applyFill="0" applyBorder="0" applyAlignment="0" applyProtection="0"/>
    <xf numFmtId="44" fontId="16" fillId="0" borderId="0" applyFont="0" applyFill="0" applyBorder="0" applyAlignment="0" applyProtection="0"/>
    <xf numFmtId="0" fontId="81" fillId="0" borderId="0" applyNumberFormat="0" applyFill="0" applyBorder="0" applyAlignment="0" applyProtection="0"/>
    <xf numFmtId="0" fontId="82" fillId="39"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40" borderId="18" applyNumberFormat="0" applyAlignment="0" applyProtection="0"/>
    <xf numFmtId="0" fontId="9" fillId="0" borderId="0" applyNumberFormat="0" applyBorder="0"/>
    <xf numFmtId="0" fontId="10" fillId="0" borderId="0" applyBorder="0" applyAlignment="0"/>
    <xf numFmtId="0" fontId="11" fillId="0" borderId="0" applyFill="0" applyBorder="0" applyAlignment="0"/>
    <xf numFmtId="0" fontId="87" fillId="0" borderId="23" applyNumberFormat="0" applyFill="0" applyAlignment="0" applyProtection="0"/>
    <xf numFmtId="0" fontId="88" fillId="41" borderId="0" applyNumberFormat="0" applyBorder="0" applyAlignment="0" applyProtection="0"/>
    <xf numFmtId="0" fontId="89" fillId="0" borderId="0"/>
    <xf numFmtId="0" fontId="52" fillId="0" borderId="0"/>
    <xf numFmtId="0" fontId="89" fillId="0" borderId="0"/>
    <xf numFmtId="0" fontId="52" fillId="0" borderId="0"/>
    <xf numFmtId="0" fontId="52"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2" fillId="0" borderId="0"/>
    <xf numFmtId="169" fontId="53" fillId="0" borderId="0"/>
    <xf numFmtId="0" fontId="76" fillId="0" borderId="0"/>
    <xf numFmtId="0" fontId="16" fillId="0" borderId="0"/>
    <xf numFmtId="0" fontId="16" fillId="0" borderId="0"/>
    <xf numFmtId="0" fontId="58" fillId="0" borderId="0"/>
    <xf numFmtId="0" fontId="52" fillId="0" borderId="0"/>
    <xf numFmtId="0" fontId="58" fillId="0" borderId="0"/>
    <xf numFmtId="0" fontId="52" fillId="0" borderId="0"/>
    <xf numFmtId="0" fontId="64" fillId="0" borderId="0"/>
    <xf numFmtId="0" fontId="52"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76" fillId="0" borderId="0"/>
    <xf numFmtId="0" fontId="76" fillId="0" borderId="0"/>
    <xf numFmtId="0" fontId="76" fillId="0" borderId="0"/>
    <xf numFmtId="0" fontId="76" fillId="0" borderId="0"/>
    <xf numFmtId="0" fontId="64" fillId="0" borderId="0"/>
    <xf numFmtId="0" fontId="52" fillId="0" borderId="0">
      <alignment vertical="top"/>
    </xf>
    <xf numFmtId="0" fontId="76" fillId="0" borderId="0"/>
    <xf numFmtId="0" fontId="76" fillId="0" borderId="0"/>
    <xf numFmtId="0" fontId="76" fillId="0" borderId="0"/>
    <xf numFmtId="0" fontId="76" fillId="0" borderId="0"/>
    <xf numFmtId="0" fontId="64" fillId="0" borderId="0"/>
    <xf numFmtId="0" fontId="16" fillId="0" borderId="0"/>
    <xf numFmtId="0" fontId="76" fillId="0" borderId="0"/>
    <xf numFmtId="0" fontId="16" fillId="0" borderId="0"/>
    <xf numFmtId="0" fontId="76" fillId="0" borderId="0"/>
    <xf numFmtId="0" fontId="76" fillId="0" borderId="0"/>
    <xf numFmtId="0" fontId="76" fillId="0" borderId="0"/>
    <xf numFmtId="0" fontId="76"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6" fillId="0" borderId="0"/>
    <xf numFmtId="0" fontId="58"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52" fillId="0" borderId="0">
      <alignment vertical="top"/>
    </xf>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 fillId="0" borderId="0" applyProtection="0">
      <protection locked="0"/>
    </xf>
    <xf numFmtId="0" fontId="16" fillId="0" borderId="0" applyProtection="0">
      <protection locked="0"/>
    </xf>
    <xf numFmtId="0" fontId="16" fillId="0" borderId="0" applyProtection="0">
      <protection locked="0"/>
    </xf>
    <xf numFmtId="0" fontId="53" fillId="0" borderId="0"/>
    <xf numFmtId="0" fontId="7" fillId="0" borderId="0"/>
    <xf numFmtId="0" fontId="16" fillId="0" borderId="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91" fillId="37" borderId="25" applyNumberFormat="0" applyAlignment="0" applyProtection="0"/>
    <xf numFmtId="0" fontId="91" fillId="37" borderId="25" applyNumberFormat="0" applyAlignment="0" applyProtection="0"/>
    <xf numFmtId="0" fontId="12"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7" fillId="0" borderId="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9" fontId="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102"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92" fillId="0" borderId="0" applyNumberForma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4" fontId="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170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4" fillId="0" borderId="0" xfId="0" applyFont="1"/>
    <xf numFmtId="0" fontId="7" fillId="0" borderId="0" xfId="0" applyFont="1"/>
    <xf numFmtId="0" fontId="16" fillId="0" borderId="0" xfId="0" applyFont="1" applyProtection="1"/>
    <xf numFmtId="0" fontId="0" fillId="0" borderId="4" xfId="0" applyBorder="1"/>
    <xf numFmtId="0" fontId="0" fillId="0" borderId="0" xfId="0" applyAlignment="1"/>
    <xf numFmtId="0" fontId="16" fillId="0" borderId="0" xfId="0" applyFont="1" applyAlignment="1">
      <alignment horizontal="center"/>
    </xf>
    <xf numFmtId="0" fontId="7"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4"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14" fillId="0" borderId="0" xfId="0" applyFont="1" applyFill="1" applyBorder="1" applyAlignment="1" applyProtection="1">
      <alignment horizontal="center"/>
    </xf>
    <xf numFmtId="0" fontId="7" fillId="0" borderId="0" xfId="543" applyFont="1" applyAlignment="1" applyProtection="1"/>
    <xf numFmtId="0" fontId="7" fillId="0" borderId="0" xfId="0" applyFont="1" applyFill="1"/>
    <xf numFmtId="0" fontId="14" fillId="0" borderId="0" xfId="0" applyFont="1" applyAlignment="1" applyProtection="1">
      <alignment horizontal="center"/>
    </xf>
    <xf numFmtId="0" fontId="16" fillId="0" borderId="0" xfId="0" applyFont="1" applyAlignment="1" applyProtection="1">
      <alignment horizontal="left" vertical="top" wrapText="1"/>
    </xf>
    <xf numFmtId="0" fontId="0" fillId="0" borderId="0" xfId="0" applyBorder="1" applyProtection="1"/>
    <xf numFmtId="0" fontId="22" fillId="0" borderId="0" xfId="0" applyFo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6" fillId="0" borderId="0" xfId="0" applyFont="1" applyAlignment="1" applyProtection="1">
      <alignment horizontal="left" indent="4"/>
    </xf>
    <xf numFmtId="0" fontId="16" fillId="0" borderId="0" xfId="0" applyFont="1" applyAlignment="1" applyProtection="1"/>
    <xf numFmtId="0" fontId="15" fillId="0" borderId="0" xfId="0" applyFont="1" applyAlignment="1" applyProtection="1">
      <alignment horizontal="left" vertical="top"/>
    </xf>
    <xf numFmtId="0" fontId="0" fillId="0" borderId="0" xfId="0" applyAlignment="1" applyProtection="1"/>
    <xf numFmtId="0" fontId="15" fillId="0" borderId="0" xfId="0" applyFont="1" applyAlignment="1" applyProtection="1">
      <alignment horizontal="left"/>
    </xf>
    <xf numFmtId="0" fontId="15" fillId="0" borderId="0" xfId="0" applyFont="1" applyAlignment="1" applyProtection="1"/>
    <xf numFmtId="0" fontId="15" fillId="0" borderId="0" xfId="0" applyFont="1" applyProtection="1"/>
    <xf numFmtId="0" fontId="27" fillId="0" borderId="0" xfId="543" applyFont="1" applyFill="1" applyProtection="1"/>
    <xf numFmtId="0" fontId="14" fillId="0" borderId="0" xfId="0" applyFont="1" applyFill="1" applyBorder="1" applyProtection="1"/>
    <xf numFmtId="1" fontId="15" fillId="0" borderId="0" xfId="0" applyNumberFormat="1" applyFont="1" applyBorder="1" applyAlignment="1" applyProtection="1">
      <alignment horizontal="left"/>
    </xf>
    <xf numFmtId="0" fontId="0" fillId="0" borderId="0" xfId="0" applyFill="1" applyProtection="1"/>
    <xf numFmtId="0" fontId="17" fillId="0" borderId="0" xfId="0" applyFont="1" applyProtection="1"/>
    <xf numFmtId="1" fontId="15" fillId="0" borderId="0" xfId="0" applyNumberFormat="1" applyFont="1" applyBorder="1" applyAlignment="1" applyProtection="1">
      <alignment horizontal="right"/>
    </xf>
    <xf numFmtId="0" fontId="0" fillId="0" borderId="0" xfId="0" applyBorder="1" applyAlignment="1" applyProtection="1">
      <alignment horizontal="right"/>
    </xf>
    <xf numFmtId="1" fontId="15" fillId="0" borderId="0" xfId="0" applyNumberFormat="1" applyFont="1" applyFill="1" applyBorder="1" applyAlignment="1" applyProtection="1">
      <alignment horizontal="left"/>
    </xf>
    <xf numFmtId="0" fontId="0" fillId="0" borderId="0" xfId="0" applyBorder="1" applyAlignment="1" applyProtection="1">
      <alignment horizontal="left"/>
    </xf>
    <xf numFmtId="0" fontId="15" fillId="0" borderId="0" xfId="0" applyFont="1" applyBorder="1" applyAlignment="1" applyProtection="1">
      <alignment horizontal="left"/>
    </xf>
    <xf numFmtId="0" fontId="15" fillId="0" borderId="0" xfId="0" applyFont="1" applyFill="1" applyBorder="1" applyAlignment="1" applyProtection="1">
      <alignment horizontal="left"/>
    </xf>
    <xf numFmtId="0" fontId="26" fillId="0" borderId="0" xfId="0" applyFont="1" applyBorder="1" applyProtection="1"/>
    <xf numFmtId="0" fontId="19" fillId="0" borderId="0" xfId="0" applyFont="1" applyBorder="1" applyProtection="1"/>
    <xf numFmtId="0" fontId="14" fillId="0" borderId="0" xfId="0" applyFont="1" applyBorder="1" applyProtection="1"/>
    <xf numFmtId="0" fontId="14" fillId="0" borderId="0" xfId="0" applyFont="1" applyProtection="1"/>
    <xf numFmtId="0" fontId="7" fillId="0" borderId="0" xfId="543" applyFont="1" applyProtection="1"/>
    <xf numFmtId="172" fontId="7" fillId="0" borderId="0" xfId="543" applyNumberFormat="1" applyFont="1" applyAlignment="1" applyProtection="1"/>
    <xf numFmtId="9" fontId="7" fillId="0" borderId="0" xfId="543" applyNumberFormat="1" applyFont="1" applyAlignment="1" applyProtection="1">
      <alignment horizontal="left"/>
    </xf>
    <xf numFmtId="168" fontId="7" fillId="0" borderId="0" xfId="543" applyNumberFormat="1" applyFont="1" applyProtection="1"/>
    <xf numFmtId="168" fontId="7" fillId="0" borderId="0" xfId="543" applyNumberFormat="1" applyFont="1" applyFill="1" applyProtection="1"/>
    <xf numFmtId="0" fontId="7" fillId="0" borderId="0" xfId="543" applyFont="1" applyFill="1" applyProtection="1"/>
    <xf numFmtId="0" fontId="16" fillId="0" borderId="0" xfId="0" applyFont="1" applyBorder="1" applyProtection="1"/>
    <xf numFmtId="0" fontId="7" fillId="0" borderId="0" xfId="0" applyFont="1" applyProtection="1"/>
    <xf numFmtId="0" fontId="16" fillId="0" borderId="0" xfId="0" applyFont="1" applyBorder="1" applyAlignment="1" applyProtection="1">
      <alignment horizontal="right"/>
    </xf>
    <xf numFmtId="0" fontId="16" fillId="0" borderId="0" xfId="0" applyFont="1" applyFill="1" applyBorder="1" applyProtection="1"/>
    <xf numFmtId="0" fontId="30" fillId="0" borderId="0" xfId="0" applyFont="1" applyProtection="1"/>
    <xf numFmtId="0" fontId="16" fillId="0" borderId="0" xfId="0" applyFont="1" applyFill="1" applyBorder="1" applyAlignment="1" applyProtection="1">
      <alignment horizontal="left"/>
    </xf>
    <xf numFmtId="0" fontId="18" fillId="0" borderId="0" xfId="0" applyFont="1" applyFill="1" applyBorder="1" applyProtection="1"/>
    <xf numFmtId="0" fontId="20" fillId="0" borderId="0" xfId="0" applyFont="1" applyProtection="1"/>
    <xf numFmtId="0" fontId="14" fillId="0" borderId="6" xfId="0" applyFont="1" applyBorder="1" applyAlignment="1" applyProtection="1">
      <alignment horizontal="center"/>
    </xf>
    <xf numFmtId="0" fontId="17" fillId="0" borderId="0" xfId="0" applyFont="1" applyFill="1" applyBorder="1" applyProtection="1"/>
    <xf numFmtId="0" fontId="26"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4" fillId="0" borderId="1"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4" fillId="0" borderId="4" xfId="0" applyFont="1" applyBorder="1" applyAlignment="1" applyProtection="1">
      <alignment horizontal="center"/>
    </xf>
    <xf numFmtId="0" fontId="23" fillId="0" borderId="3" xfId="0" applyFont="1" applyFill="1" applyBorder="1" applyAlignment="1" applyProtection="1">
      <alignment horizontal="left"/>
    </xf>
    <xf numFmtId="0" fontId="23" fillId="0" borderId="9" xfId="0" applyFont="1" applyFill="1" applyBorder="1" applyAlignment="1" applyProtection="1">
      <alignment horizontal="lef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23" fillId="0" borderId="0" xfId="0" applyFont="1" applyFill="1" applyBorder="1" applyAlignment="1" applyProtection="1">
      <alignment horizontal="left"/>
    </xf>
    <xf numFmtId="0" fontId="0" fillId="0" borderId="0" xfId="0" applyFill="1" applyBorder="1" applyAlignment="1" applyProtection="1"/>
    <xf numFmtId="0" fontId="14" fillId="0" borderId="0" xfId="0" applyFont="1" applyBorder="1" applyAlignment="1" applyProtection="1">
      <alignment horizontal="right"/>
    </xf>
    <xf numFmtId="0" fontId="0" fillId="0" borderId="0" xfId="0" applyFill="1" applyBorder="1" applyAlignment="1" applyProtection="1">
      <alignment horizontal="right"/>
    </xf>
    <xf numFmtId="0" fontId="14" fillId="0" borderId="0" xfId="0" applyFont="1" applyFill="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6" fillId="0" borderId="11" xfId="0" applyFont="1" applyBorder="1" applyAlignment="1" applyProtection="1">
      <alignment horizontal="left"/>
    </xf>
    <xf numFmtId="0" fontId="14"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4" fillId="0" borderId="0" xfId="0" applyFont="1" applyAlignment="1" applyProtection="1"/>
    <xf numFmtId="0" fontId="16" fillId="0" borderId="3" xfId="0" applyFont="1" applyBorder="1" applyProtection="1"/>
    <xf numFmtId="0" fontId="16" fillId="0" borderId="0" xfId="543" applyFont="1" applyProtection="1"/>
    <xf numFmtId="0" fontId="32" fillId="0" borderId="0" xfId="543" applyFont="1" applyAlignment="1" applyProtection="1"/>
    <xf numFmtId="49" fontId="7" fillId="0" borderId="0" xfId="543" applyNumberFormat="1" applyFont="1" applyProtection="1"/>
    <xf numFmtId="0" fontId="30" fillId="0" borderId="0" xfId="543" applyFont="1" applyProtection="1"/>
    <xf numFmtId="168" fontId="27" fillId="0" borderId="6" xfId="543" applyNumberFormat="1" applyFont="1" applyFill="1" applyBorder="1" applyAlignment="1" applyProtection="1">
      <alignment horizontal="left"/>
    </xf>
    <xf numFmtId="168" fontId="27" fillId="0" borderId="6" xfId="543" applyNumberFormat="1" applyFont="1" applyFill="1" applyBorder="1" applyAlignment="1" applyProtection="1">
      <alignment horizontal="center"/>
    </xf>
    <xf numFmtId="0" fontId="7" fillId="2" borderId="3" xfId="543" applyFont="1" applyFill="1" applyBorder="1" applyProtection="1"/>
    <xf numFmtId="0" fontId="7" fillId="2" borderId="4" xfId="543" applyFont="1" applyFill="1" applyBorder="1" applyProtection="1"/>
    <xf numFmtId="0" fontId="7" fillId="2" borderId="5" xfId="543" applyFont="1" applyFill="1" applyBorder="1" applyProtection="1"/>
    <xf numFmtId="0" fontId="7" fillId="0" borderId="8" xfId="543" applyFont="1" applyBorder="1" applyProtection="1"/>
    <xf numFmtId="0" fontId="27" fillId="0" borderId="0" xfId="543" applyFont="1" applyBorder="1" applyAlignment="1" applyProtection="1">
      <alignment horizontal="center"/>
    </xf>
    <xf numFmtId="0" fontId="7" fillId="0" borderId="0" xfId="543" applyFont="1" applyBorder="1" applyProtection="1"/>
    <xf numFmtId="0" fontId="26" fillId="0" borderId="9" xfId="543" applyFont="1" applyBorder="1" applyAlignment="1" applyProtection="1">
      <alignment horizontal="left" vertical="top" wrapText="1"/>
    </xf>
    <xf numFmtId="0" fontId="26" fillId="0" borderId="6" xfId="543" applyFont="1" applyBorder="1" applyAlignment="1" applyProtection="1">
      <alignment horizontal="center" vertical="top" wrapText="1"/>
    </xf>
    <xf numFmtId="0" fontId="7" fillId="0" borderId="9" xfId="543" applyFont="1" applyBorder="1" applyProtection="1"/>
    <xf numFmtId="0" fontId="7" fillId="0" borderId="10" xfId="543" applyFont="1" applyBorder="1" applyProtection="1"/>
    <xf numFmtId="0" fontId="7" fillId="0" borderId="1" xfId="543" applyFont="1" applyBorder="1" applyProtection="1"/>
    <xf numFmtId="0" fontId="27" fillId="0" borderId="2" xfId="543" applyFont="1" applyBorder="1" applyAlignment="1" applyProtection="1">
      <alignment horizontal="center"/>
    </xf>
    <xf numFmtId="0" fontId="29"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7" fillId="0" borderId="12" xfId="543" applyFont="1" applyBorder="1" applyProtection="1"/>
    <xf numFmtId="0" fontId="29" fillId="0" borderId="0" xfId="543" applyFont="1" applyBorder="1" applyAlignment="1" applyProtection="1">
      <alignment horizontal="center" vertical="top" wrapText="1"/>
    </xf>
    <xf numFmtId="0" fontId="29" fillId="0" borderId="9" xfId="543" applyFont="1" applyBorder="1" applyAlignment="1" applyProtection="1">
      <alignment horizontal="left" vertical="top" wrapText="1"/>
    </xf>
    <xf numFmtId="0" fontId="7" fillId="0" borderId="2" xfId="543" applyFont="1" applyBorder="1" applyProtection="1"/>
    <xf numFmtId="0" fontId="7" fillId="0" borderId="7" xfId="543" applyFont="1" applyBorder="1" applyProtection="1"/>
    <xf numFmtId="172" fontId="7" fillId="0" borderId="0" xfId="543" applyNumberFormat="1" applyFont="1" applyProtection="1"/>
    <xf numFmtId="172" fontId="7" fillId="0" borderId="0" xfId="543" applyNumberFormat="1" applyFont="1" applyBorder="1" applyAlignment="1" applyProtection="1"/>
    <xf numFmtId="0" fontId="26" fillId="0" borderId="0" xfId="543" applyFont="1" applyAlignment="1" applyProtection="1"/>
    <xf numFmtId="0" fontId="7" fillId="0" borderId="0" xfId="543" applyFont="1" applyFill="1" applyAlignment="1" applyProtection="1">
      <alignment horizontal="center"/>
    </xf>
    <xf numFmtId="0" fontId="16" fillId="0" borderId="0" xfId="0" applyFont="1" applyFill="1" applyProtection="1"/>
    <xf numFmtId="0" fontId="32" fillId="0" borderId="0" xfId="543" applyFont="1" applyProtection="1"/>
    <xf numFmtId="0" fontId="16" fillId="0" borderId="0" xfId="0" applyFont="1" applyAlignment="1" applyProtection="1">
      <alignment horizontal="center"/>
    </xf>
    <xf numFmtId="0" fontId="15" fillId="0" borderId="6" xfId="543" applyFont="1" applyBorder="1" applyAlignment="1" applyProtection="1">
      <alignment vertical="top" wrapText="1"/>
    </xf>
    <xf numFmtId="0" fontId="14" fillId="0" borderId="0" xfId="0" applyFont="1" applyAlignment="1" applyProtection="1">
      <alignment horizontal="left"/>
    </xf>
    <xf numFmtId="0" fontId="16" fillId="0" borderId="0" xfId="0" applyFont="1" applyAlignment="1" applyProtection="1">
      <alignment horizontal="left"/>
    </xf>
    <xf numFmtId="0" fontId="14" fillId="0" borderId="0" xfId="0" applyFont="1" applyAlignment="1" applyProtection="1">
      <alignment horizontal="right"/>
    </xf>
    <xf numFmtId="0" fontId="16" fillId="0" borderId="0" xfId="0" applyFont="1" applyAlignment="1" applyProtection="1">
      <alignment horizontal="right"/>
    </xf>
    <xf numFmtId="0" fontId="16"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NumberFormat="1" applyFont="1" applyAlignment="1" applyProtection="1"/>
    <xf numFmtId="0" fontId="14" fillId="0" borderId="6" xfId="0" applyFont="1" applyBorder="1" applyAlignment="1" applyProtection="1">
      <alignment horizontal="right"/>
    </xf>
    <xf numFmtId="0" fontId="13" fillId="0" borderId="0" xfId="0" applyFont="1" applyFill="1" applyBorder="1" applyAlignment="1" applyProtection="1">
      <alignment horizontal="center" vertical="center"/>
    </xf>
    <xf numFmtId="0" fontId="14" fillId="0" borderId="0" xfId="0" applyFont="1" applyAlignment="1" applyProtection="1">
      <alignment vertical="top"/>
    </xf>
    <xf numFmtId="166" fontId="0" fillId="0" borderId="0" xfId="0" applyNumberFormat="1" applyFill="1" applyBorder="1" applyAlignment="1" applyProtection="1">
      <alignment horizontal="right"/>
    </xf>
    <xf numFmtId="0" fontId="16" fillId="0" borderId="0" xfId="0" applyFont="1" applyBorder="1" applyAlignment="1" applyProtection="1">
      <alignment horizontal="left"/>
    </xf>
    <xf numFmtId="0" fontId="0" fillId="0" borderId="4" xfId="0" applyFill="1" applyBorder="1" applyProtection="1"/>
    <xf numFmtId="0" fontId="16" fillId="0" borderId="0" xfId="0" applyFont="1"/>
    <xf numFmtId="0" fontId="16" fillId="0" borderId="0" xfId="0" applyFont="1" applyBorder="1"/>
    <xf numFmtId="0" fontId="16" fillId="0" borderId="0" xfId="0" applyFont="1" applyAlignment="1">
      <alignment horizontal="left"/>
    </xf>
    <xf numFmtId="0" fontId="37" fillId="0" borderId="0" xfId="0" applyFont="1"/>
    <xf numFmtId="0" fontId="24" fillId="0" borderId="0" xfId="0" applyFont="1"/>
    <xf numFmtId="0" fontId="14" fillId="0" borderId="0" xfId="0" applyNumberFormat="1" applyFont="1"/>
    <xf numFmtId="0" fontId="7" fillId="0" borderId="0" xfId="0" applyFont="1" applyBorder="1"/>
    <xf numFmtId="0" fontId="8" fillId="0" borderId="0" xfId="244" applyBorder="1" applyProtection="1"/>
    <xf numFmtId="0" fontId="8" fillId="0" borderId="0" xfId="244" applyFill="1" applyBorder="1" applyAlignment="1">
      <alignment horizontal="center" vertical="center"/>
    </xf>
    <xf numFmtId="0" fontId="7" fillId="0" borderId="3" xfId="543" applyFont="1" applyBorder="1" applyProtection="1"/>
    <xf numFmtId="0" fontId="29" fillId="0" borderId="4" xfId="543" applyNumberFormat="1" applyFont="1" applyBorder="1" applyAlignment="1" applyProtection="1">
      <alignment horizontal="right" vertical="top" wrapText="1"/>
    </xf>
    <xf numFmtId="0" fontId="16" fillId="0" borderId="6" xfId="0" applyFont="1" applyBorder="1" applyProtection="1"/>
    <xf numFmtId="168" fontId="15" fillId="0" borderId="6" xfId="0" applyNumberFormat="1" applyFont="1" applyBorder="1" applyAlignment="1" applyProtection="1"/>
    <xf numFmtId="0" fontId="16" fillId="0" borderId="2" xfId="0" applyFont="1" applyBorder="1" applyProtection="1"/>
    <xf numFmtId="0" fontId="16" fillId="0" borderId="7" xfId="0" applyFont="1" applyBorder="1" applyProtection="1"/>
    <xf numFmtId="0" fontId="16" fillId="0" borderId="12" xfId="0" applyFont="1" applyBorder="1" applyProtection="1"/>
    <xf numFmtId="0" fontId="16" fillId="0" borderId="9" xfId="0" applyFont="1" applyBorder="1" applyProtection="1"/>
    <xf numFmtId="0" fontId="16" fillId="0" borderId="10" xfId="0" applyFont="1" applyBorder="1" applyProtection="1"/>
    <xf numFmtId="0" fontId="21" fillId="0" borderId="6" xfId="0" applyFont="1" applyBorder="1" applyAlignment="1" applyProtection="1">
      <alignment vertical="top" wrapText="1"/>
    </xf>
    <xf numFmtId="0" fontId="21" fillId="0" borderId="5" xfId="0" applyFont="1" applyBorder="1" applyAlignment="1" applyProtection="1">
      <alignment vertical="top" wrapText="1"/>
    </xf>
    <xf numFmtId="0" fontId="21" fillId="0" borderId="4" xfId="0" applyFont="1" applyBorder="1" applyAlignment="1" applyProtection="1">
      <alignment vertical="top" wrapText="1"/>
    </xf>
    <xf numFmtId="0" fontId="21"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4" fillId="0" borderId="2" xfId="0" applyFont="1" applyBorder="1" applyProtection="1"/>
    <xf numFmtId="1" fontId="7" fillId="0" borderId="0" xfId="543" applyNumberFormat="1" applyFont="1" applyAlignme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6" fillId="0" borderId="0" xfId="0" applyNumberFormat="1" applyFont="1" applyAlignment="1" applyProtection="1">
      <alignment horizontal="left" vertical="top"/>
    </xf>
    <xf numFmtId="0" fontId="16" fillId="0" borderId="0" xfId="0" applyNumberFormat="1" applyFont="1" applyProtection="1"/>
    <xf numFmtId="0" fontId="7" fillId="0" borderId="0" xfId="0" applyFont="1" applyBorder="1" applyProtection="1"/>
    <xf numFmtId="0" fontId="7" fillId="0" borderId="0" xfId="0" applyFont="1" applyBorder="1" applyAlignment="1" applyProtection="1"/>
    <xf numFmtId="0" fontId="7" fillId="0" borderId="0" xfId="0" applyFont="1" applyBorder="1" applyAlignment="1" applyProtection="1">
      <alignment horizontal="left"/>
    </xf>
    <xf numFmtId="0" fontId="7" fillId="0" borderId="0" xfId="0" applyFont="1" applyAlignment="1" applyProtection="1">
      <alignment vertical="top"/>
    </xf>
    <xf numFmtId="0" fontId="7" fillId="0" borderId="0" xfId="0" applyFont="1" applyAlignment="1" applyProtection="1"/>
    <xf numFmtId="0" fontId="16" fillId="0" borderId="0" xfId="0" applyFont="1" applyFill="1"/>
    <xf numFmtId="0" fontId="14"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6" fillId="0" borderId="0" xfId="0" applyFont="1"/>
    <xf numFmtId="0" fontId="7" fillId="0" borderId="3" xfId="0" applyFont="1" applyBorder="1" applyProtection="1"/>
    <xf numFmtId="0" fontId="7"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1" fillId="3" borderId="4" xfId="0" applyFont="1" applyFill="1" applyBorder="1" applyAlignment="1" applyProtection="1">
      <alignment vertical="top" wrapText="1"/>
    </xf>
    <xf numFmtId="0" fontId="21" fillId="3" borderId="5" xfId="0" applyFont="1" applyFill="1" applyBorder="1" applyAlignment="1" applyProtection="1">
      <alignment vertical="top" wrapText="1"/>
    </xf>
    <xf numFmtId="0" fontId="39" fillId="0" borderId="0" xfId="0" applyFont="1"/>
    <xf numFmtId="0" fontId="16" fillId="0" borderId="4" xfId="0" applyFont="1" applyBorder="1"/>
    <xf numFmtId="0" fontId="14" fillId="0" borderId="4" xfId="0" applyFont="1" applyFill="1" applyBorder="1"/>
    <xf numFmtId="0" fontId="14" fillId="0" borderId="0" xfId="0" applyFont="1" applyBorder="1"/>
    <xf numFmtId="0" fontId="14" fillId="0" borderId="0" xfId="0" applyFont="1" applyFill="1" applyBorder="1"/>
    <xf numFmtId="0" fontId="14" fillId="0" borderId="2" xfId="0" applyFont="1" applyBorder="1" applyAlignment="1" applyProtection="1">
      <alignment horizontal="center"/>
    </xf>
    <xf numFmtId="0" fontId="14" fillId="0" borderId="0" xfId="0" applyFont="1" applyBorder="1" applyAlignment="1" applyProtection="1">
      <alignment horizontal="center" vertical="center" wrapText="1"/>
    </xf>
    <xf numFmtId="0" fontId="14" fillId="0" borderId="7" xfId="543" applyFont="1" applyBorder="1" applyAlignment="1" applyProtection="1">
      <alignment horizontal="right"/>
    </xf>
    <xf numFmtId="0" fontId="15" fillId="0" borderId="9" xfId="543" applyFont="1" applyBorder="1" applyProtection="1"/>
    <xf numFmtId="0" fontId="16" fillId="0" borderId="6" xfId="543" applyFont="1" applyBorder="1" applyProtection="1"/>
    <xf numFmtId="0" fontId="15" fillId="0" borderId="6" xfId="543" applyFont="1" applyBorder="1" applyAlignment="1" applyProtection="1">
      <alignment horizontal="right"/>
    </xf>
    <xf numFmtId="0" fontId="14" fillId="0" borderId="0" xfId="0" applyFont="1" applyBorder="1" applyAlignment="1" applyProtection="1">
      <alignment horizontal="center" vertical="center"/>
    </xf>
    <xf numFmtId="0" fontId="16" fillId="0" borderId="0" xfId="0" applyFont="1" applyBorder="1" applyAlignment="1" applyProtection="1">
      <alignment horizontal="left" vertical="center"/>
    </xf>
    <xf numFmtId="0" fontId="0" fillId="0" borderId="0" xfId="0" applyBorder="1" applyAlignment="1" applyProtection="1"/>
    <xf numFmtId="0" fontId="16" fillId="0" borderId="0" xfId="0" applyFont="1" applyFill="1" applyBorder="1" applyAlignment="1" applyProtection="1">
      <alignment horizontal="left" vertical="center"/>
    </xf>
    <xf numFmtId="0" fontId="16" fillId="0" borderId="0" xfId="0" applyNumberFormat="1" applyFont="1" applyAlignment="1" applyProtection="1">
      <alignment vertical="top"/>
    </xf>
    <xf numFmtId="0" fontId="45" fillId="0" borderId="3" xfId="0" applyFont="1" applyBorder="1" applyAlignment="1" applyProtection="1">
      <alignment horizontal="left" vertical="top"/>
    </xf>
    <xf numFmtId="0" fontId="45" fillId="0" borderId="13" xfId="0" applyFont="1" applyBorder="1" applyAlignment="1" applyProtection="1">
      <alignment horizontal="center" wrapText="1"/>
    </xf>
    <xf numFmtId="0" fontId="45" fillId="0" borderId="13" xfId="0" applyFont="1" applyFill="1" applyBorder="1" applyAlignment="1" applyProtection="1">
      <alignment horizontal="center" vertical="top" wrapText="1"/>
    </xf>
    <xf numFmtId="0" fontId="45" fillId="2" borderId="13" xfId="0" applyFont="1" applyFill="1" applyBorder="1" applyAlignment="1" applyProtection="1">
      <alignment horizontal="center" wrapText="1"/>
    </xf>
    <xf numFmtId="0" fontId="46" fillId="2" borderId="11" xfId="0" applyFont="1" applyFill="1" applyBorder="1" applyAlignment="1" applyProtection="1">
      <alignment horizontal="left" vertical="top" wrapText="1"/>
    </xf>
    <xf numFmtId="0" fontId="47" fillId="4" borderId="11" xfId="0" applyFont="1" applyFill="1" applyBorder="1" applyAlignment="1" applyProtection="1">
      <alignment vertical="top" wrapText="1"/>
    </xf>
    <xf numFmtId="0" fontId="47" fillId="2" borderId="11" xfId="0" applyFont="1" applyFill="1" applyBorder="1" applyAlignment="1" applyProtection="1">
      <alignment vertical="top" wrapText="1"/>
    </xf>
    <xf numFmtId="0" fontId="47" fillId="0" borderId="11" xfId="0" applyFont="1" applyBorder="1" applyAlignment="1" applyProtection="1">
      <alignment vertical="top" wrapText="1"/>
    </xf>
    <xf numFmtId="0" fontId="47" fillId="0" borderId="11" xfId="0" applyFont="1" applyBorder="1" applyAlignment="1" applyProtection="1">
      <alignment horizontal="right" vertical="top" wrapText="1"/>
    </xf>
    <xf numFmtId="168" fontId="47" fillId="0" borderId="11" xfId="0" applyNumberFormat="1" applyFont="1" applyFill="1" applyBorder="1" applyAlignment="1" applyProtection="1">
      <alignment vertical="top" wrapText="1"/>
    </xf>
    <xf numFmtId="168" fontId="47" fillId="5" borderId="11" xfId="0" applyNumberFormat="1" applyFont="1" applyFill="1" applyBorder="1" applyAlignment="1" applyProtection="1">
      <alignment vertical="top" wrapText="1"/>
      <protection locked="0"/>
    </xf>
    <xf numFmtId="168" fontId="47" fillId="6" borderId="11" xfId="0" applyNumberFormat="1" applyFont="1" applyFill="1" applyBorder="1" applyAlignment="1" applyProtection="1">
      <alignment horizontal="center" vertical="top" wrapText="1"/>
    </xf>
    <xf numFmtId="0" fontId="45" fillId="0" borderId="11" xfId="0" applyFont="1" applyBorder="1" applyAlignment="1" applyProtection="1">
      <alignment horizontal="right" vertical="top" wrapText="1"/>
    </xf>
    <xf numFmtId="168" fontId="45"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47" fillId="5" borderId="11" xfId="0" applyFont="1" applyFill="1" applyBorder="1" applyAlignment="1" applyProtection="1">
      <alignment horizontal="right" vertical="top" wrapText="1"/>
      <protection locked="0"/>
    </xf>
    <xf numFmtId="0" fontId="45" fillId="2" borderId="11" xfId="0" applyFont="1" applyFill="1" applyBorder="1" applyAlignment="1" applyProtection="1">
      <alignment vertical="top" wrapText="1"/>
    </xf>
    <xf numFmtId="0" fontId="45" fillId="0" borderId="11" xfId="0" applyFont="1" applyBorder="1" applyAlignment="1" applyProtection="1">
      <alignment vertical="top" wrapText="1"/>
    </xf>
    <xf numFmtId="0" fontId="10" fillId="0" borderId="11" xfId="0" applyFont="1" applyBorder="1" applyAlignment="1" applyProtection="1">
      <alignment horizontal="right" vertical="top" wrapText="1"/>
    </xf>
    <xf numFmtId="0" fontId="47" fillId="0" borderId="11"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47" fillId="0" borderId="0" xfId="0" applyFont="1" applyBorder="1" applyAlignment="1" applyProtection="1">
      <alignment horizontal="left" vertical="top"/>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5" fillId="0" borderId="0" xfId="0" applyFont="1" applyBorder="1" applyAlignment="1" applyProtection="1">
      <alignment horizontal="right" vertical="top"/>
    </xf>
    <xf numFmtId="0" fontId="47" fillId="2" borderId="0" xfId="0" applyFont="1" applyFill="1" applyBorder="1" applyAlignment="1" applyProtection="1">
      <alignment vertical="top" wrapText="1"/>
    </xf>
    <xf numFmtId="0" fontId="45" fillId="0" borderId="0" xfId="0" applyFont="1" applyBorder="1" applyAlignment="1" applyProtection="1">
      <alignment vertical="top"/>
    </xf>
    <xf numFmtId="168" fontId="45"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7" fillId="0" borderId="0" xfId="0" applyFont="1" applyFill="1" applyBorder="1" applyAlignment="1" applyProtection="1"/>
    <xf numFmtId="166" fontId="16" fillId="0" borderId="0" xfId="0" applyNumberFormat="1" applyFont="1" applyFill="1" applyBorder="1" applyAlignment="1" applyProtection="1">
      <alignment horizontal="left"/>
    </xf>
    <xf numFmtId="0" fontId="7" fillId="0" borderId="0" xfId="0" applyFont="1" applyFill="1" applyProtection="1"/>
    <xf numFmtId="0" fontId="7" fillId="0" borderId="0" xfId="0" applyFont="1" applyFill="1" applyBorder="1" applyProtection="1"/>
    <xf numFmtId="0" fontId="48" fillId="0" borderId="0" xfId="0" applyFont="1" applyFill="1" applyBorder="1" applyProtection="1"/>
    <xf numFmtId="0" fontId="7" fillId="0" borderId="0" xfId="244" applyFont="1" applyFill="1" applyBorder="1" applyAlignment="1" applyProtection="1">
      <alignment horizontal="left"/>
    </xf>
    <xf numFmtId="0" fontId="38" fillId="0" borderId="0" xfId="0" applyFont="1" applyFill="1" applyAlignment="1" applyProtection="1"/>
    <xf numFmtId="0" fontId="38" fillId="0" borderId="0" xfId="0" applyFont="1" applyFill="1" applyProtection="1"/>
    <xf numFmtId="0" fontId="38" fillId="0" borderId="0" xfId="244" applyFont="1" applyFill="1" applyBorder="1" applyAlignment="1" applyProtection="1">
      <alignment horizontal="left"/>
    </xf>
    <xf numFmtId="0" fontId="13" fillId="3" borderId="11" xfId="0" applyFont="1" applyFill="1" applyBorder="1" applyAlignment="1" applyProtection="1">
      <alignment vertical="top"/>
    </xf>
    <xf numFmtId="168" fontId="16" fillId="0" borderId="0" xfId="0" applyNumberFormat="1" applyFont="1"/>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27" fillId="0" borderId="0" xfId="0" applyFont="1" applyFill="1"/>
    <xf numFmtId="0" fontId="50" fillId="0" borderId="0" xfId="0" applyFont="1"/>
    <xf numFmtId="0" fontId="7" fillId="0" borderId="0" xfId="0" applyFont="1" applyFill="1" applyBorder="1" applyAlignment="1" applyProtection="1">
      <alignment horizontal="left"/>
    </xf>
    <xf numFmtId="0" fontId="25" fillId="0" borderId="0" xfId="0" applyFont="1" applyAlignment="1" applyProtection="1">
      <alignment horizontal="center"/>
    </xf>
    <xf numFmtId="0" fontId="25" fillId="0" borderId="0" xfId="0" applyFont="1" applyAlignment="1" applyProtection="1"/>
    <xf numFmtId="0" fontId="25" fillId="0" borderId="0" xfId="0" applyFont="1" applyFill="1" applyAlignment="1" applyProtection="1">
      <alignment horizontal="center"/>
    </xf>
    <xf numFmtId="0" fontId="25" fillId="0" borderId="0" xfId="0" applyFont="1" applyAlignment="1" applyProtection="1">
      <alignment horizontal="left"/>
    </xf>
    <xf numFmtId="0" fontId="25" fillId="0" borderId="0" xfId="0" applyFont="1" applyProtection="1"/>
    <xf numFmtId="49" fontId="14" fillId="0" borderId="0" xfId="0" applyNumberFormat="1" applyFont="1" applyAlignment="1" applyProtection="1">
      <alignment horizontal="center"/>
    </xf>
    <xf numFmtId="0" fontId="42" fillId="0" borderId="0" xfId="0" applyFont="1" applyAlignment="1" applyProtection="1">
      <alignment horizontal="center"/>
    </xf>
    <xf numFmtId="0" fontId="41" fillId="0" borderId="0" xfId="244" applyFont="1" applyAlignment="1" applyProtection="1">
      <alignment horizontal="center"/>
    </xf>
    <xf numFmtId="0" fontId="16" fillId="0" borderId="0" xfId="0" quotePrefix="1" applyFont="1" applyAlignment="1" applyProtection="1">
      <alignment horizontal="left"/>
    </xf>
    <xf numFmtId="0" fontId="14" fillId="0" borderId="0" xfId="0" applyFont="1" applyBorder="1" applyAlignment="1" applyProtection="1"/>
    <xf numFmtId="0" fontId="16" fillId="0" borderId="0" xfId="0" applyFont="1" applyBorder="1" applyAlignment="1" applyProtection="1">
      <alignment horizontal="center"/>
    </xf>
    <xf numFmtId="49" fontId="16" fillId="0" borderId="0" xfId="0" applyNumberFormat="1" applyFont="1" applyAlignment="1" applyProtection="1">
      <alignment horizontal="center"/>
    </xf>
    <xf numFmtId="0" fontId="25" fillId="0" borderId="0" xfId="0" applyFont="1" applyBorder="1" applyAlignment="1" applyProtection="1">
      <alignment horizontal="center"/>
    </xf>
    <xf numFmtId="0" fontId="14" fillId="0" borderId="0" xfId="0" quotePrefix="1" applyFont="1" applyAlignment="1" applyProtection="1">
      <alignment horizontal="center"/>
    </xf>
    <xf numFmtId="49" fontId="0" fillId="0" borderId="0" xfId="0" applyNumberFormat="1" applyProtection="1"/>
    <xf numFmtId="0" fontId="39" fillId="0" borderId="0" xfId="0" applyFont="1" applyAlignment="1" applyProtection="1">
      <alignment horizontal="left"/>
    </xf>
    <xf numFmtId="49" fontId="16" fillId="0" borderId="0" xfId="0" applyNumberFormat="1" applyFont="1" applyProtection="1"/>
    <xf numFmtId="49" fontId="0" fillId="0" borderId="0" xfId="0" applyNumberFormat="1" applyFill="1" applyProtection="1"/>
    <xf numFmtId="0" fontId="16" fillId="0" borderId="0" xfId="0" applyFont="1" applyFill="1" applyAlignment="1" applyProtection="1">
      <alignment horizontal="center"/>
    </xf>
    <xf numFmtId="0" fontId="16" fillId="0" borderId="0" xfId="0" applyFont="1" applyFill="1" applyAlignment="1" applyProtection="1">
      <alignment horizontal="left"/>
    </xf>
    <xf numFmtId="49" fontId="16" fillId="0" borderId="0" xfId="0" applyNumberFormat="1" applyFont="1" applyFill="1" applyProtection="1"/>
    <xf numFmtId="49" fontId="14" fillId="0" borderId="0" xfId="0" applyNumberFormat="1" applyFont="1" applyAlignment="1" applyProtection="1">
      <alignment horizontal="left"/>
    </xf>
    <xf numFmtId="0" fontId="25" fillId="0" borderId="0" xfId="0" applyFont="1" applyBorder="1" applyAlignment="1" applyProtection="1">
      <alignment horizontal="left"/>
    </xf>
    <xf numFmtId="0" fontId="16" fillId="0" borderId="0" xfId="0" applyFont="1" applyFill="1" applyAlignment="1" applyProtection="1">
      <alignment horizontal="left" vertical="top"/>
    </xf>
    <xf numFmtId="0" fontId="15" fillId="0" borderId="0" xfId="0" applyFont="1" applyFill="1" applyAlignment="1" applyProtection="1">
      <alignment horizontal="left" vertical="top"/>
    </xf>
    <xf numFmtId="0" fontId="16" fillId="0" borderId="0" xfId="0" applyFont="1" applyFill="1" applyAlignment="1" applyProtection="1"/>
    <xf numFmtId="168" fontId="16"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6" fillId="0" borderId="0" xfId="0" applyNumberFormat="1" applyFont="1" applyFill="1" applyBorder="1" applyAlignment="1" applyProtection="1">
      <alignment horizontal="left" vertical="top" wrapText="1"/>
    </xf>
    <xf numFmtId="0" fontId="44" fillId="0" borderId="3" xfId="0" applyFont="1" applyBorder="1" applyProtection="1"/>
    <xf numFmtId="168" fontId="0" fillId="0" borderId="0" xfId="0" applyNumberFormat="1" applyFill="1" applyBorder="1" applyAlignment="1" applyProtection="1">
      <alignment horizontal="center"/>
    </xf>
    <xf numFmtId="0" fontId="27" fillId="0" borderId="0" xfId="0" applyFont="1" applyFill="1" applyAlignment="1">
      <alignment vertical="top" wrapText="1"/>
    </xf>
    <xf numFmtId="0" fontId="45" fillId="0" borderId="4" xfId="0" applyFont="1" applyBorder="1" applyAlignment="1" applyProtection="1">
      <alignment horizontal="right"/>
    </xf>
    <xf numFmtId="0" fontId="52" fillId="0" borderId="0" xfId="0" applyFont="1"/>
    <xf numFmtId="3" fontId="16" fillId="0" borderId="0" xfId="0" applyNumberFormat="1" applyFont="1" applyFill="1" applyBorder="1" applyAlignment="1" applyProtection="1">
      <alignment horizontal="center"/>
    </xf>
    <xf numFmtId="168" fontId="7" fillId="0" borderId="0" xfId="0" applyNumberFormat="1" applyFont="1" applyFill="1" applyBorder="1" applyAlignment="1" applyProtection="1">
      <alignment horizontal="left" vertical="top"/>
    </xf>
    <xf numFmtId="168" fontId="14"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6" fillId="0" borderId="0" xfId="0" applyFont="1" applyAlignment="1" applyProtection="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vertical="center"/>
    </xf>
    <xf numFmtId="0" fontId="47" fillId="0" borderId="11" xfId="0" applyFont="1" applyBorder="1" applyAlignment="1" applyProtection="1">
      <alignment horizontal="right" vertical="top"/>
    </xf>
    <xf numFmtId="0" fontId="47" fillId="0" borderId="0" xfId="0" applyFont="1" applyBorder="1" applyAlignment="1" applyProtection="1">
      <alignment horizontal="right" vertical="top" wrapText="1"/>
    </xf>
    <xf numFmtId="0" fontId="47" fillId="2" borderId="12" xfId="0" applyFont="1" applyFill="1" applyBorder="1" applyAlignment="1" applyProtection="1">
      <alignment vertical="top" wrapText="1"/>
    </xf>
    <xf numFmtId="0" fontId="47" fillId="0" borderId="14" xfId="0" applyFont="1" applyBorder="1" applyAlignment="1" applyProtection="1">
      <alignment vertical="top" wrapText="1"/>
    </xf>
    <xf numFmtId="168" fontId="47" fillId="5" borderId="11" xfId="0" applyNumberFormat="1" applyFont="1" applyFill="1" applyBorder="1" applyAlignment="1" applyProtection="1">
      <alignment vertical="top"/>
      <protection locked="0"/>
    </xf>
    <xf numFmtId="0" fontId="47" fillId="2" borderId="11" xfId="0" applyFont="1" applyFill="1" applyBorder="1" applyAlignment="1" applyProtection="1">
      <alignment vertical="top"/>
      <protection locked="0"/>
    </xf>
    <xf numFmtId="0" fontId="47" fillId="0" borderId="11" xfId="0" applyFont="1" applyBorder="1" applyAlignment="1" applyProtection="1">
      <alignment vertical="top"/>
      <protection locked="0"/>
    </xf>
    <xf numFmtId="168" fontId="47" fillId="0" borderId="11" xfId="0" applyNumberFormat="1" applyFont="1" applyFill="1" applyBorder="1" applyAlignment="1" applyProtection="1">
      <alignment vertical="top"/>
    </xf>
    <xf numFmtId="168" fontId="47" fillId="6" borderId="11" xfId="0" applyNumberFormat="1" applyFont="1" applyFill="1" applyBorder="1" applyAlignment="1" applyProtection="1">
      <alignment horizontal="center" vertical="top"/>
    </xf>
    <xf numFmtId="0" fontId="14" fillId="0" borderId="0" xfId="542" applyFont="1" applyAlignment="1" applyProtection="1">
      <protection locked="0"/>
    </xf>
    <xf numFmtId="0" fontId="7" fillId="0" borderId="0" xfId="539" applyAlignment="1" applyProtection="1"/>
    <xf numFmtId="0" fontId="27" fillId="8" borderId="0" xfId="539" applyFont="1" applyFill="1" applyAlignment="1" applyProtection="1">
      <alignment horizontal="centerContinuous"/>
    </xf>
    <xf numFmtId="0" fontId="7" fillId="0" borderId="0" xfId="539" applyProtection="1"/>
    <xf numFmtId="0" fontId="38" fillId="0" borderId="0" xfId="0" applyFont="1" applyProtection="1"/>
    <xf numFmtId="4" fontId="16" fillId="0" borderId="0" xfId="0" applyNumberFormat="1" applyFont="1" applyProtection="1"/>
    <xf numFmtId="0" fontId="25" fillId="0" borderId="0" xfId="0" applyFont="1" applyFill="1" applyAlignment="1">
      <alignment horizontal="center"/>
    </xf>
    <xf numFmtId="49" fontId="14" fillId="0" borderId="0" xfId="0" applyNumberFormat="1" applyFont="1" applyAlignment="1">
      <alignment horizontal="center"/>
    </xf>
    <xf numFmtId="0" fontId="14" fillId="0" borderId="0" xfId="0" applyFont="1" applyAlignment="1">
      <alignment horizontal="left"/>
    </xf>
    <xf numFmtId="49" fontId="16" fillId="0" borderId="0" xfId="0" applyNumberFormat="1" applyFont="1" applyAlignment="1">
      <alignment horizontal="center"/>
    </xf>
    <xf numFmtId="0" fontId="14" fillId="0" borderId="0" xfId="543" applyFont="1" applyProtection="1"/>
    <xf numFmtId="0" fontId="17" fillId="0" borderId="0" xfId="0" applyFont="1" applyFill="1" applyBorder="1" applyAlignment="1" applyProtection="1"/>
    <xf numFmtId="0" fontId="16" fillId="0" borderId="0" xfId="543" applyFont="1" applyAlignment="1" applyProtection="1">
      <alignment horizontal="left"/>
    </xf>
    <xf numFmtId="0" fontId="16" fillId="0" borderId="0" xfId="543" applyFont="1" applyFill="1" applyAlignment="1" applyProtection="1">
      <alignment horizontal="left"/>
    </xf>
    <xf numFmtId="0" fontId="16" fillId="0" borderId="15" xfId="0" applyFont="1" applyBorder="1" applyProtection="1"/>
    <xf numFmtId="0" fontId="16" fillId="0" borderId="11" xfId="0" applyFont="1" applyBorder="1" applyProtection="1"/>
    <xf numFmtId="2" fontId="30" fillId="0" borderId="11" xfId="0" applyNumberFormat="1" applyFont="1" applyBorder="1" applyProtection="1"/>
    <xf numFmtId="0" fontId="7" fillId="0" borderId="0" xfId="0" applyFont="1" applyProtection="1">
      <protection locked="0"/>
    </xf>
    <xf numFmtId="0" fontId="55" fillId="0" borderId="0" xfId="0" applyFont="1" applyAlignment="1">
      <alignment horizontal="center"/>
    </xf>
    <xf numFmtId="0" fontId="16" fillId="0" borderId="0" xfId="271"/>
    <xf numFmtId="0" fontId="14" fillId="0" borderId="0" xfId="271" applyFont="1"/>
    <xf numFmtId="0" fontId="16" fillId="0" borderId="0" xfId="271" applyFont="1"/>
    <xf numFmtId="0" fontId="16" fillId="0" borderId="0" xfId="271" applyFill="1"/>
    <xf numFmtId="0" fontId="16" fillId="0" borderId="0" xfId="271" applyFont="1" applyFill="1"/>
    <xf numFmtId="0" fontId="14" fillId="0" borderId="0" xfId="271" applyFont="1" applyFill="1"/>
    <xf numFmtId="0" fontId="16" fillId="0" borderId="0" xfId="271" applyAlignment="1">
      <alignment horizontal="left"/>
    </xf>
    <xf numFmtId="0" fontId="16" fillId="0" borderId="0" xfId="271" applyFill="1" applyAlignment="1">
      <alignment horizontal="left"/>
    </xf>
    <xf numFmtId="0" fontId="8" fillId="0" borderId="0" xfId="244" applyFill="1" applyBorder="1" applyProtection="1">
      <protection locked="0"/>
    </xf>
    <xf numFmtId="0" fontId="14" fillId="0" borderId="0" xfId="271" applyFont="1" applyProtection="1"/>
    <xf numFmtId="168" fontId="14" fillId="0" borderId="0"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0" fontId="0" fillId="0" borderId="5" xfId="0" applyFill="1" applyBorder="1" applyProtection="1"/>
    <xf numFmtId="0" fontId="29" fillId="0" borderId="0" xfId="543" applyNumberFormat="1" applyFont="1" applyBorder="1" applyAlignment="1" applyProtection="1">
      <alignment horizontal="right" vertical="top" wrapText="1"/>
    </xf>
    <xf numFmtId="0" fontId="27" fillId="0" borderId="2" xfId="543" applyNumberFormat="1" applyFont="1" applyBorder="1" applyAlignment="1" applyProtection="1">
      <alignment horizontal="right" vertical="top" wrapText="1"/>
    </xf>
    <xf numFmtId="0" fontId="12" fillId="0" borderId="0" xfId="0" applyFont="1"/>
    <xf numFmtId="0" fontId="57" fillId="0" borderId="0" xfId="0" applyFont="1"/>
    <xf numFmtId="0" fontId="55" fillId="0" borderId="0" xfId="0" applyFont="1"/>
    <xf numFmtId="0" fontId="27" fillId="0" borderId="0" xfId="543" applyNumberFormat="1" applyFont="1" applyBorder="1" applyAlignment="1" applyProtection="1">
      <alignment horizontal="right" vertical="top" wrapText="1"/>
    </xf>
    <xf numFmtId="0" fontId="14"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right" vertical="top" wrapText="1"/>
    </xf>
    <xf numFmtId="0" fontId="14" fillId="0" borderId="0" xfId="0" applyFont="1" applyAlignment="1">
      <alignment horizontal="center"/>
    </xf>
    <xf numFmtId="10" fontId="0" fillId="0" borderId="0" xfId="0" applyNumberFormat="1" applyAlignment="1">
      <alignment horizontal="center"/>
    </xf>
    <xf numFmtId="3" fontId="0" fillId="0" borderId="0" xfId="0" applyNumberFormat="1"/>
    <xf numFmtId="168" fontId="14" fillId="0" borderId="0" xfId="0" applyNumberFormat="1" applyFont="1" applyAlignment="1">
      <alignment horizontal="center"/>
    </xf>
    <xf numFmtId="3" fontId="0" fillId="0" borderId="0" xfId="0" applyNumberFormat="1" applyAlignment="1">
      <alignment horizontal="center"/>
    </xf>
    <xf numFmtId="3" fontId="16" fillId="0" borderId="0" xfId="0" applyNumberFormat="1" applyFont="1"/>
    <xf numFmtId="3" fontId="16" fillId="0" borderId="0" xfId="0" applyNumberFormat="1" applyFont="1" applyAlignment="1">
      <alignment horizontal="center"/>
    </xf>
    <xf numFmtId="0" fontId="56" fillId="0" borderId="0" xfId="0" applyFont="1"/>
    <xf numFmtId="168" fontId="12" fillId="0" borderId="0" xfId="0" applyNumberFormat="1" applyFont="1"/>
    <xf numFmtId="10" fontId="12" fillId="0" borderId="0" xfId="0" applyNumberFormat="1" applyFont="1" applyAlignment="1">
      <alignment horizontal="center"/>
    </xf>
    <xf numFmtId="3" fontId="59" fillId="0" borderId="0" xfId="0" applyNumberFormat="1" applyFont="1"/>
    <xf numFmtId="3" fontId="12" fillId="0" borderId="0" xfId="0" applyNumberFormat="1" applyFont="1"/>
    <xf numFmtId="168" fontId="56" fillId="0" borderId="0" xfId="0" applyNumberFormat="1" applyFont="1"/>
    <xf numFmtId="168" fontId="56" fillId="0" borderId="0" xfId="0" applyNumberFormat="1" applyFont="1" applyAlignment="1">
      <alignment horizontal="center"/>
    </xf>
    <xf numFmtId="0" fontId="12" fillId="5" borderId="0" xfId="0" applyFont="1" applyFill="1" applyAlignment="1">
      <alignment horizontal="left"/>
    </xf>
    <xf numFmtId="0" fontId="12" fillId="5" borderId="0" xfId="0" applyFont="1" applyFill="1"/>
    <xf numFmtId="10" fontId="12" fillId="0" borderId="0" xfId="0" applyNumberFormat="1" applyFont="1"/>
    <xf numFmtId="172" fontId="12" fillId="0" borderId="0" xfId="0" applyNumberFormat="1" applyFont="1"/>
    <xf numFmtId="172" fontId="12" fillId="0" borderId="0" xfId="0" applyNumberFormat="1" applyFont="1" applyAlignment="1">
      <alignment horizontal="center"/>
    </xf>
    <xf numFmtId="0" fontId="12" fillId="0" borderId="6" xfId="0" applyFont="1" applyBorder="1"/>
    <xf numFmtId="10" fontId="12" fillId="0" borderId="6" xfId="0" applyNumberFormat="1" applyFont="1" applyBorder="1" applyAlignment="1">
      <alignment horizontal="center"/>
    </xf>
    <xf numFmtId="3" fontId="12" fillId="0" borderId="6" xfId="0" applyNumberFormat="1" applyFont="1" applyBorder="1"/>
    <xf numFmtId="10" fontId="16" fillId="0" borderId="0" xfId="0" applyNumberFormat="1" applyFont="1" applyAlignment="1">
      <alignment horizontal="center"/>
    </xf>
    <xf numFmtId="168" fontId="16" fillId="0" borderId="0" xfId="0" applyNumberFormat="1" applyFont="1" applyAlignment="1">
      <alignment horizontal="center"/>
    </xf>
    <xf numFmtId="0" fontId="16" fillId="5" borderId="0" xfId="0" applyFont="1" applyFill="1"/>
    <xf numFmtId="168" fontId="16" fillId="5" borderId="0" xfId="0" applyNumberFormat="1" applyFont="1" applyFill="1"/>
    <xf numFmtId="3" fontId="16" fillId="5" borderId="0" xfId="0" applyNumberFormat="1" applyFont="1" applyFill="1"/>
    <xf numFmtId="3" fontId="16" fillId="0" borderId="0" xfId="0" applyNumberFormat="1" applyFont="1" applyAlignment="1">
      <alignment vertical="top"/>
    </xf>
    <xf numFmtId="10" fontId="14" fillId="0" borderId="0" xfId="0" applyNumberFormat="1" applyFont="1" applyFill="1" applyAlignment="1">
      <alignment horizontal="center"/>
    </xf>
    <xf numFmtId="0" fontId="55" fillId="0" borderId="6" xfId="0" applyFont="1" applyBorder="1" applyAlignment="1">
      <alignment horizontal="center"/>
    </xf>
    <xf numFmtId="3" fontId="59" fillId="0" borderId="6" xfId="0" applyNumberFormat="1" applyFont="1" applyBorder="1"/>
    <xf numFmtId="3" fontId="16" fillId="5" borderId="6" xfId="0" applyNumberFormat="1" applyFont="1" applyFill="1" applyBorder="1"/>
    <xf numFmtId="172" fontId="16" fillId="0" borderId="0" xfId="0" applyNumberFormat="1" applyFont="1" applyAlignment="1">
      <alignment horizontal="center"/>
    </xf>
    <xf numFmtId="10" fontId="60" fillId="0" borderId="0" xfId="0" applyNumberFormat="1" applyFont="1" applyAlignment="1">
      <alignment horizontal="center"/>
    </xf>
    <xf numFmtId="172" fontId="16" fillId="0" borderId="0" xfId="0" applyNumberFormat="1" applyFont="1" applyFill="1" applyAlignment="1">
      <alignment horizontal="center"/>
    </xf>
    <xf numFmtId="4" fontId="16" fillId="0" borderId="0" xfId="271" applyNumberFormat="1" applyFont="1" applyAlignment="1" applyProtection="1">
      <alignment horizontal="left"/>
    </xf>
    <xf numFmtId="2" fontId="16" fillId="0" borderId="0" xfId="0" applyNumberFormat="1" applyFont="1" applyFill="1" applyAlignment="1">
      <alignment horizontal="center"/>
    </xf>
    <xf numFmtId="0" fontId="16" fillId="0" borderId="0" xfId="271" applyFont="1" applyAlignment="1" applyProtection="1">
      <alignment horizontal="center"/>
    </xf>
    <xf numFmtId="0" fontId="0" fillId="0" borderId="0" xfId="0" applyAlignment="1">
      <alignment horizontal="right"/>
    </xf>
    <xf numFmtId="0" fontId="16" fillId="0" borderId="0" xfId="0" applyFont="1" applyBorder="1" applyAlignment="1" applyProtection="1"/>
    <xf numFmtId="0" fontId="16" fillId="9" borderId="6" xfId="0" applyFont="1" applyFill="1" applyBorder="1" applyAlignment="1" applyProtection="1"/>
    <xf numFmtId="0" fontId="16" fillId="0" borderId="0" xfId="271" applyFont="1" applyProtection="1"/>
    <xf numFmtId="0" fontId="16" fillId="0" borderId="0" xfId="271" applyProtection="1"/>
    <xf numFmtId="0" fontId="16" fillId="0" borderId="0" xfId="271" applyBorder="1" applyProtection="1"/>
    <xf numFmtId="0" fontId="14" fillId="0" borderId="0" xfId="271" applyFont="1" applyBorder="1" applyProtection="1"/>
    <xf numFmtId="0" fontId="16" fillId="0" borderId="0" xfId="271" applyFont="1" applyBorder="1" applyProtection="1"/>
    <xf numFmtId="0" fontId="16" fillId="0" borderId="0" xfId="271" applyFont="1" applyFill="1" applyBorder="1" applyProtection="1"/>
    <xf numFmtId="0" fontId="16" fillId="0" borderId="4" xfId="271" applyFont="1" applyBorder="1" applyProtection="1"/>
    <xf numFmtId="0" fontId="16" fillId="0" borderId="6" xfId="271" applyFont="1" applyBorder="1" applyProtection="1"/>
    <xf numFmtId="0" fontId="30" fillId="0" borderId="0" xfId="0" applyFont="1" applyFill="1" applyBorder="1" applyProtection="1"/>
    <xf numFmtId="0" fontId="16" fillId="0" borderId="1" xfId="0" applyFont="1" applyBorder="1" applyProtection="1"/>
    <xf numFmtId="168" fontId="16" fillId="0" borderId="3" xfId="0" applyNumberFormat="1" applyFont="1" applyFill="1" applyBorder="1" applyAlignment="1" applyProtection="1">
      <alignment vertical="top"/>
    </xf>
    <xf numFmtId="168" fontId="16" fillId="0" borderId="4" xfId="0" applyNumberFormat="1" applyFont="1" applyFill="1" applyBorder="1" applyAlignment="1" applyProtection="1">
      <alignment vertical="top"/>
    </xf>
    <xf numFmtId="168" fontId="16" fillId="0" borderId="5" xfId="0" applyNumberFormat="1" applyFont="1" applyFill="1" applyBorder="1" applyAlignment="1" applyProtection="1">
      <alignment vertical="top"/>
    </xf>
    <xf numFmtId="168" fontId="16" fillId="0" borderId="8" xfId="0" applyNumberFormat="1" applyFont="1" applyFill="1" applyBorder="1" applyAlignment="1" applyProtection="1">
      <alignment vertical="top"/>
    </xf>
    <xf numFmtId="168" fontId="16"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horizontal="right" vertical="top"/>
    </xf>
    <xf numFmtId="0" fontId="16"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5" borderId="4" xfId="0" applyNumberFormat="1" applyFont="1" applyFill="1" applyBorder="1" applyAlignment="1" applyProtection="1">
      <alignment horizontal="left" vertical="top"/>
      <protection locked="0"/>
    </xf>
    <xf numFmtId="0" fontId="16" fillId="5" borderId="5" xfId="0" applyNumberFormat="1" applyFont="1" applyFill="1" applyBorder="1" applyAlignment="1" applyProtection="1">
      <alignment horizontal="left" vertical="top"/>
      <protection locked="0"/>
    </xf>
    <xf numFmtId="0" fontId="42" fillId="0" borderId="0" xfId="0" applyFont="1" applyFill="1" applyAlignment="1" applyProtection="1">
      <alignment horizontal="center"/>
    </xf>
    <xf numFmtId="0" fontId="16" fillId="0" borderId="0" xfId="271" applyFont="1" applyAlignment="1">
      <alignment horizontal="left"/>
    </xf>
    <xf numFmtId="0" fontId="16" fillId="0" borderId="0" xfId="271" applyFont="1" applyFill="1" applyAlignment="1" applyProtection="1"/>
    <xf numFmtId="0" fontId="16" fillId="0" borderId="0" xfId="0" applyFont="1" applyFill="1" applyBorder="1" applyAlignment="1" applyProtection="1"/>
    <xf numFmtId="4" fontId="42" fillId="0" borderId="0" xfId="0" applyNumberFormat="1" applyFont="1" applyAlignment="1" applyProtection="1">
      <alignment horizontal="center"/>
    </xf>
    <xf numFmtId="4" fontId="16" fillId="0" borderId="0" xfId="0" applyNumberFormat="1" applyFont="1" applyAlignment="1" applyProtection="1">
      <alignment horizontal="center"/>
    </xf>
    <xf numFmtId="4" fontId="0" fillId="0" borderId="0" xfId="0" applyNumberFormat="1" applyFill="1" applyProtection="1"/>
    <xf numFmtId="0" fontId="26" fillId="0" borderId="1" xfId="543" applyFont="1" applyBorder="1" applyAlignment="1" applyProtection="1">
      <alignment horizontal="left" vertical="top" wrapText="1"/>
    </xf>
    <xf numFmtId="0" fontId="26" fillId="0" borderId="12" xfId="543" applyFont="1" applyBorder="1" applyAlignment="1" applyProtection="1">
      <alignment horizontal="center" vertical="top" wrapText="1"/>
    </xf>
    <xf numFmtId="0" fontId="26" fillId="0" borderId="8" xfId="543" applyFont="1" applyBorder="1" applyAlignment="1" applyProtection="1">
      <alignment horizontal="left" vertical="top" wrapText="1"/>
    </xf>
    <xf numFmtId="0" fontId="21" fillId="3" borderId="4" xfId="271" applyFont="1" applyFill="1" applyBorder="1" applyAlignment="1" applyProtection="1">
      <alignment vertical="top" wrapText="1"/>
    </xf>
    <xf numFmtId="0" fontId="13" fillId="3" borderId="11" xfId="271" applyFont="1" applyFill="1" applyBorder="1" applyAlignment="1" applyProtection="1">
      <alignment vertical="top"/>
    </xf>
    <xf numFmtId="0" fontId="14" fillId="0" borderId="9" xfId="271" applyFont="1" applyBorder="1" applyAlignment="1" applyProtection="1">
      <alignment horizontal="center" wrapText="1"/>
    </xf>
    <xf numFmtId="0" fontId="21" fillId="3" borderId="4" xfId="271" applyFont="1" applyFill="1" applyBorder="1" applyAlignment="1" applyProtection="1">
      <alignment vertical="top" wrapText="1"/>
      <protection locked="0"/>
    </xf>
    <xf numFmtId="0" fontId="21" fillId="3" borderId="5" xfId="271" applyFont="1" applyFill="1" applyBorder="1" applyAlignment="1" applyProtection="1">
      <alignment vertical="top" wrapText="1"/>
      <protection locked="0"/>
    </xf>
    <xf numFmtId="0" fontId="14" fillId="0" borderId="13" xfId="271" applyFont="1" applyBorder="1" applyAlignment="1" applyProtection="1">
      <alignment horizontal="center" wrapText="1"/>
    </xf>
    <xf numFmtId="0" fontId="39" fillId="2" borderId="11" xfId="271" applyFont="1" applyFill="1" applyBorder="1" applyAlignment="1" applyProtection="1">
      <alignment horizontal="left" vertical="top" wrapText="1"/>
    </xf>
    <xf numFmtId="0" fontId="16" fillId="0" borderId="11" xfId="271" applyFont="1" applyBorder="1" applyAlignment="1" applyProtection="1">
      <alignment vertical="top" wrapText="1"/>
      <protection locked="0"/>
    </xf>
    <xf numFmtId="168" fontId="16" fillId="5" borderId="11" xfId="271" applyNumberFormat="1" applyFont="1" applyFill="1" applyBorder="1" applyAlignment="1" applyProtection="1">
      <alignment vertical="top" wrapText="1"/>
      <protection locked="0"/>
    </xf>
    <xf numFmtId="0" fontId="16" fillId="5" borderId="3" xfId="271" applyFont="1" applyFill="1" applyBorder="1" applyAlignment="1" applyProtection="1">
      <alignment vertical="top" wrapText="1"/>
      <protection locked="0"/>
    </xf>
    <xf numFmtId="0" fontId="16" fillId="5" borderId="11" xfId="271" applyFont="1" applyFill="1" applyBorder="1" applyAlignment="1" applyProtection="1">
      <alignment vertical="top" wrapText="1"/>
      <protection locked="0"/>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14" fillId="0" borderId="11" xfId="271" applyFont="1" applyBorder="1" applyAlignment="1" applyProtection="1">
      <alignment horizontal="right" vertical="top" wrapText="1"/>
    </xf>
    <xf numFmtId="0" fontId="16" fillId="5" borderId="11" xfId="271" applyFont="1" applyFill="1" applyBorder="1" applyAlignment="1" applyProtection="1">
      <alignment horizontal="right" vertical="top" wrapText="1"/>
      <protection locked="0"/>
    </xf>
    <xf numFmtId="168" fontId="14" fillId="0" borderId="11" xfId="271" applyNumberFormat="1" applyFont="1" applyFill="1" applyBorder="1" applyAlignment="1" applyProtection="1">
      <alignment vertical="top" wrapText="1"/>
    </xf>
    <xf numFmtId="0" fontId="24" fillId="0" borderId="11" xfId="271" applyFont="1" applyBorder="1" applyAlignment="1" applyProtection="1">
      <alignment horizontal="right" vertical="top" wrapText="1"/>
    </xf>
    <xf numFmtId="0" fontId="16" fillId="0" borderId="11" xfId="271" applyFont="1" applyFill="1" applyBorder="1" applyAlignment="1" applyProtection="1">
      <alignment horizontal="right" vertical="top" wrapText="1"/>
    </xf>
    <xf numFmtId="0" fontId="21" fillId="0" borderId="0" xfId="271" applyFont="1" applyBorder="1" applyAlignment="1" applyProtection="1">
      <alignment horizontal="right" vertical="top" wrapText="1"/>
      <protection locked="0"/>
    </xf>
    <xf numFmtId="0" fontId="21" fillId="0" borderId="0" xfId="271" applyFont="1" applyBorder="1" applyAlignment="1" applyProtection="1">
      <alignment vertical="top" wrapText="1"/>
      <protection locked="0"/>
    </xf>
    <xf numFmtId="0" fontId="16" fillId="0" borderId="5" xfId="271" applyFont="1" applyBorder="1" applyAlignment="1" applyProtection="1">
      <alignment vertical="top" wrapText="1"/>
      <protection locked="0"/>
    </xf>
    <xf numFmtId="0" fontId="14" fillId="0" borderId="3" xfId="271" applyFont="1" applyBorder="1" applyAlignment="1" applyProtection="1">
      <alignment horizontal="left" vertical="top"/>
    </xf>
    <xf numFmtId="0" fontId="16" fillId="0" borderId="4" xfId="271" applyFont="1" applyBorder="1" applyAlignment="1" applyProtection="1">
      <alignment horizontal="left" vertical="top"/>
      <protection locked="0"/>
    </xf>
    <xf numFmtId="0" fontId="16" fillId="0" borderId="4" xfId="271" applyFont="1" applyBorder="1" applyAlignment="1" applyProtection="1">
      <alignment vertical="top" wrapText="1"/>
      <protection locked="0"/>
    </xf>
    <xf numFmtId="0" fontId="21" fillId="0" borderId="0" xfId="271" applyFont="1" applyBorder="1" applyAlignment="1" applyProtection="1">
      <alignment vertical="top" wrapText="1"/>
    </xf>
    <xf numFmtId="0" fontId="16" fillId="0" borderId="4" xfId="271" applyFont="1" applyBorder="1" applyAlignment="1" applyProtection="1">
      <alignment vertical="top" wrapText="1"/>
    </xf>
    <xf numFmtId="0" fontId="39" fillId="2" borderId="11" xfId="271" applyFont="1" applyFill="1" applyBorder="1" applyAlignment="1" applyProtection="1">
      <alignment horizontal="left" vertical="top" wrapText="1"/>
      <protection locked="0"/>
    </xf>
    <xf numFmtId="0" fontId="44" fillId="0" borderId="11" xfId="0" applyFont="1" applyBorder="1" applyAlignment="1" applyProtection="1">
      <alignment horizontal="right" vertical="top" wrapText="1"/>
    </xf>
    <xf numFmtId="0" fontId="53" fillId="0" borderId="0" xfId="542" applyProtection="1"/>
    <xf numFmtId="0" fontId="16" fillId="0" borderId="0" xfId="0" applyFont="1" applyFill="1" applyAlignment="1">
      <alignment horizontal="center"/>
    </xf>
    <xf numFmtId="0" fontId="16" fillId="0" borderId="0" xfId="271" applyFont="1" applyFill="1" applyAlignment="1">
      <alignment horizontal="left"/>
    </xf>
    <xf numFmtId="0" fontId="16" fillId="0" borderId="0" xfId="271" applyFont="1" applyBorder="1"/>
    <xf numFmtId="0" fontId="16" fillId="8" borderId="0" xfId="542" quotePrefix="1" applyFont="1" applyFill="1" applyAlignment="1" applyProtection="1">
      <alignment horizontal="left"/>
    </xf>
    <xf numFmtId="0" fontId="7" fillId="0" borderId="0" xfId="0" applyFont="1" applyAlignment="1" applyProtection="1">
      <alignment horizontal="left"/>
    </xf>
    <xf numFmtId="0" fontId="16" fillId="8" borderId="0" xfId="542" applyFont="1" applyFill="1" applyProtection="1"/>
    <xf numFmtId="0" fontId="24" fillId="8" borderId="0" xfId="542" applyFont="1" applyFill="1" applyAlignment="1" applyProtection="1"/>
    <xf numFmtId="0" fontId="44" fillId="0" borderId="11" xfId="271" applyFont="1" applyFill="1" applyBorder="1" applyAlignment="1" applyProtection="1">
      <alignment horizontal="right" vertical="top"/>
    </xf>
    <xf numFmtId="0" fontId="44" fillId="0" borderId="11" xfId="271" applyFont="1" applyFill="1" applyBorder="1" applyAlignment="1" applyProtection="1">
      <alignment horizontal="right" vertical="top" wrapText="1"/>
    </xf>
    <xf numFmtId="0" fontId="16" fillId="0" borderId="0" xfId="271" applyFont="1" applyFill="1" applyAlignment="1" applyProtection="1">
      <alignment horizontal="left" vertical="top"/>
    </xf>
    <xf numFmtId="0" fontId="16" fillId="0" borderId="0" xfId="271" applyNumberFormat="1" applyFont="1" applyFill="1" applyAlignment="1" applyProtection="1">
      <alignment horizontal="left" vertical="top"/>
    </xf>
    <xf numFmtId="0" fontId="14" fillId="0" borderId="0" xfId="271" applyFont="1" applyAlignment="1" applyProtection="1">
      <alignment horizontal="right"/>
    </xf>
    <xf numFmtId="0" fontId="15" fillId="0" borderId="0" xfId="271" applyFont="1" applyFill="1" applyBorder="1" applyAlignment="1" applyProtection="1">
      <alignment horizontal="center"/>
    </xf>
    <xf numFmtId="5" fontId="16" fillId="0" borderId="0" xfId="542" applyNumberFormat="1" applyFont="1" applyProtection="1"/>
    <xf numFmtId="1" fontId="16" fillId="0" borderId="15" xfId="271" applyNumberFormat="1" applyFont="1" applyBorder="1" applyProtection="1"/>
    <xf numFmtId="1" fontId="16" fillId="0" borderId="14" xfId="271" applyNumberFormat="1" applyFont="1" applyBorder="1" applyProtection="1"/>
    <xf numFmtId="0" fontId="15" fillId="0" borderId="6" xfId="271" applyFont="1" applyFill="1" applyBorder="1" applyAlignment="1" applyProtection="1">
      <alignment horizontal="left"/>
    </xf>
    <xf numFmtId="0" fontId="15" fillId="0" borderId="6" xfId="271" applyFont="1" applyFill="1" applyBorder="1" applyAlignment="1" applyProtection="1">
      <alignment horizontal="right"/>
    </xf>
    <xf numFmtId="165" fontId="16" fillId="0" borderId="0" xfId="271" applyNumberFormat="1" applyFont="1" applyProtection="1"/>
    <xf numFmtId="170" fontId="16" fillId="0" borderId="14" xfId="271" applyNumberFormat="1" applyFont="1" applyBorder="1" applyProtection="1"/>
    <xf numFmtId="1" fontId="14" fillId="0" borderId="11" xfId="271" applyNumberFormat="1" applyFont="1" applyBorder="1" applyProtection="1"/>
    <xf numFmtId="165" fontId="14" fillId="0" borderId="11" xfId="271" applyNumberFormat="1" applyFont="1" applyBorder="1" applyProtection="1"/>
    <xf numFmtId="3" fontId="47" fillId="0" borderId="11" xfId="0" applyNumberFormat="1" applyFont="1" applyBorder="1" applyAlignment="1" applyProtection="1">
      <alignment vertical="top" wrapText="1"/>
    </xf>
    <xf numFmtId="166" fontId="16" fillId="0" borderId="0" xfId="0" applyNumberFormat="1" applyFont="1" applyFill="1" applyBorder="1" applyAlignment="1" applyProtection="1"/>
    <xf numFmtId="0" fontId="0" fillId="0" borderId="0" xfId="0" applyAlignment="1" applyProtection="1">
      <protection locked="0"/>
    </xf>
    <xf numFmtId="0" fontId="16" fillId="0" borderId="0" xfId="271" applyFont="1" applyAlignment="1" applyProtection="1">
      <alignment horizontal="left"/>
    </xf>
    <xf numFmtId="49" fontId="0" fillId="0" borderId="0" xfId="0" applyNumberFormat="1" applyFill="1"/>
    <xf numFmtId="49" fontId="16" fillId="0" borderId="0" xfId="0" applyNumberFormat="1" applyFont="1" applyFill="1" applyAlignment="1">
      <alignment horizontal="center"/>
    </xf>
    <xf numFmtId="49" fontId="16" fillId="0" borderId="0" xfId="0" applyNumberFormat="1" applyFont="1" applyFill="1"/>
    <xf numFmtId="0" fontId="14" fillId="0" borderId="0" xfId="271" applyFont="1" applyFill="1" applyAlignment="1">
      <alignment horizontal="left"/>
    </xf>
    <xf numFmtId="0" fontId="12" fillId="0" borderId="0" xfId="0" applyFont="1" applyProtection="1">
      <protection locked="0"/>
    </xf>
    <xf numFmtId="0" fontId="12" fillId="0" borderId="0" xfId="271" applyFont="1" applyBorder="1" applyProtection="1">
      <protection locked="0"/>
    </xf>
    <xf numFmtId="0" fontId="12" fillId="0" borderId="11" xfId="253" applyFont="1" applyFill="1" applyBorder="1" applyAlignment="1" applyProtection="1">
      <alignment horizontal="center" wrapText="1"/>
      <protection locked="0"/>
    </xf>
    <xf numFmtId="168" fontId="12" fillId="0" borderId="0" xfId="271" applyNumberFormat="1" applyFont="1" applyBorder="1" applyProtection="1">
      <protection locked="0"/>
    </xf>
    <xf numFmtId="3" fontId="12" fillId="10" borderId="11" xfId="271" applyNumberFormat="1" applyFont="1" applyFill="1" applyBorder="1" applyProtection="1">
      <protection locked="0"/>
    </xf>
    <xf numFmtId="49" fontId="16" fillId="0" borderId="0" xfId="271" applyNumberFormat="1" applyFont="1"/>
    <xf numFmtId="4" fontId="16" fillId="0" borderId="0" xfId="271" applyNumberFormat="1" applyFont="1" applyFill="1" applyAlignment="1" applyProtection="1">
      <alignment horizontal="left"/>
    </xf>
    <xf numFmtId="0" fontId="0" fillId="0" borderId="0" xfId="0" applyFont="1" applyProtection="1"/>
    <xf numFmtId="0" fontId="20" fillId="0" borderId="1" xfId="0" applyFont="1" applyBorder="1" applyProtection="1"/>
    <xf numFmtId="0" fontId="7" fillId="0" borderId="2" xfId="0" applyFont="1" applyFill="1" applyBorder="1" applyAlignment="1" applyProtection="1">
      <alignment horizontal="left"/>
    </xf>
    <xf numFmtId="0" fontId="7" fillId="0" borderId="2" xfId="0" applyFont="1" applyBorder="1" applyProtection="1"/>
    <xf numFmtId="0" fontId="20" fillId="0" borderId="8" xfId="0" applyFont="1" applyBorder="1" applyProtection="1"/>
    <xf numFmtId="0" fontId="20" fillId="0" borderId="9" xfId="0" applyFont="1" applyBorder="1" applyProtection="1"/>
    <xf numFmtId="0" fontId="14" fillId="0" borderId="0" xfId="0" applyFont="1" applyBorder="1" applyAlignment="1" applyProtection="1">
      <alignment horizontal="left" vertical="top"/>
    </xf>
    <xf numFmtId="49" fontId="14" fillId="0" borderId="0" xfId="0" applyNumberFormat="1" applyFont="1" applyFill="1" applyAlignment="1">
      <alignment horizontal="center"/>
    </xf>
    <xf numFmtId="49" fontId="14" fillId="0" borderId="0" xfId="0" applyNumberFormat="1" applyFont="1" applyFill="1" applyAlignment="1" applyProtection="1">
      <alignment horizontal="center"/>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24" fillId="0" borderId="0" xfId="0" applyFont="1" applyFill="1"/>
    <xf numFmtId="172" fontId="16" fillId="5" borderId="0" xfId="0" applyNumberFormat="1" applyFont="1" applyFill="1" applyAlignment="1">
      <alignment horizontal="center"/>
    </xf>
    <xf numFmtId="1" fontId="16" fillId="0" borderId="0" xfId="0" applyNumberFormat="1" applyFont="1" applyFill="1" applyBorder="1" applyAlignment="1" applyProtection="1">
      <alignment horizontal="center"/>
    </xf>
    <xf numFmtId="0" fontId="14" fillId="0" borderId="0" xfId="271" applyFont="1" applyBorder="1" applyAlignment="1" applyProtection="1">
      <alignment horizontal="right"/>
    </xf>
    <xf numFmtId="165" fontId="14" fillId="0" borderId="0" xfId="271" applyNumberFormat="1" applyFont="1" applyBorder="1" applyAlignment="1" applyProtection="1">
      <alignment horizontal="center"/>
    </xf>
    <xf numFmtId="0" fontId="14" fillId="0" borderId="0" xfId="271" applyFont="1" applyBorder="1" applyAlignment="1" applyProtection="1">
      <alignment horizontal="center"/>
    </xf>
    <xf numFmtId="0" fontId="16" fillId="0" borderId="0" xfId="271" applyFont="1" applyFill="1" applyAlignment="1" applyProtection="1">
      <alignment horizontal="left"/>
      <protection locked="0"/>
    </xf>
    <xf numFmtId="0" fontId="16" fillId="0" borderId="0" xfId="0" applyFont="1" applyFill="1" applyAlignment="1" applyProtection="1">
      <alignment horizontal="left"/>
      <protection locked="0"/>
    </xf>
    <xf numFmtId="0" fontId="66" fillId="0" borderId="0" xfId="0" applyFont="1" applyBorder="1" applyAlignment="1" applyProtection="1">
      <alignment horizontal="left" vertical="center"/>
    </xf>
    <xf numFmtId="0" fontId="7" fillId="0" borderId="0" xfId="543" applyFont="1" applyAlignment="1" applyProtection="1">
      <alignment horizontal="center"/>
    </xf>
    <xf numFmtId="0" fontId="16" fillId="0" borderId="0" xfId="271" applyBorder="1"/>
    <xf numFmtId="0" fontId="16" fillId="0" borderId="0" xfId="271" applyFont="1" applyBorder="1" applyAlignment="1" applyProtection="1">
      <alignment horizontal="left"/>
    </xf>
    <xf numFmtId="9" fontId="15" fillId="0" borderId="8" xfId="543" applyNumberFormat="1" applyFont="1" applyBorder="1" applyAlignment="1" applyProtection="1">
      <alignment horizontal="center"/>
    </xf>
    <xf numFmtId="0" fontId="26" fillId="0" borderId="2" xfId="543" applyFont="1" applyBorder="1" applyAlignment="1" applyProtection="1">
      <alignment horizontal="center" vertical="top" wrapText="1"/>
    </xf>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27" fillId="0" borderId="7" xfId="543" applyFont="1" applyBorder="1" applyAlignment="1" applyProtection="1">
      <alignment horizontal="center" vertical="top"/>
    </xf>
    <xf numFmtId="0" fontId="14" fillId="0" borderId="0" xfId="0" applyFont="1" applyFill="1" applyProtection="1"/>
    <xf numFmtId="0" fontId="16" fillId="0" borderId="0" xfId="271" applyFont="1" applyFill="1" applyBorder="1" applyAlignment="1" applyProtection="1">
      <alignment horizontal="left"/>
    </xf>
    <xf numFmtId="0" fontId="42" fillId="0" borderId="0" xfId="271" applyFont="1" applyAlignment="1" applyProtection="1">
      <alignment horizontal="center"/>
    </xf>
    <xf numFmtId="49" fontId="16" fillId="0" borderId="0" xfId="271" applyNumberFormat="1" applyAlignment="1">
      <alignment horizontal="center"/>
    </xf>
    <xf numFmtId="0" fontId="44" fillId="0" borderId="11" xfId="271" applyFont="1" applyBorder="1" applyAlignment="1" applyProtection="1">
      <alignment horizontal="right" vertical="top"/>
    </xf>
    <xf numFmtId="0" fontId="44" fillId="0" borderId="0" xfId="0" applyFont="1" applyProtection="1"/>
    <xf numFmtId="5" fontId="70" fillId="0" borderId="11" xfId="541" applyNumberFormat="1" applyFont="1" applyFill="1" applyBorder="1" applyAlignment="1" applyProtection="1">
      <alignment horizontal="center"/>
    </xf>
    <xf numFmtId="5" fontId="70" fillId="43"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16" fillId="0" borderId="0" xfId="0" applyFont="1" applyBorder="1" applyAlignment="1" applyProtection="1">
      <alignment vertical="top" wrapText="1"/>
    </xf>
    <xf numFmtId="0" fontId="44" fillId="0" borderId="0" xfId="0" applyFont="1" applyBorder="1" applyAlignment="1" applyProtection="1">
      <alignment vertical="top" wrapText="1"/>
    </xf>
    <xf numFmtId="0" fontId="44" fillId="0" borderId="0" xfId="0" applyFont="1" applyBorder="1" applyAlignment="1" applyProtection="1">
      <alignment vertical="top"/>
    </xf>
    <xf numFmtId="0" fontId="44" fillId="2" borderId="0" xfId="0" applyFont="1" applyFill="1" applyBorder="1" applyAlignment="1" applyProtection="1">
      <alignment vertical="top" wrapText="1"/>
    </xf>
    <xf numFmtId="0" fontId="72" fillId="0" borderId="13" xfId="0" applyFont="1" applyBorder="1" applyAlignment="1" applyProtection="1">
      <alignment vertical="top" wrapText="1"/>
    </xf>
    <xf numFmtId="0" fontId="21" fillId="0" borderId="0" xfId="0" applyFont="1" applyBorder="1" applyAlignment="1" applyProtection="1">
      <alignment vertical="top" wrapText="1"/>
    </xf>
    <xf numFmtId="0" fontId="72" fillId="2" borderId="13" xfId="0" applyFont="1" applyFill="1" applyBorder="1" applyAlignment="1" applyProtection="1">
      <alignment vertical="top" wrapText="1"/>
    </xf>
    <xf numFmtId="0" fontId="72" fillId="0" borderId="0" xfId="0" applyFont="1" applyBorder="1" applyAlignment="1" applyProtection="1">
      <alignment vertical="top" wrapText="1"/>
    </xf>
    <xf numFmtId="0" fontId="72" fillId="2" borderId="0" xfId="0" applyFont="1" applyFill="1" applyBorder="1" applyAlignment="1" applyProtection="1">
      <alignment vertical="top" wrapText="1"/>
    </xf>
    <xf numFmtId="0" fontId="44" fillId="0" borderId="0" xfId="0" applyFont="1" applyBorder="1" applyAlignment="1" applyProtection="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pplyProtection="1">
      <alignment horizontal="right" vertical="top" wrapText="1"/>
    </xf>
    <xf numFmtId="0" fontId="16" fillId="0" borderId="0" xfId="0" applyFont="1" applyAlignment="1">
      <alignment vertical="top"/>
    </xf>
    <xf numFmtId="0" fontId="14" fillId="0" borderId="0" xfId="0" applyFont="1" applyBorder="1" applyAlignment="1" applyProtection="1">
      <alignment horizontal="left" vertical="top" wrapText="1"/>
    </xf>
    <xf numFmtId="0" fontId="16" fillId="0" borderId="0" xfId="0" applyFont="1" applyBorder="1" applyAlignment="1" applyProtection="1">
      <alignment horizontal="right" vertical="top" wrapText="1"/>
    </xf>
    <xf numFmtId="0" fontId="16" fillId="0" borderId="0" xfId="0" applyFont="1" applyBorder="1" applyAlignment="1" applyProtection="1">
      <alignment horizontal="left" vertical="top"/>
    </xf>
    <xf numFmtId="10" fontId="16" fillId="5" borderId="6" xfId="0" applyNumberFormat="1" applyFont="1" applyFill="1" applyBorder="1" applyAlignment="1" applyProtection="1">
      <alignment horizontal="center" vertical="top" wrapText="1"/>
      <protection locked="0"/>
    </xf>
    <xf numFmtId="0" fontId="55" fillId="0" borderId="0" xfId="0" applyFont="1" applyBorder="1" applyAlignment="1" applyProtection="1">
      <alignment horizontal="left"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0" fontId="14" fillId="0" borderId="2" xfId="543" applyFont="1" applyBorder="1" applyAlignment="1" applyProtection="1">
      <alignment horizontal="center"/>
    </xf>
    <xf numFmtId="0" fontId="0" fillId="0" borderId="0" xfId="543" applyNumberFormat="1" applyFont="1" applyProtection="1"/>
    <xf numFmtId="0" fontId="8" fillId="0" borderId="0" xfId="244" quotePrefix="1" applyAlignment="1" applyProtection="1">
      <alignment horizontal="left"/>
    </xf>
    <xf numFmtId="168" fontId="44" fillId="0" borderId="11" xfId="0" applyNumberFormat="1" applyFont="1" applyFill="1" applyBorder="1" applyAlignment="1" applyProtection="1">
      <alignment vertical="top" wrapText="1"/>
    </xf>
    <xf numFmtId="168" fontId="44" fillId="4" borderId="11" xfId="0" applyNumberFormat="1" applyFont="1" applyFill="1" applyBorder="1" applyAlignment="1" applyProtection="1">
      <alignment vertical="top" wrapText="1"/>
    </xf>
    <xf numFmtId="0" fontId="96" fillId="0" borderId="0" xfId="0" applyFont="1" applyBorder="1" applyAlignment="1" applyProtection="1">
      <alignment horizontal="left" vertical="top"/>
    </xf>
    <xf numFmtId="0" fontId="97" fillId="0" borderId="0" xfId="0" applyFont="1" applyBorder="1" applyAlignment="1" applyProtection="1">
      <alignment horizontal="left" vertical="top"/>
    </xf>
    <xf numFmtId="0" fontId="65" fillId="0" borderId="0" xfId="0" applyFont="1"/>
    <xf numFmtId="0" fontId="14" fillId="8" borderId="11" xfId="542" applyFont="1" applyFill="1" applyBorder="1" applyAlignment="1" applyProtection="1">
      <alignment horizontal="left"/>
    </xf>
    <xf numFmtId="0" fontId="14" fillId="8" borderId="11" xfId="542" applyFont="1" applyFill="1" applyBorder="1" applyAlignment="1" applyProtection="1">
      <alignment horizontal="center"/>
    </xf>
    <xf numFmtId="0" fontId="54" fillId="8" borderId="11" xfId="542" applyFont="1" applyFill="1" applyBorder="1" applyAlignment="1" applyProtection="1">
      <alignment horizontal="left"/>
    </xf>
    <xf numFmtId="0" fontId="54" fillId="0" borderId="11" xfId="542" applyFont="1" applyBorder="1" applyAlignment="1" applyProtection="1">
      <alignment horizontal="left"/>
    </xf>
    <xf numFmtId="0" fontId="21" fillId="0" borderId="0" xfId="271" applyFont="1" applyFill="1" applyBorder="1" applyAlignment="1" applyProtection="1">
      <alignment vertical="top" wrapText="1"/>
      <protection locked="0"/>
    </xf>
    <xf numFmtId="0" fontId="14" fillId="0" borderId="0" xfId="271" applyFont="1" applyFill="1" applyBorder="1" applyAlignment="1" applyProtection="1">
      <alignment horizontal="center" wrapText="1"/>
      <protection locked="0"/>
    </xf>
    <xf numFmtId="0" fontId="14" fillId="0" borderId="0" xfId="271" applyFont="1" applyBorder="1" applyAlignment="1" applyProtection="1">
      <alignment horizontal="center"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4" fillId="0" borderId="0" xfId="271" applyFont="1" applyFill="1" applyBorder="1" applyAlignment="1" applyProtection="1">
      <alignment vertical="top" wrapText="1"/>
      <protection locked="0"/>
    </xf>
    <xf numFmtId="0" fontId="14" fillId="0" borderId="0" xfId="271" applyFont="1" applyBorder="1" applyAlignment="1" applyProtection="1">
      <alignment vertical="top" wrapText="1"/>
      <protection locked="0"/>
    </xf>
    <xf numFmtId="0" fontId="14"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14" fillId="0" borderId="8" xfId="271" applyFont="1" applyFill="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16" fillId="0" borderId="0" xfId="0" applyFont="1" applyAlignment="1" applyProtection="1">
      <alignment horizontal="center"/>
    </xf>
    <xf numFmtId="0" fontId="16" fillId="0" borderId="0" xfId="0" applyFont="1" applyAlignment="1" applyProtection="1">
      <alignment horizontal="center"/>
    </xf>
    <xf numFmtId="0" fontId="7" fillId="0" borderId="0" xfId="0" applyFont="1" applyAlignment="1">
      <alignment horizontal="center"/>
    </xf>
    <xf numFmtId="0" fontId="7" fillId="0" borderId="0" xfId="0" applyFont="1" applyFill="1" applyAlignment="1">
      <alignment horizontal="center"/>
    </xf>
    <xf numFmtId="0" fontId="16" fillId="0" borderId="0" xfId="0" applyFont="1" applyAlignment="1" applyProtection="1">
      <alignment horizontal="center"/>
    </xf>
    <xf numFmtId="0" fontId="21" fillId="0" borderId="8" xfId="570" applyFont="1" applyBorder="1" applyAlignment="1" applyProtection="1">
      <alignment vertical="top" wrapText="1"/>
    </xf>
    <xf numFmtId="0" fontId="21" fillId="0" borderId="0" xfId="570" applyFont="1" applyBorder="1" applyAlignment="1" applyProtection="1">
      <alignment vertical="top" wrapText="1"/>
    </xf>
    <xf numFmtId="0" fontId="46" fillId="2" borderId="11" xfId="570" applyFont="1" applyFill="1" applyBorder="1" applyAlignment="1" applyProtection="1">
      <alignment horizontal="left" vertical="top" wrapText="1"/>
    </xf>
    <xf numFmtId="6" fontId="44" fillId="4" borderId="11" xfId="570" applyNumberFormat="1" applyFont="1" applyFill="1" applyBorder="1" applyAlignment="1" applyProtection="1">
      <alignmen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6" fontId="44" fillId="0" borderId="11" xfId="570" applyNumberFormat="1" applyFont="1" applyFill="1" applyBorder="1" applyAlignment="1" applyProtection="1">
      <alignment vertical="top" wrapText="1"/>
    </xf>
    <xf numFmtId="6" fontId="44" fillId="5" borderId="11" xfId="570" applyNumberFormat="1" applyFont="1" applyFill="1" applyBorder="1" applyAlignment="1" applyProtection="1">
      <alignment vertical="top" wrapText="1"/>
      <protection locked="0"/>
    </xf>
    <xf numFmtId="6" fontId="44" fillId="6" borderId="11" xfId="570" applyNumberFormat="1" applyFont="1" applyFill="1" applyBorder="1" applyAlignment="1" applyProtection="1">
      <alignment horizontal="center" vertical="top" wrapText="1"/>
    </xf>
    <xf numFmtId="0" fontId="44" fillId="0" borderId="11" xfId="570" applyFont="1" applyBorder="1" applyAlignment="1" applyProtection="1">
      <alignment horizontal="right" vertical="top" wrapText="1"/>
    </xf>
    <xf numFmtId="0" fontId="45" fillId="0" borderId="11" xfId="570" applyFont="1" applyBorder="1" applyAlignment="1" applyProtection="1">
      <alignment horizontal="right" vertical="top" wrapText="1"/>
    </xf>
    <xf numFmtId="0" fontId="44" fillId="0" borderId="11" xfId="570" applyFont="1" applyFill="1" applyBorder="1" applyAlignment="1" applyProtection="1">
      <alignment horizontal="right" vertical="top"/>
    </xf>
    <xf numFmtId="0" fontId="44" fillId="0" borderId="11" xfId="570" applyFont="1" applyFill="1" applyBorder="1" applyAlignment="1" applyProtection="1">
      <alignment horizontal="right" vertical="top" wrapText="1"/>
    </xf>
    <xf numFmtId="6" fontId="45" fillId="0" borderId="11" xfId="570" applyNumberFormat="1" applyFont="1" applyFill="1" applyBorder="1" applyAlignment="1" applyProtection="1">
      <alignment vertical="top" wrapText="1"/>
    </xf>
    <xf numFmtId="0" fontId="45" fillId="0" borderId="11" xfId="570" applyFont="1" applyFill="1" applyBorder="1" applyAlignment="1" applyProtection="1">
      <alignment horizontal="righ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0" fontId="10" fillId="0" borderId="11" xfId="570" applyFont="1" applyBorder="1" applyAlignment="1" applyProtection="1">
      <alignment horizontal="right" vertical="top" wrapText="1"/>
    </xf>
    <xf numFmtId="0" fontId="45" fillId="0" borderId="0" xfId="570" applyFont="1" applyBorder="1" applyAlignment="1" applyProtection="1">
      <alignment horizontal="left" vertical="top"/>
    </xf>
    <xf numFmtId="6" fontId="44" fillId="0" borderId="0" xfId="570" applyNumberFormat="1" applyFont="1" applyBorder="1" applyAlignment="1" applyProtection="1">
      <alignment horizontal="left" vertical="top"/>
    </xf>
    <xf numFmtId="0" fontId="97" fillId="0" borderId="0" xfId="570" applyFont="1" applyBorder="1" applyAlignment="1" applyProtection="1">
      <alignment horizontal="left" vertical="top"/>
    </xf>
    <xf numFmtId="6" fontId="44" fillId="0" borderId="0" xfId="570" applyNumberFormat="1" applyFont="1" applyBorder="1" applyAlignment="1" applyProtection="1">
      <alignment vertical="top" wrapText="1"/>
    </xf>
    <xf numFmtId="6" fontId="45" fillId="0" borderId="11" xfId="570" applyNumberFormat="1" applyFont="1" applyBorder="1" applyAlignment="1" applyProtection="1">
      <alignment vertical="top" wrapText="1"/>
    </xf>
    <xf numFmtId="0" fontId="44" fillId="0" borderId="0" xfId="570" applyFont="1" applyBorder="1" applyAlignment="1" applyProtection="1">
      <alignment horizontal="left" vertical="top"/>
    </xf>
    <xf numFmtId="0" fontId="44" fillId="0" borderId="12" xfId="570" applyFont="1" applyBorder="1" applyAlignment="1" applyProtection="1">
      <alignment vertical="top" wrapText="1"/>
    </xf>
    <xf numFmtId="0" fontId="14" fillId="0" borderId="0" xfId="570" applyFont="1" applyBorder="1" applyAlignment="1" applyProtection="1">
      <alignment horizontal="left" vertical="top"/>
    </xf>
    <xf numFmtId="0" fontId="100" fillId="0" borderId="0" xfId="570" applyFont="1" applyBorder="1" applyAlignment="1" applyProtection="1">
      <alignment horizontal="left" vertical="top"/>
    </xf>
    <xf numFmtId="0" fontId="55" fillId="0" borderId="0" xfId="570" applyFont="1" applyFill="1" applyBorder="1" applyAlignment="1" applyProtection="1">
      <alignment horizontal="left" vertical="center"/>
    </xf>
    <xf numFmtId="0" fontId="22" fillId="0" borderId="0" xfId="570" applyFont="1" applyFill="1" applyBorder="1" applyAlignment="1" applyProtection="1">
      <alignment vertical="top" wrapText="1"/>
    </xf>
    <xf numFmtId="0" fontId="22" fillId="0" borderId="0" xfId="570" applyFont="1" applyBorder="1" applyAlignment="1" applyProtection="1">
      <alignment vertical="top" wrapText="1"/>
    </xf>
    <xf numFmtId="0" fontId="22" fillId="0" borderId="12" xfId="570" applyFont="1" applyBorder="1" applyAlignment="1" applyProtection="1">
      <alignment vertical="top" wrapText="1"/>
    </xf>
    <xf numFmtId="0" fontId="22" fillId="0" borderId="8" xfId="570" applyFont="1" applyBorder="1" applyAlignment="1" applyProtection="1">
      <alignment vertical="top" wrapText="1"/>
    </xf>
    <xf numFmtId="0" fontId="44" fillId="0" borderId="0" xfId="570" applyFont="1" applyFill="1" applyBorder="1" applyAlignment="1" applyProtection="1">
      <alignment vertical="top"/>
    </xf>
    <xf numFmtId="0" fontId="44" fillId="0" borderId="0" xfId="570" applyFont="1" applyFill="1" applyBorder="1" applyAlignment="1" applyProtection="1">
      <alignment vertical="top" wrapText="1"/>
    </xf>
    <xf numFmtId="168" fontId="44" fillId="0" borderId="0" xfId="570" applyNumberFormat="1" applyFont="1" applyFill="1" applyBorder="1" applyAlignment="1" applyProtection="1">
      <alignment horizontal="right" vertical="top" wrapText="1"/>
      <protection locked="0"/>
    </xf>
    <xf numFmtId="0" fontId="7" fillId="0" borderId="0" xfId="570" applyFont="1" applyFill="1" applyBorder="1" applyAlignment="1" applyProtection="1">
      <alignment vertical="top" wrapText="1"/>
    </xf>
    <xf numFmtId="0" fontId="7" fillId="0" borderId="0" xfId="570" applyFont="1" applyFill="1" applyBorder="1" applyAlignment="1">
      <alignment vertical="top"/>
    </xf>
    <xf numFmtId="0" fontId="4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xf>
    <xf numFmtId="168" fontId="44" fillId="0" borderId="0" xfId="570" applyNumberFormat="1" applyFont="1" applyFill="1" applyBorder="1" applyAlignment="1" applyProtection="1">
      <alignment horizontal="right" vertical="top" wrapText="1"/>
    </xf>
    <xf numFmtId="0" fontId="7" fillId="0" borderId="0" xfId="570" applyFont="1" applyFill="1" applyBorder="1" applyAlignment="1" applyProtection="1">
      <alignment horizontal="left" vertical="top" wrapText="1"/>
      <protection locked="0"/>
    </xf>
    <xf numFmtId="0" fontId="7" fillId="0" borderId="0" xfId="570" applyFont="1" applyFill="1" applyBorder="1" applyAlignment="1" applyProtection="1">
      <alignment horizontal="right" vertical="top" wrapText="1"/>
    </xf>
    <xf numFmtId="0" fontId="7" fillId="0" borderId="0" xfId="570" applyFont="1" applyFill="1" applyBorder="1" applyAlignment="1" applyProtection="1">
      <alignment horizontal="left" vertical="top"/>
    </xf>
    <xf numFmtId="0" fontId="14" fillId="0" borderId="0" xfId="570" applyFont="1" applyFill="1" applyBorder="1" applyAlignment="1" applyProtection="1">
      <alignment horizontal="left" vertical="top"/>
    </xf>
    <xf numFmtId="0" fontId="72" fillId="0" borderId="0" xfId="570" applyFont="1" applyBorder="1" applyAlignment="1" applyProtection="1">
      <alignment vertical="top" wrapText="1"/>
    </xf>
    <xf numFmtId="0" fontId="72" fillId="0" borderId="12" xfId="570" applyFont="1" applyBorder="1" applyAlignment="1" applyProtection="1">
      <alignment vertical="top" wrapText="1"/>
    </xf>
    <xf numFmtId="0" fontId="72" fillId="0" borderId="8" xfId="570" applyFont="1" applyBorder="1" applyAlignment="1" applyProtection="1">
      <alignment vertical="top" wrapText="1"/>
    </xf>
    <xf numFmtId="0" fontId="21" fillId="0" borderId="0" xfId="570" applyFont="1" applyFill="1" applyBorder="1" applyAlignment="1" applyProtection="1">
      <alignment vertical="top" wrapText="1"/>
    </xf>
    <xf numFmtId="0" fontId="7" fillId="0" borderId="0" xfId="570" applyFont="1" applyBorder="1" applyAlignment="1" applyProtection="1">
      <alignment horizontal="right" vertical="top" wrapText="1"/>
    </xf>
    <xf numFmtId="0" fontId="7" fillId="0" borderId="0" xfId="570" applyFont="1" applyBorder="1" applyAlignment="1" applyProtection="1">
      <alignment vertical="top" wrapText="1"/>
    </xf>
    <xf numFmtId="0" fontId="21" fillId="0" borderId="0" xfId="570" applyFont="1" applyBorder="1" applyAlignment="1" applyProtection="1">
      <alignment horizontal="right" vertical="top" wrapText="1"/>
    </xf>
    <xf numFmtId="0" fontId="72" fillId="0" borderId="0" xfId="570" applyFont="1" applyBorder="1" applyAlignment="1" applyProtection="1">
      <alignment horizontal="right" vertical="top" wrapText="1"/>
    </xf>
    <xf numFmtId="0" fontId="45" fillId="0" borderId="3" xfId="570" applyFont="1" applyBorder="1" applyAlignment="1" applyProtection="1">
      <alignment horizontal="left"/>
    </xf>
    <xf numFmtId="0" fontId="45" fillId="0" borderId="13" xfId="570" applyFont="1" applyBorder="1" applyAlignment="1" applyProtection="1">
      <alignment horizontal="center" wrapText="1"/>
    </xf>
    <xf numFmtId="0" fontId="45" fillId="0" borderId="13" xfId="570" applyFont="1" applyFill="1" applyBorder="1" applyAlignment="1" applyProtection="1">
      <alignment horizontal="center" wrapText="1"/>
    </xf>
    <xf numFmtId="0" fontId="45" fillId="0" borderId="8" xfId="570" applyFont="1" applyBorder="1" applyAlignment="1" applyProtection="1">
      <alignment horizontal="center" wrapText="1"/>
    </xf>
    <xf numFmtId="0" fontId="45" fillId="0" borderId="0" xfId="570" applyFont="1" applyBorder="1" applyAlignment="1" applyProtection="1">
      <alignment horizontal="center" wrapText="1"/>
    </xf>
    <xf numFmtId="0" fontId="7" fillId="0" borderId="0" xfId="570" applyFont="1"/>
    <xf numFmtId="0" fontId="7" fillId="0" borderId="0" xfId="570"/>
    <xf numFmtId="0" fontId="7" fillId="0" borderId="0" xfId="570" applyFill="1"/>
    <xf numFmtId="0" fontId="7" fillId="0" borderId="0" xfId="570" applyBorder="1" applyProtection="1"/>
    <xf numFmtId="0" fontId="13" fillId="0" borderId="0" xfId="570" applyFont="1" applyFill="1" applyBorder="1" applyAlignment="1">
      <alignment horizontal="center" vertical="center"/>
    </xf>
    <xf numFmtId="0" fontId="7" fillId="0" borderId="0" xfId="570" applyFont="1" applyFill="1"/>
    <xf numFmtId="0" fontId="14" fillId="0" borderId="0" xfId="570" applyFont="1"/>
    <xf numFmtId="0" fontId="7" fillId="0" borderId="1" xfId="570" applyBorder="1"/>
    <xf numFmtId="0" fontId="7" fillId="0" borderId="2" xfId="570" applyBorder="1"/>
    <xf numFmtId="0" fontId="7" fillId="0" borderId="8" xfId="570" applyBorder="1"/>
    <xf numFmtId="0" fontId="7" fillId="0" borderId="0" xfId="570" applyBorder="1"/>
    <xf numFmtId="0" fontId="7" fillId="0" borderId="9" xfId="570" applyBorder="1"/>
    <xf numFmtId="0" fontId="7" fillId="0" borderId="6" xfId="570" applyBorder="1"/>
    <xf numFmtId="0" fontId="15" fillId="0" borderId="0" xfId="570" applyFont="1"/>
    <xf numFmtId="0" fontId="7" fillId="0" borderId="7" xfId="570" applyBorder="1"/>
    <xf numFmtId="0" fontId="7" fillId="0" borderId="12" xfId="570" applyBorder="1"/>
    <xf numFmtId="0" fontId="7" fillId="0" borderId="10" xfId="570" applyBorder="1"/>
    <xf numFmtId="0" fontId="15" fillId="0" borderId="0" xfId="570" applyNumberFormat="1" applyFont="1" applyAlignment="1">
      <alignment vertical="top" wrapText="1"/>
    </xf>
    <xf numFmtId="0" fontId="7" fillId="0" borderId="0" xfId="570" applyFill="1" applyAlignment="1">
      <alignment horizontal="right"/>
    </xf>
    <xf numFmtId="0" fontId="7" fillId="0" borderId="0" xfId="570" applyFill="1" applyBorder="1"/>
    <xf numFmtId="0" fontId="7" fillId="0" borderId="0" xfId="570" applyFont="1" applyBorder="1" applyAlignment="1">
      <alignment wrapText="1"/>
    </xf>
    <xf numFmtId="0" fontId="7" fillId="0" borderId="0" xfId="570" applyFont="1" applyFill="1" applyAlignment="1">
      <alignment vertical="center"/>
    </xf>
    <xf numFmtId="0" fontId="7" fillId="0" borderId="0" xfId="570" applyFill="1" applyAlignment="1">
      <alignment vertical="center"/>
    </xf>
    <xf numFmtId="0" fontId="31" fillId="0" borderId="0" xfId="570" applyFont="1" applyFill="1" applyBorder="1" applyAlignment="1">
      <alignment vertical="center" wrapText="1"/>
    </xf>
    <xf numFmtId="0" fontId="25" fillId="0" borderId="0" xfId="570" applyFont="1" applyAlignment="1">
      <alignment vertical="top" wrapText="1"/>
    </xf>
    <xf numFmtId="0" fontId="7" fillId="0" borderId="0" xfId="570" applyFill="1" applyAlignment="1">
      <alignment wrapText="1"/>
    </xf>
    <xf numFmtId="0" fontId="14" fillId="0" borderId="0" xfId="570" applyFont="1" applyFill="1"/>
    <xf numFmtId="0" fontId="14" fillId="0" borderId="0" xfId="570" applyFont="1" applyFill="1" applyAlignment="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5" fillId="0" borderId="0" xfId="570" applyFont="1" applyAlignment="1">
      <alignment horizontal="left" vertical="top" wrapText="1"/>
    </xf>
    <xf numFmtId="164" fontId="7" fillId="0" borderId="0" xfId="570" applyNumberFormat="1" applyFill="1" applyBorder="1" applyAlignment="1">
      <alignment horizontal="right"/>
    </xf>
    <xf numFmtId="0" fontId="44" fillId="0" borderId="0" xfId="570" applyFont="1" applyFill="1" applyBorder="1" applyAlignment="1">
      <alignment vertical="top" wrapText="1"/>
    </xf>
    <xf numFmtId="0" fontId="7" fillId="0" borderId="0" xfId="570" applyBorder="1" applyAlignment="1"/>
    <xf numFmtId="168" fontId="7" fillId="0" borderId="0" xfId="570" applyNumberFormat="1" applyFill="1" applyBorder="1" applyAlignment="1">
      <alignment horizontal="right"/>
    </xf>
    <xf numFmtId="0" fontId="98" fillId="0" borderId="0" xfId="570" applyFont="1" applyFill="1" applyBorder="1" applyAlignment="1">
      <alignment horizontal="left" vertical="top" wrapText="1"/>
    </xf>
    <xf numFmtId="0" fontId="14" fillId="0" borderId="0" xfId="570" applyFont="1" applyBorder="1"/>
    <xf numFmtId="168" fontId="7" fillId="0" borderId="0" xfId="570" applyNumberFormat="1" applyFill="1" applyBorder="1" applyAlignment="1">
      <alignment wrapText="1"/>
    </xf>
    <xf numFmtId="0" fontId="7" fillId="0" borderId="0" xfId="570" applyFont="1" applyBorder="1"/>
    <xf numFmtId="0" fontId="12" fillId="0" borderId="0" xfId="0" applyFont="1" applyProtection="1"/>
    <xf numFmtId="0" fontId="12" fillId="0" borderId="11" xfId="253" applyFont="1" applyFill="1" applyBorder="1" applyAlignment="1" applyProtection="1">
      <alignment horizontal="center" wrapText="1"/>
    </xf>
    <xf numFmtId="0" fontId="12" fillId="0" borderId="0" xfId="253" applyFont="1" applyFill="1" applyBorder="1" applyAlignment="1" applyProtection="1">
      <alignment horizontal="center" wrapText="1"/>
    </xf>
    <xf numFmtId="3" fontId="12" fillId="0" borderId="11" xfId="271" applyNumberFormat="1" applyFont="1" applyFill="1" applyBorder="1" applyProtection="1"/>
    <xf numFmtId="3" fontId="12" fillId="0" borderId="0" xfId="271" applyNumberFormat="1" applyFont="1" applyProtection="1"/>
    <xf numFmtId="3" fontId="12" fillId="0" borderId="11" xfId="271" applyNumberFormat="1" applyFont="1" applyBorder="1" applyProtection="1"/>
    <xf numFmtId="3" fontId="12" fillId="0" borderId="0" xfId="271" applyNumberFormat="1" applyFont="1" applyBorder="1" applyProtection="1"/>
    <xf numFmtId="0" fontId="56" fillId="0" borderId="0" xfId="271" applyFont="1" applyAlignment="1" applyProtection="1">
      <alignment horizontal="left"/>
    </xf>
    <xf numFmtId="0" fontId="56" fillId="0" borderId="0" xfId="271" applyFont="1" applyAlignment="1" applyProtection="1">
      <alignment horizontal="right"/>
    </xf>
    <xf numFmtId="168" fontId="12" fillId="0" borderId="11" xfId="271" applyNumberFormat="1" applyFont="1" applyBorder="1" applyProtection="1"/>
    <xf numFmtId="168" fontId="12" fillId="0" borderId="0" xfId="271" applyNumberFormat="1" applyFont="1" applyBorder="1" applyProtection="1"/>
    <xf numFmtId="0" fontId="12" fillId="0" borderId="0" xfId="271" applyFont="1" applyProtection="1"/>
    <xf numFmtId="3" fontId="12" fillId="10" borderId="11" xfId="271" applyNumberFormat="1" applyFont="1" applyFill="1" applyBorder="1" applyAlignment="1" applyProtection="1">
      <alignment horizontal="center"/>
      <protection locked="0"/>
    </xf>
    <xf numFmtId="0" fontId="44" fillId="0" borderId="0" xfId="570" applyFont="1" applyBorder="1" applyAlignment="1">
      <alignment horizontal="left"/>
    </xf>
    <xf numFmtId="0" fontId="7" fillId="0" borderId="3" xfId="570" applyBorder="1"/>
    <xf numFmtId="0" fontId="7" fillId="5" borderId="3" xfId="570" applyFill="1" applyBorder="1"/>
    <xf numFmtId="0" fontId="7" fillId="0" borderId="0" xfId="570"/>
    <xf numFmtId="0" fontId="7" fillId="0" borderId="0" xfId="570" applyFont="1"/>
    <xf numFmtId="0" fontId="25" fillId="0" borderId="0" xfId="0" applyFont="1" applyAlignment="1" applyProtection="1">
      <alignment horizontal="center"/>
    </xf>
    <xf numFmtId="0" fontId="25" fillId="0" borderId="0" xfId="0" applyFont="1" applyFill="1" applyAlignment="1" applyProtection="1">
      <alignment horizontal="center"/>
    </xf>
    <xf numFmtId="0" fontId="14" fillId="0" borderId="0" xfId="0" applyFont="1" applyAlignment="1" applyProtection="1">
      <alignment horizontal="center"/>
    </xf>
    <xf numFmtId="0" fontId="16" fillId="0" borderId="0" xfId="0" applyFont="1" applyAlignment="1" applyProtection="1">
      <alignment horizontal="center"/>
    </xf>
    <xf numFmtId="0" fontId="0" fillId="0" borderId="0" xfId="0" applyFill="1"/>
    <xf numFmtId="0" fontId="7"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9"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7" fillId="0" borderId="0" xfId="0" applyFont="1" applyFill="1" applyBorder="1"/>
    <xf numFmtId="0" fontId="0" fillId="0" borderId="0" xfId="0" applyFont="1" applyFill="1" applyBorder="1" applyProtection="1"/>
    <xf numFmtId="0" fontId="14" fillId="0" borderId="0" xfId="0" applyFont="1" applyAlignment="1" applyProtection="1">
      <alignment horizontal="center"/>
    </xf>
    <xf numFmtId="0" fontId="16" fillId="0" borderId="0" xfId="0" applyFont="1" applyAlignment="1" applyProtection="1">
      <alignment horizontal="center"/>
    </xf>
    <xf numFmtId="0" fontId="98" fillId="0" borderId="0" xfId="0" applyFont="1" applyFill="1" applyBorder="1" applyAlignment="1">
      <alignment vertical="top" wrapText="1"/>
    </xf>
    <xf numFmtId="0" fontId="44" fillId="0" borderId="0" xfId="271" applyFont="1" applyAlignment="1" applyProtection="1">
      <alignment vertical="top" wrapText="1"/>
    </xf>
    <xf numFmtId="0" fontId="7" fillId="0" borderId="0" xfId="570"/>
    <xf numFmtId="0" fontId="7" fillId="0" borderId="0" xfId="570" applyFont="1" applyFill="1"/>
    <xf numFmtId="4" fontId="7" fillId="0" borderId="0" xfId="1193" applyNumberFormat="1" applyFont="1" applyFill="1" applyAlignment="1" applyProtection="1">
      <alignment horizontal="left" vertical="top" wrapText="1"/>
    </xf>
    <xf numFmtId="0" fontId="7" fillId="0" borderId="0" xfId="0" applyFont="1" applyFill="1" applyAlignment="1">
      <alignment horizontal="left" vertical="top" wrapText="1"/>
    </xf>
    <xf numFmtId="0" fontId="7" fillId="0" borderId="0" xfId="271" applyFont="1" applyAlignment="1">
      <alignment horizontal="left" vertical="top" wrapText="1"/>
    </xf>
    <xf numFmtId="0" fontId="7" fillId="0" borderId="0" xfId="0" applyFont="1" applyBorder="1" applyAlignment="1" applyProtection="1">
      <alignment horizontal="center"/>
    </xf>
    <xf numFmtId="0" fontId="7" fillId="0" borderId="0" xfId="0" applyFont="1" applyFill="1" applyAlignment="1">
      <alignment horizontal="left" vertical="top" wrapText="1"/>
    </xf>
    <xf numFmtId="0" fontId="16" fillId="0" borderId="0" xfId="0" applyFont="1" applyAlignment="1" applyProtection="1">
      <alignment horizontal="center"/>
    </xf>
    <xf numFmtId="0" fontId="7" fillId="0" borderId="0" xfId="271" applyFont="1" applyFill="1" applyAlignment="1">
      <alignment horizontal="left" vertical="top" wrapText="1"/>
    </xf>
    <xf numFmtId="0" fontId="7" fillId="0" borderId="0" xfId="0" applyFont="1" applyFill="1" applyAlignment="1" applyProtection="1">
      <alignment horizontal="left" vertical="top" wrapText="1"/>
    </xf>
    <xf numFmtId="0" fontId="14" fillId="0" borderId="12" xfId="543" applyFont="1" applyBorder="1" applyAlignment="1" applyProtection="1">
      <alignment horizontal="right"/>
    </xf>
    <xf numFmtId="0" fontId="26" fillId="0" borderId="0" xfId="543" applyFont="1" applyFill="1" applyBorder="1" applyAlignment="1" applyProtection="1">
      <alignment horizontal="center"/>
    </xf>
    <xf numFmtId="0" fontId="7" fillId="0" borderId="0" xfId="0" applyFont="1" applyAlignment="1">
      <alignment horizontal="left"/>
    </xf>
    <xf numFmtId="0" fontId="16" fillId="0" borderId="0" xfId="0" applyFont="1" applyAlignment="1" applyProtection="1">
      <alignment horizontal="center"/>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4" fillId="0" borderId="0" xfId="0" applyNumberFormat="1" applyFont="1" applyAlignment="1" applyProtection="1">
      <alignment horizontal="center"/>
    </xf>
    <xf numFmtId="0" fontId="14" fillId="0" borderId="0" xfId="0" applyFont="1" applyBorder="1" applyAlignment="1" applyProtection="1"/>
    <xf numFmtId="0" fontId="7" fillId="0" borderId="0" xfId="570"/>
    <xf numFmtId="4" fontId="7" fillId="0" borderId="0" xfId="570" applyNumberFormat="1" applyFont="1" applyFill="1" applyAlignment="1" applyProtection="1">
      <alignment horizontal="left"/>
    </xf>
    <xf numFmtId="4" fontId="7" fillId="0" borderId="0" xfId="570" applyNumberFormat="1" applyFont="1" applyFill="1" applyAlignment="1" applyProtection="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Border="1" applyAlignment="1">
      <alignment horizontal="left"/>
    </xf>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7" fillId="0" borderId="0" xfId="0" applyFont="1" applyAlignment="1">
      <alignment horizontal="left"/>
    </xf>
    <xf numFmtId="0" fontId="16" fillId="0" borderId="0" xfId="0" applyFont="1" applyAlignment="1" applyProtection="1">
      <alignment horizontal="center"/>
    </xf>
    <xf numFmtId="0" fontId="7" fillId="0" borderId="0" xfId="1193" applyFont="1" applyFill="1" applyAlignment="1" applyProtection="1">
      <alignment horizontal="left"/>
    </xf>
    <xf numFmtId="0" fontId="7" fillId="0" borderId="0" xfId="1193" applyFont="1" applyFill="1" applyAlignment="1">
      <alignment horizontal="left"/>
    </xf>
    <xf numFmtId="0" fontId="7" fillId="0" borderId="0" xfId="0" applyFont="1" applyBorder="1" applyAlignment="1">
      <alignment horizontal="left"/>
    </xf>
    <xf numFmtId="0" fontId="14" fillId="0" borderId="0" xfId="570" applyFont="1" applyBorder="1" applyAlignment="1" applyProtection="1">
      <alignment horizontal="left"/>
    </xf>
    <xf numFmtId="0" fontId="7" fillId="0" borderId="0" xfId="0" applyFont="1" applyBorder="1" applyAlignment="1">
      <alignment horizontal="left" vertical="top" wrapText="1"/>
    </xf>
    <xf numFmtId="0" fontId="36" fillId="0" borderId="0" xfId="1193" applyFont="1"/>
    <xf numFmtId="0" fontId="44" fillId="0" borderId="11" xfId="0" applyFont="1" applyBorder="1" applyAlignment="1" applyProtection="1">
      <alignment horizontal="right" vertical="center"/>
    </xf>
    <xf numFmtId="0" fontId="44" fillId="0" borderId="11" xfId="570" applyFont="1" applyBorder="1" applyAlignment="1" applyProtection="1">
      <alignment horizontal="right" vertical="top"/>
    </xf>
    <xf numFmtId="0" fontId="7" fillId="0" borderId="0" xfId="0" applyFont="1" applyFill="1" applyAlignment="1">
      <alignment horizontal="left" vertical="top" wrapText="1"/>
    </xf>
    <xf numFmtId="0" fontId="7" fillId="0" borderId="0" xfId="1193" applyFont="1" applyFill="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5" fillId="0" borderId="0" xfId="570" applyNumberFormat="1" applyFont="1" applyBorder="1" applyAlignment="1" applyProtection="1">
      <alignment horizontal="right" vertical="top"/>
    </xf>
    <xf numFmtId="0" fontId="16" fillId="0" borderId="0" xfId="0" applyFont="1" applyAlignment="1" applyProtection="1">
      <alignment horizontal="center"/>
    </xf>
    <xf numFmtId="0" fontId="7" fillId="0" borderId="0" xfId="0" applyFont="1" applyAlignment="1">
      <alignment vertical="top" wrapText="1"/>
    </xf>
    <xf numFmtId="0" fontId="16" fillId="0" borderId="0" xfId="0" applyFont="1" applyAlignment="1" applyProtection="1">
      <alignment horizontal="center"/>
    </xf>
    <xf numFmtId="168" fontId="16" fillId="0" borderId="0" xfId="0" applyNumberFormat="1" applyFont="1" applyFill="1" applyBorder="1" applyAlignment="1" applyProtection="1">
      <alignment horizontal="right"/>
    </xf>
    <xf numFmtId="168" fontId="16" fillId="0" borderId="28" xfId="540" applyNumberFormat="1" applyBorder="1" applyAlignment="1" applyProtection="1">
      <alignment horizontal="center"/>
    </xf>
    <xf numFmtId="168" fontId="16" fillId="0" borderId="29" xfId="540" applyNumberFormat="1" applyBorder="1" applyAlignment="1" applyProtection="1">
      <alignment horizontal="center"/>
    </xf>
    <xf numFmtId="168" fontId="16" fillId="0" borderId="30" xfId="540" applyNumberFormat="1" applyBorder="1" applyAlignment="1" applyProtection="1">
      <alignment horizontal="center"/>
    </xf>
    <xf numFmtId="168" fontId="16" fillId="0" borderId="31" xfId="540" applyNumberFormat="1" applyBorder="1" applyAlignment="1" applyProtection="1">
      <alignment horizontal="center"/>
    </xf>
    <xf numFmtId="168" fontId="16" fillId="0" borderId="32" xfId="540" applyNumberFormat="1" applyBorder="1" applyAlignment="1" applyProtection="1">
      <alignment horizontal="center"/>
    </xf>
    <xf numFmtId="168" fontId="16" fillId="0" borderId="33" xfId="540" applyNumberFormat="1" applyBorder="1" applyAlignment="1" applyProtection="1">
      <alignment horizontal="center"/>
    </xf>
    <xf numFmtId="168" fontId="16" fillId="0" borderId="34" xfId="540" applyNumberFormat="1" applyBorder="1" applyAlignment="1" applyProtection="1">
      <alignment horizontal="center"/>
    </xf>
    <xf numFmtId="168" fontId="16" fillId="0" borderId="35" xfId="540" applyNumberFormat="1" applyBorder="1" applyAlignment="1" applyProtection="1">
      <alignment horizontal="center"/>
    </xf>
    <xf numFmtId="168" fontId="16" fillId="0" borderId="36" xfId="540" applyNumberFormat="1" applyBorder="1" applyAlignment="1" applyProtection="1">
      <alignment horizontal="center"/>
    </xf>
    <xf numFmtId="168" fontId="16" fillId="0" borderId="37" xfId="540" applyNumberFormat="1" applyBorder="1" applyAlignment="1" applyProtection="1">
      <alignment horizontal="center"/>
    </xf>
    <xf numFmtId="168" fontId="16" fillId="0" borderId="38" xfId="540" applyNumberFormat="1" applyBorder="1" applyAlignment="1" applyProtection="1">
      <alignment horizontal="center"/>
    </xf>
    <xf numFmtId="168" fontId="16" fillId="0" borderId="39" xfId="540" applyNumberFormat="1" applyBorder="1" applyAlignment="1" applyProtection="1">
      <alignment horizontal="center"/>
    </xf>
    <xf numFmtId="168" fontId="16" fillId="0" borderId="40" xfId="540" applyNumberFormat="1" applyBorder="1" applyAlignment="1" applyProtection="1">
      <alignment horizontal="center"/>
    </xf>
    <xf numFmtId="168" fontId="16" fillId="0" borderId="0" xfId="540" applyNumberFormat="1" applyBorder="1" applyAlignment="1" applyProtection="1">
      <alignment horizontal="center"/>
    </xf>
    <xf numFmtId="168" fontId="16" fillId="0" borderId="14" xfId="540" applyNumberFormat="1" applyBorder="1" applyAlignment="1" applyProtection="1">
      <alignment horizontal="center"/>
    </xf>
    <xf numFmtId="168" fontId="16" fillId="0" borderId="41" xfId="540" applyNumberFormat="1" applyBorder="1" applyAlignment="1" applyProtection="1">
      <alignment horizontal="center"/>
    </xf>
    <xf numFmtId="168" fontId="16" fillId="0" borderId="42" xfId="540" applyNumberFormat="1" applyBorder="1" applyAlignment="1" applyProtection="1">
      <alignment horizontal="center"/>
    </xf>
    <xf numFmtId="168" fontId="16" fillId="0" borderId="43" xfId="540" applyNumberFormat="1" applyBorder="1" applyAlignment="1" applyProtection="1">
      <alignment horizontal="center"/>
    </xf>
    <xf numFmtId="168" fontId="16" fillId="0" borderId="44" xfId="540" applyNumberFormat="1" applyBorder="1" applyAlignment="1" applyProtection="1">
      <alignment horizontal="center"/>
    </xf>
    <xf numFmtId="0" fontId="7" fillId="0" borderId="0" xfId="0" applyFont="1" applyAlignment="1">
      <alignment horizontal="left" vertical="top" wrapText="1"/>
    </xf>
    <xf numFmtId="0" fontId="36" fillId="0" borderId="0" xfId="0" applyFont="1" applyAlignment="1">
      <alignment horizontal="left" vertical="top" wrapText="1"/>
    </xf>
    <xf numFmtId="0" fontId="7" fillId="0" borderId="0" xfId="0" applyFont="1" applyAlignment="1">
      <alignment horizontal="left"/>
    </xf>
    <xf numFmtId="0" fontId="7" fillId="0" borderId="0" xfId="0" applyFont="1" applyBorder="1" applyAlignment="1">
      <alignment vertical="top" wrapText="1"/>
    </xf>
    <xf numFmtId="0" fontId="7" fillId="0" borderId="0" xfId="570" applyAlignment="1">
      <alignment wrapText="1"/>
    </xf>
    <xf numFmtId="0" fontId="7" fillId="0" borderId="0" xfId="1193" applyFont="1" applyAlignment="1"/>
    <xf numFmtId="0" fontId="7" fillId="0" borderId="0" xfId="570" applyFont="1" applyAlignment="1">
      <alignment wrapText="1"/>
    </xf>
    <xf numFmtId="0" fontId="7"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7" fillId="0" borderId="0" xfId="1193" applyFont="1" applyAlignment="1">
      <alignment horizontal="left" vertical="top" wrapText="1"/>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0" fontId="8" fillId="0" borderId="0" xfId="244" quotePrefix="1" applyAlignment="1" applyProtection="1">
      <alignment horizontal="left"/>
    </xf>
    <xf numFmtId="4" fontId="7" fillId="0" borderId="0" xfId="1193" applyNumberFormat="1" applyFont="1" applyFill="1" applyAlignment="1" applyProtection="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7" fillId="0" borderId="0" xfId="570" applyFont="1" applyAlignment="1">
      <alignment horizontal="left"/>
    </xf>
    <xf numFmtId="0" fontId="7" fillId="0" borderId="0" xfId="1193" applyFont="1" applyAlignment="1" applyProtection="1">
      <alignment horizontal="left"/>
    </xf>
    <xf numFmtId="0" fontId="7" fillId="0" borderId="0" xfId="1193" applyFont="1" applyFill="1" applyAlignment="1" applyProtection="1">
      <alignment horizontal="left"/>
    </xf>
    <xf numFmtId="0" fontId="7" fillId="0" borderId="0" xfId="570" applyFont="1" applyAlignment="1" applyProtection="1">
      <alignment horizontal="center"/>
    </xf>
    <xf numFmtId="0" fontId="7" fillId="0" borderId="0" xfId="570" applyFont="1" applyProtection="1"/>
    <xf numFmtId="0" fontId="7" fillId="0" borderId="0" xfId="570" applyProtection="1"/>
    <xf numFmtId="0" fontId="7" fillId="0" borderId="0" xfId="570" applyFill="1" applyProtection="1"/>
    <xf numFmtId="0" fontId="25" fillId="0" borderId="0" xfId="570" applyFont="1" applyAlignment="1" applyProtection="1">
      <alignment horizontal="left"/>
    </xf>
    <xf numFmtId="0" fontId="25" fillId="0" borderId="0" xfId="570" applyFont="1" applyAlignment="1" applyProtection="1">
      <alignment horizontal="center"/>
    </xf>
    <xf numFmtId="0" fontId="14" fillId="0" borderId="0" xfId="570" applyFont="1" applyProtection="1"/>
    <xf numFmtId="49" fontId="14" fillId="0" borderId="0" xfId="570" applyNumberFormat="1" applyFont="1" applyAlignment="1" applyProtection="1">
      <alignment horizontal="center"/>
    </xf>
    <xf numFmtId="0" fontId="7" fillId="0" borderId="0" xfId="1193" applyFont="1"/>
    <xf numFmtId="0" fontId="42" fillId="0" borderId="0" xfId="570" applyFont="1" applyAlignment="1" applyProtection="1">
      <alignment horizontal="center"/>
    </xf>
    <xf numFmtId="0" fontId="7" fillId="5" borderId="6" xfId="570" applyFill="1" applyBorder="1" applyAlignment="1" applyProtection="1">
      <protection locked="0"/>
    </xf>
    <xf numFmtId="49" fontId="14" fillId="0" borderId="0" xfId="570" applyNumberFormat="1" applyFont="1" applyAlignment="1">
      <alignment horizontal="center"/>
    </xf>
    <xf numFmtId="0" fontId="7" fillId="0" borderId="0" xfId="570" applyFont="1" applyAlignment="1" applyProtection="1">
      <alignment horizontal="left"/>
    </xf>
    <xf numFmtId="0" fontId="7" fillId="0" borderId="0" xfId="570" applyFont="1" applyFill="1" applyAlignment="1" applyProtection="1">
      <alignment horizontal="center"/>
    </xf>
    <xf numFmtId="0" fontId="7" fillId="0" borderId="0" xfId="570" applyFont="1" applyFill="1" applyProtection="1"/>
    <xf numFmtId="0" fontId="7" fillId="0" borderId="0" xfId="1193" applyFont="1" applyAlignment="1">
      <alignment horizontal="left"/>
    </xf>
    <xf numFmtId="0" fontId="7" fillId="0" borderId="0" xfId="570" applyFont="1" applyAlignment="1">
      <alignment horizontal="center"/>
    </xf>
    <xf numFmtId="0" fontId="42" fillId="0" borderId="0" xfId="570" applyFont="1" applyFill="1" applyAlignment="1" applyProtection="1">
      <alignment horizontal="center"/>
    </xf>
    <xf numFmtId="0" fontId="7" fillId="0" borderId="0" xfId="570" applyFont="1" applyFill="1" applyAlignment="1">
      <alignment horizontal="center"/>
    </xf>
    <xf numFmtId="0" fontId="8" fillId="0" borderId="0" xfId="244" applyFont="1" applyAlignment="1" applyProtection="1">
      <alignment horizontal="center"/>
    </xf>
    <xf numFmtId="49" fontId="7" fillId="0" borderId="0" xfId="570" applyNumberFormat="1" applyFont="1" applyAlignment="1">
      <alignment horizontal="center"/>
    </xf>
    <xf numFmtId="0" fontId="7" fillId="0" borderId="0" xfId="570" applyFont="1" applyAlignment="1" applyProtection="1">
      <alignment horizontal="center" vertical="center"/>
    </xf>
    <xf numFmtId="0" fontId="7" fillId="0" borderId="0" xfId="570" applyFont="1" applyAlignment="1">
      <alignment horizontal="center" vertical="center"/>
    </xf>
    <xf numFmtId="0" fontId="7" fillId="0" borderId="0" xfId="570" applyFont="1" applyAlignment="1">
      <alignment vertical="center"/>
    </xf>
    <xf numFmtId="0" fontId="7" fillId="0" borderId="0" xfId="570" applyAlignment="1">
      <alignment vertical="center"/>
    </xf>
    <xf numFmtId="0" fontId="7" fillId="0" borderId="0" xfId="1193" applyFont="1" applyAlignment="1" applyProtection="1">
      <alignment horizontal="center"/>
    </xf>
    <xf numFmtId="0" fontId="7" fillId="0" borderId="0" xfId="1193"/>
    <xf numFmtId="0" fontId="7" fillId="0" borderId="0" xfId="1193" applyFont="1" applyBorder="1"/>
    <xf numFmtId="0" fontId="14" fillId="0" borderId="0" xfId="570" applyFont="1" applyAlignment="1" applyProtection="1">
      <alignment horizontal="center"/>
    </xf>
    <xf numFmtId="0" fontId="14" fillId="0" borderId="0" xfId="570" applyFont="1" applyBorder="1" applyAlignment="1" applyProtection="1"/>
    <xf numFmtId="0" fontId="7" fillId="0" borderId="0" xfId="570" applyFont="1" applyBorder="1" applyAlignment="1" applyProtection="1">
      <alignment horizontal="center"/>
    </xf>
    <xf numFmtId="0" fontId="7" fillId="0" borderId="0" xfId="570" applyFont="1" applyBorder="1" applyProtection="1"/>
    <xf numFmtId="0" fontId="14" fillId="0" borderId="0" xfId="570" applyFont="1" applyBorder="1" applyProtection="1"/>
    <xf numFmtId="0" fontId="7" fillId="0" borderId="0" xfId="570" applyFont="1" applyAlignment="1" applyProtection="1">
      <alignment horizontal="left" indent="4"/>
    </xf>
    <xf numFmtId="0" fontId="7" fillId="0" borderId="0" xfId="570" quotePrefix="1" applyFont="1" applyAlignment="1" applyProtection="1">
      <alignment horizontal="left"/>
    </xf>
    <xf numFmtId="0" fontId="25" fillId="0" borderId="0" xfId="570" applyFont="1" applyProtection="1"/>
    <xf numFmtId="0" fontId="7" fillId="0" borderId="0" xfId="1193" applyFont="1" applyFill="1" applyAlignment="1" applyProtection="1">
      <alignment horizontal="left"/>
      <protection locked="0"/>
    </xf>
    <xf numFmtId="0" fontId="7" fillId="0" borderId="0" xfId="570" applyFont="1" applyFill="1" applyAlignment="1" applyProtection="1">
      <alignment horizontal="left"/>
      <protection locked="0"/>
    </xf>
    <xf numFmtId="0" fontId="7" fillId="0" borderId="0" xfId="1193" applyFont="1" applyFill="1" applyBorder="1" applyAlignment="1" applyProtection="1">
      <alignment horizontal="left"/>
    </xf>
    <xf numFmtId="49" fontId="7" fillId="0" borderId="0" xfId="1193" applyNumberFormat="1" applyAlignment="1">
      <alignment horizontal="center"/>
    </xf>
    <xf numFmtId="0" fontId="42" fillId="0" borderId="0" xfId="1193" applyFont="1" applyAlignment="1" applyProtection="1">
      <alignment horizontal="center"/>
    </xf>
    <xf numFmtId="49" fontId="7" fillId="0" borderId="0" xfId="570" applyNumberFormat="1" applyFont="1" applyAlignment="1" applyProtection="1">
      <alignment horizontal="center"/>
    </xf>
    <xf numFmtId="0" fontId="7" fillId="0" borderId="0" xfId="570" applyFont="1" applyAlignment="1" applyProtection="1"/>
    <xf numFmtId="0" fontId="7" fillId="0" borderId="0" xfId="570" applyAlignment="1" applyProtection="1"/>
    <xf numFmtId="0" fontId="7" fillId="0" borderId="0" xfId="570" applyFont="1" applyAlignment="1" applyProtection="1">
      <alignment horizontal="left" vertical="top" wrapText="1"/>
    </xf>
    <xf numFmtId="0" fontId="25" fillId="0" borderId="0" xfId="570" applyFont="1" applyFill="1" applyAlignment="1">
      <alignment horizontal="center"/>
    </xf>
    <xf numFmtId="0" fontId="14" fillId="0" borderId="0" xfId="1193" applyFont="1" applyFill="1" applyAlignment="1">
      <alignment horizontal="left"/>
    </xf>
    <xf numFmtId="49" fontId="14" fillId="0" borderId="0" xfId="570" applyNumberFormat="1" applyFont="1" applyFill="1" applyAlignment="1" applyProtection="1">
      <alignment horizontal="center"/>
    </xf>
    <xf numFmtId="49" fontId="14" fillId="0" borderId="0" xfId="570" applyNumberFormat="1" applyFont="1" applyFill="1" applyAlignment="1">
      <alignment horizontal="center"/>
    </xf>
    <xf numFmtId="0" fontId="14" fillId="0" borderId="0" xfId="570" applyFont="1" applyAlignment="1">
      <alignment horizontal="left"/>
    </xf>
    <xf numFmtId="0" fontId="14" fillId="0" borderId="0" xfId="570" applyFont="1" applyAlignment="1" applyProtection="1">
      <alignment horizontal="left"/>
    </xf>
    <xf numFmtId="4" fontId="7" fillId="0" borderId="0" xfId="1193" applyNumberFormat="1" applyFont="1" applyAlignment="1" applyProtection="1">
      <alignment horizontal="left"/>
    </xf>
    <xf numFmtId="0" fontId="25" fillId="0" borderId="0" xfId="570" applyFont="1" applyFill="1" applyAlignment="1" applyProtection="1">
      <alignment horizontal="center"/>
    </xf>
    <xf numFmtId="0" fontId="14" fillId="0" borderId="0" xfId="570" quotePrefix="1" applyFont="1" applyAlignment="1" applyProtection="1">
      <alignment horizontal="center"/>
    </xf>
    <xf numFmtId="0" fontId="25" fillId="0" borderId="0" xfId="570" applyFont="1" applyBorder="1" applyAlignment="1" applyProtection="1">
      <alignment horizontal="center"/>
    </xf>
    <xf numFmtId="0" fontId="7" fillId="0" borderId="0" xfId="570" applyFont="1" applyBorder="1" applyAlignment="1" applyProtection="1">
      <alignment horizontal="left"/>
    </xf>
    <xf numFmtId="49" fontId="7" fillId="0" borderId="0" xfId="570" applyNumberFormat="1" applyProtection="1"/>
    <xf numFmtId="0" fontId="39" fillId="0" borderId="0" xfId="570" applyFont="1" applyAlignment="1" applyProtection="1">
      <alignment horizontal="left"/>
    </xf>
    <xf numFmtId="0" fontId="7" fillId="0" borderId="0" xfId="570" applyFont="1" applyFill="1" applyBorder="1" applyProtection="1"/>
    <xf numFmtId="49" fontId="7" fillId="0" borderId="0" xfId="570" applyNumberFormat="1" applyFill="1" applyProtection="1"/>
    <xf numFmtId="0" fontId="7" fillId="0" borderId="0" xfId="570" applyFont="1" applyFill="1" applyAlignment="1" applyProtection="1">
      <alignment horizontal="left" vertical="top" wrapText="1"/>
    </xf>
    <xf numFmtId="49" fontId="7" fillId="0" borderId="0" xfId="570" applyNumberFormat="1" applyFont="1" applyProtection="1"/>
    <xf numFmtId="49" fontId="7" fillId="0" borderId="0" xfId="570" applyNumberFormat="1" applyFont="1" applyFill="1" applyProtection="1"/>
    <xf numFmtId="0" fontId="7" fillId="0" borderId="0" xfId="570" applyFont="1" applyFill="1" applyAlignment="1" applyProtection="1">
      <alignment horizontal="left"/>
    </xf>
    <xf numFmtId="4" fontId="42" fillId="0" borderId="0" xfId="570" applyNumberFormat="1" applyFont="1" applyAlignment="1" applyProtection="1">
      <alignment horizontal="center"/>
    </xf>
    <xf numFmtId="4" fontId="7" fillId="0" borderId="0" xfId="570" applyNumberFormat="1" applyFont="1" applyAlignment="1" applyProtection="1">
      <alignment horizontal="center"/>
    </xf>
    <xf numFmtId="4" fontId="7" fillId="0" borderId="0" xfId="570" applyNumberFormat="1" applyFont="1" applyProtection="1"/>
    <xf numFmtId="4" fontId="7" fillId="0" borderId="0" xfId="570" applyNumberFormat="1" applyFill="1" applyProtection="1"/>
    <xf numFmtId="49" fontId="14" fillId="0" borderId="0" xfId="570" applyNumberFormat="1" applyFont="1" applyAlignment="1" applyProtection="1">
      <alignment horizontal="left"/>
    </xf>
    <xf numFmtId="49" fontId="37" fillId="0" borderId="0" xfId="570" applyNumberFormat="1" applyFont="1" applyFill="1" applyBorder="1" applyAlignment="1" applyProtection="1">
      <alignment horizontal="center"/>
    </xf>
    <xf numFmtId="49" fontId="37" fillId="0" borderId="0" xfId="570" applyNumberFormat="1" applyFont="1" applyFill="1" applyBorder="1" applyAlignment="1">
      <alignment horizontal="center"/>
    </xf>
    <xf numFmtId="0" fontId="25" fillId="0" borderId="0" xfId="570" applyFont="1" applyBorder="1" applyAlignment="1" applyProtection="1">
      <alignment horizontal="left"/>
    </xf>
    <xf numFmtId="0" fontId="25" fillId="0" borderId="0" xfId="570" applyFont="1" applyFill="1" applyAlignment="1">
      <alignment horizontal="left"/>
    </xf>
    <xf numFmtId="0" fontId="37" fillId="0" borderId="0" xfId="570" applyFont="1" applyFill="1" applyAlignment="1">
      <alignment horizontal="left"/>
    </xf>
    <xf numFmtId="0" fontId="8" fillId="0" borderId="0" xfId="244" applyNumberFormat="1" applyFill="1" applyAlignment="1" applyProtection="1">
      <alignment horizontal="left"/>
      <protection locked="0"/>
    </xf>
    <xf numFmtId="0" fontId="36" fillId="0" borderId="0" xfId="0" applyFont="1" applyAlignment="1">
      <alignment horizontal="left" vertical="top" wrapText="1"/>
    </xf>
    <xf numFmtId="0" fontId="44" fillId="0" borderId="11" xfId="0" applyFont="1" applyFill="1" applyBorder="1" applyAlignment="1" applyProtection="1">
      <alignment horizontal="right" vertical="top" wrapText="1"/>
      <protection locked="0"/>
    </xf>
    <xf numFmtId="168" fontId="47" fillId="45" borderId="11" xfId="0" applyNumberFormat="1" applyFont="1" applyFill="1" applyBorder="1" applyAlignment="1" applyProtection="1">
      <alignment vertical="top" wrapText="1"/>
    </xf>
    <xf numFmtId="0" fontId="7" fillId="45" borderId="11" xfId="271" applyFont="1" applyFill="1" applyBorder="1" applyAlignment="1" applyProtection="1">
      <alignment horizontal="right" vertical="top" wrapText="1"/>
      <protection locked="0"/>
    </xf>
    <xf numFmtId="0" fontId="7" fillId="0" borderId="11" xfId="271" applyFont="1" applyFill="1" applyBorder="1" applyAlignment="1" applyProtection="1">
      <alignment horizontal="right" vertical="top" wrapText="1"/>
    </xf>
    <xf numFmtId="0" fontId="7" fillId="0" borderId="11" xfId="271" applyFont="1" applyBorder="1" applyAlignment="1" applyProtection="1">
      <alignment horizontal="right" vertical="top" wrapText="1"/>
    </xf>
    <xf numFmtId="0" fontId="15" fillId="0" borderId="0" xfId="570" applyFont="1" applyBorder="1" applyAlignment="1">
      <alignment horizontal="left"/>
    </xf>
    <xf numFmtId="0" fontId="96" fillId="0" borderId="0" xfId="0" applyFont="1" applyBorder="1"/>
    <xf numFmtId="0" fontId="7" fillId="0" borderId="0" xfId="0" applyFont="1" applyFill="1" applyAlignment="1">
      <alignment vertical="top" wrapText="1"/>
    </xf>
    <xf numFmtId="0" fontId="108" fillId="0" borderId="0" xfId="0" applyFont="1" applyBorder="1" applyAlignment="1" applyProtection="1">
      <alignment horizontal="left" vertical="top"/>
    </xf>
    <xf numFmtId="0" fontId="109" fillId="0" borderId="0" xfId="0" applyFont="1" applyBorder="1" applyAlignment="1" applyProtection="1">
      <alignment horizontal="left" vertical="top"/>
    </xf>
    <xf numFmtId="0" fontId="0" fillId="46" borderId="0" xfId="0" applyFill="1" applyProtection="1"/>
    <xf numFmtId="0" fontId="7" fillId="46" borderId="0" xfId="0" applyFont="1" applyFill="1" applyProtection="1"/>
    <xf numFmtId="0" fontId="26" fillId="0" borderId="0" xfId="0" applyFont="1" applyFill="1" applyProtection="1"/>
    <xf numFmtId="168" fontId="15"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7" fillId="0" borderId="0" xfId="1193" applyFont="1" applyFill="1" applyAlignment="1">
      <alignment horizontal="left" vertical="top" wrapText="1"/>
    </xf>
    <xf numFmtId="0" fontId="7" fillId="0" borderId="0" xfId="570" applyFont="1" applyAlignment="1">
      <alignment vertical="top" wrapText="1"/>
    </xf>
    <xf numFmtId="0" fontId="7" fillId="5" borderId="6" xfId="570" applyFill="1" applyBorder="1" applyAlignment="1" applyProtection="1">
      <alignment horizontal="left"/>
      <protection locked="0"/>
    </xf>
    <xf numFmtId="0" fontId="14" fillId="0" borderId="10" xfId="0" applyFont="1" applyBorder="1" applyAlignment="1" applyProtection="1">
      <alignment horizontal="right"/>
    </xf>
    <xf numFmtId="168" fontId="44" fillId="5" borderId="11" xfId="0" applyNumberFormat="1" applyFont="1" applyFill="1" applyBorder="1" applyAlignment="1" applyProtection="1">
      <alignment vertical="top" wrapText="1"/>
    </xf>
    <xf numFmtId="0" fontId="7" fillId="0" borderId="0" xfId="271" applyNumberFormat="1" applyFont="1" applyFill="1" applyAlignment="1" applyProtection="1">
      <alignment horizontal="left" vertical="top"/>
    </xf>
    <xf numFmtId="0" fontId="7" fillId="0" borderId="0" xfId="271" applyNumberFormat="1" applyFont="1" applyFill="1" applyBorder="1" applyAlignment="1" applyProtection="1">
      <alignment horizontal="left" vertical="top"/>
    </xf>
    <xf numFmtId="0" fontId="16" fillId="0" borderId="0" xfId="271" applyNumberFormat="1" applyFont="1" applyFill="1" applyBorder="1" applyAlignment="1" applyProtection="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xf numFmtId="0" fontId="7" fillId="0" borderId="0" xfId="0" applyFont="1" applyAlignment="1">
      <alignment vertical="top"/>
    </xf>
    <xf numFmtId="0" fontId="7" fillId="0" borderId="3" xfId="0" applyFont="1" applyFill="1" applyBorder="1" applyProtection="1"/>
    <xf numFmtId="0" fontId="44" fillId="0" borderId="0" xfId="570" applyFont="1" applyBorder="1" applyAlignment="1"/>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Border="1" applyAlignment="1" applyProtection="1">
      <alignment vertical="top" wrapText="1"/>
    </xf>
    <xf numFmtId="0" fontId="7" fillId="0" borderId="0" xfId="0" applyFont="1" applyBorder="1" applyAlignment="1" applyProtection="1">
      <alignment vertical="top"/>
    </xf>
    <xf numFmtId="0" fontId="7" fillId="0" borderId="0" xfId="0" applyFont="1" applyBorder="1" applyAlignment="1" applyProtection="1">
      <alignment horizontal="left" vertical="top" wrapText="1"/>
    </xf>
    <xf numFmtId="0" fontId="7" fillId="0" borderId="0" xfId="0" applyFont="1" applyBorder="1" applyAlignment="1" applyProtection="1">
      <alignment horizontal="left" vertical="top"/>
    </xf>
    <xf numFmtId="0" fontId="7" fillId="0" borderId="0" xfId="0" applyFont="1" applyAlignment="1" applyProtection="1">
      <alignment horizontal="left" vertical="top"/>
    </xf>
    <xf numFmtId="0" fontId="7" fillId="0" borderId="0" xfId="570" applyFont="1" applyBorder="1" applyAlignment="1">
      <alignment horizontal="left" vertical="top" wrapText="1"/>
    </xf>
    <xf numFmtId="0" fontId="37" fillId="0" borderId="0" xfId="570" applyFont="1" applyFill="1"/>
    <xf numFmtId="4" fontId="7" fillId="0" borderId="0" xfId="1193" applyNumberFormat="1" applyFont="1" applyFill="1" applyAlignment="1" applyProtection="1">
      <alignment vertical="top" wrapText="1"/>
    </xf>
    <xf numFmtId="0" fontId="14" fillId="0" borderId="16" xfId="271" applyFont="1" applyFill="1" applyBorder="1" applyAlignment="1" applyProtection="1"/>
    <xf numFmtId="0" fontId="51" fillId="0" borderId="0" xfId="570" applyFont="1" applyProtection="1"/>
    <xf numFmtId="0" fontId="31" fillId="0" borderId="0" xfId="570" applyFont="1" applyBorder="1" applyProtection="1"/>
    <xf numFmtId="0" fontId="7" fillId="0" borderId="0" xfId="0" applyFont="1" applyBorder="1" applyAlignment="1" applyProtection="1">
      <protection locked="0"/>
    </xf>
    <xf numFmtId="0" fontId="7" fillId="0" borderId="0" xfId="0" applyFont="1" applyFill="1" applyAlignment="1" applyProtection="1">
      <alignment horizontal="left" vertical="top"/>
    </xf>
    <xf numFmtId="0" fontId="7" fillId="0" borderId="0" xfId="0" applyFont="1" applyFill="1" applyAlignment="1" applyProtection="1"/>
    <xf numFmtId="0" fontId="7" fillId="0" borderId="0" xfId="570" applyFont="1" applyBorder="1" applyAlignment="1">
      <alignment vertical="top" wrapText="1"/>
    </xf>
    <xf numFmtId="0" fontId="7" fillId="0" borderId="0" xfId="570" applyFont="1" applyBorder="1" applyAlignment="1">
      <alignment vertical="top"/>
    </xf>
    <xf numFmtId="0" fontId="0" fillId="0" borderId="0" xfId="0" applyAlignment="1" applyProtection="1"/>
    <xf numFmtId="0" fontId="7" fillId="0" borderId="0" xfId="1193" applyFont="1" applyFill="1" applyBorder="1" applyAlignment="1" applyProtection="1">
      <alignment horizontal="left" vertical="top" wrapText="1"/>
    </xf>
    <xf numFmtId="0" fontId="7" fillId="0" borderId="0" xfId="1193" applyFont="1" applyAlignment="1" applyProtection="1">
      <alignment vertical="top" wrapText="1"/>
    </xf>
    <xf numFmtId="49" fontId="7" fillId="0" borderId="0" xfId="1193" applyNumberFormat="1" applyFont="1" applyFill="1" applyAlignment="1">
      <alignment vertical="top" wrapText="1"/>
    </xf>
    <xf numFmtId="0" fontId="46" fillId="0" borderId="9" xfId="543" applyFont="1" applyBorder="1" applyAlignment="1" applyProtection="1">
      <alignment vertical="top"/>
    </xf>
    <xf numFmtId="0" fontId="7" fillId="0" borderId="0" xfId="0" applyFont="1" applyAlignment="1" applyProtection="1">
      <alignment horizontal="left" vertical="top"/>
    </xf>
    <xf numFmtId="0" fontId="7" fillId="0" borderId="0" xfId="0" applyNumberFormat="1" applyFont="1" applyFill="1" applyAlignment="1" applyProtection="1">
      <alignment horizontal="left" vertical="top"/>
    </xf>
    <xf numFmtId="0" fontId="7" fillId="0" borderId="0" xfId="0" applyNumberFormat="1" applyFont="1" applyAlignment="1" applyProtection="1">
      <alignment horizontal="left" vertical="top"/>
    </xf>
    <xf numFmtId="0" fontId="7" fillId="0" borderId="0" xfId="0" applyFont="1" applyAlignment="1">
      <alignment vertical="center"/>
    </xf>
    <xf numFmtId="0" fontId="7" fillId="0" borderId="0" xfId="0" applyFont="1" applyFill="1" applyProtection="1">
      <protection locked="0"/>
    </xf>
    <xf numFmtId="0" fontId="44" fillId="5" borderId="11" xfId="0" applyFont="1" applyFill="1" applyBorder="1" applyAlignment="1" applyProtection="1">
      <alignment horizontal="right" vertical="top" wrapText="1"/>
      <protection locked="0"/>
    </xf>
    <xf numFmtId="168" fontId="7" fillId="5" borderId="0" xfId="0" applyNumberFormat="1" applyFont="1" applyFill="1"/>
    <xf numFmtId="3" fontId="7" fillId="5" borderId="0" xfId="0" applyNumberFormat="1" applyFont="1" applyFill="1"/>
    <xf numFmtId="0" fontId="13"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7" fillId="0" borderId="0" xfId="0" applyFont="1" applyBorder="1" applyAlignment="1">
      <alignment horizontal="left" vertical="top" wrapText="1"/>
    </xf>
    <xf numFmtId="0" fontId="96"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36" fillId="0" borderId="0" xfId="0" applyFont="1" applyAlignment="1">
      <alignment horizontal="left" vertical="top" wrapText="1"/>
    </xf>
    <xf numFmtId="0" fontId="104" fillId="0" borderId="0" xfId="0" applyFont="1" applyAlignment="1">
      <alignment horizontal="left" wrapText="1"/>
    </xf>
    <xf numFmtId="0" fontId="7" fillId="0" borderId="0" xfId="0" applyFont="1" applyFill="1" applyAlignment="1">
      <alignment horizontal="left" wrapText="1"/>
    </xf>
    <xf numFmtId="0" fontId="16" fillId="0" borderId="0" xfId="0" applyFont="1" applyFill="1" applyAlignment="1">
      <alignment horizontal="left" wrapText="1"/>
    </xf>
    <xf numFmtId="0" fontId="8" fillId="0" borderId="0" xfId="244" applyAlignment="1" applyProtection="1">
      <alignment horizontal="left"/>
    </xf>
    <xf numFmtId="0" fontId="8" fillId="0" borderId="0" xfId="244" applyBorder="1" applyAlignment="1" applyProtection="1">
      <alignment horizontal="left" vertical="top" wrapText="1"/>
    </xf>
    <xf numFmtId="0" fontId="7" fillId="0" borderId="0" xfId="1193" applyFont="1" applyAlignment="1">
      <alignment horizontal="left" vertical="top" wrapText="1"/>
    </xf>
    <xf numFmtId="0" fontId="14" fillId="0" borderId="0" xfId="0" applyFont="1" applyAlignment="1">
      <alignment horizontal="left" vertical="top" wrapText="1"/>
    </xf>
    <xf numFmtId="0" fontId="36" fillId="0" borderId="0" xfId="0" applyFont="1" applyFill="1" applyAlignment="1">
      <alignment horizontal="left" vertical="top" wrapText="1"/>
    </xf>
    <xf numFmtId="0" fontId="7" fillId="0" borderId="0" xfId="0" applyFont="1" applyAlignment="1">
      <alignment horizontal="left" wrapText="1"/>
    </xf>
    <xf numFmtId="0" fontId="7" fillId="0" borderId="0" xfId="1193" applyFont="1" applyFill="1" applyAlignment="1">
      <alignment horizontal="left" vertical="top" wrapText="1"/>
    </xf>
    <xf numFmtId="0" fontId="7" fillId="0" borderId="0" xfId="0" applyFont="1" applyAlignment="1">
      <alignment horizontal="left"/>
    </xf>
    <xf numFmtId="0" fontId="7" fillId="0" borderId="0" xfId="0" applyFont="1" applyAlignment="1" applyProtection="1">
      <alignment horizontal="left" vertical="top" wrapText="1"/>
    </xf>
    <xf numFmtId="0" fontId="7" fillId="0" borderId="0" xfId="0" applyFont="1" applyAlignment="1" applyProtection="1">
      <alignment horizontal="left"/>
    </xf>
    <xf numFmtId="0" fontId="25" fillId="0" borderId="0" xfId="1193" applyFont="1" applyAlignment="1" applyProtection="1">
      <alignment horizontal="left"/>
    </xf>
    <xf numFmtId="0" fontId="7" fillId="0" borderId="0" xfId="1193" applyFont="1" applyFill="1" applyAlignment="1" applyProtection="1">
      <alignment horizontal="left"/>
    </xf>
    <xf numFmtId="0" fontId="7" fillId="0" borderId="0" xfId="1193" applyFont="1" applyFill="1" applyAlignment="1" applyProtection="1">
      <alignment horizontal="left" vertical="top" wrapText="1"/>
    </xf>
    <xf numFmtId="4" fontId="7" fillId="0" borderId="0" xfId="1193" applyNumberFormat="1" applyFont="1" applyFill="1" applyAlignment="1" applyProtection="1">
      <alignment horizontal="left" vertical="top" wrapText="1"/>
    </xf>
    <xf numFmtId="0" fontId="14" fillId="0" borderId="4" xfId="570" applyFont="1" applyBorder="1" applyAlignment="1" applyProtection="1">
      <alignment horizontal="left"/>
    </xf>
    <xf numFmtId="0" fontId="25" fillId="0" borderId="0" xfId="0" applyFont="1" applyFill="1" applyAlignment="1">
      <alignment horizontal="left"/>
    </xf>
    <xf numFmtId="0" fontId="14" fillId="0" borderId="0" xfId="271" applyFont="1" applyFill="1" applyAlignment="1">
      <alignment horizontal="left" vertical="top" wrapText="1"/>
    </xf>
    <xf numFmtId="0" fontId="25" fillId="0" borderId="0" xfId="0" applyFont="1" applyAlignment="1">
      <alignment horizontal="left"/>
    </xf>
    <xf numFmtId="0" fontId="0" fillId="0" borderId="0" xfId="0" applyAlignment="1">
      <alignment horizontal="left" vertical="top" wrapText="1"/>
    </xf>
    <xf numFmtId="0" fontId="16" fillId="0" borderId="0" xfId="0" applyFont="1" applyAlignment="1" applyProtection="1">
      <alignment horizontal="left"/>
    </xf>
    <xf numFmtId="0" fontId="7" fillId="0" borderId="0" xfId="271" applyFont="1" applyFill="1" applyAlignment="1" applyProtection="1">
      <alignment horizontal="left" vertical="top" wrapText="1"/>
      <protection locked="0"/>
    </xf>
    <xf numFmtId="0" fontId="7" fillId="0" borderId="0" xfId="1193" applyFont="1" applyBorder="1" applyAlignment="1" applyProtection="1">
      <alignment horizontal="left" vertical="top" wrapText="1"/>
    </xf>
    <xf numFmtId="0" fontId="7" fillId="0" borderId="0" xfId="1193" applyFont="1" applyFill="1" applyBorder="1" applyAlignment="1" applyProtection="1">
      <alignment horizontal="left" vertical="top" wrapText="1"/>
    </xf>
    <xf numFmtId="0" fontId="7" fillId="0" borderId="0" xfId="1193" applyFont="1" applyAlignment="1" applyProtection="1">
      <alignment horizontal="left" vertical="top" wrapText="1"/>
    </xf>
    <xf numFmtId="0" fontId="8" fillId="0" borderId="0" xfId="244" applyAlignment="1">
      <alignment horizontal="left"/>
    </xf>
    <xf numFmtId="0" fontId="14" fillId="0" borderId="0" xfId="0" applyFont="1" applyAlignment="1">
      <alignment horizontal="left"/>
    </xf>
    <xf numFmtId="0" fontId="14" fillId="0" borderId="16" xfId="0" applyFont="1" applyFill="1" applyBorder="1" applyAlignment="1" applyProtection="1">
      <alignment horizontal="left"/>
    </xf>
    <xf numFmtId="0" fontId="7" fillId="0" borderId="27" xfId="0" applyFont="1" applyBorder="1" applyAlignment="1">
      <alignment horizontal="left"/>
    </xf>
    <xf numFmtId="0" fontId="7" fillId="0" borderId="0" xfId="1193" applyFont="1" applyAlignment="1" applyProtection="1">
      <alignment horizontal="left"/>
    </xf>
    <xf numFmtId="0" fontId="7" fillId="0" borderId="0" xfId="0" applyFont="1" applyFill="1" applyAlignment="1" applyProtection="1">
      <alignment horizontal="left" vertical="top" wrapText="1"/>
    </xf>
    <xf numFmtId="4" fontId="7" fillId="0" borderId="0" xfId="570" applyNumberFormat="1" applyFont="1" applyFill="1" applyAlignment="1" applyProtection="1">
      <alignment horizontal="left" vertical="top" wrapText="1"/>
    </xf>
    <xf numFmtId="0" fontId="25" fillId="0" borderId="0" xfId="570" applyFont="1" applyAlignment="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Alignment="1">
      <alignment horizontal="left"/>
    </xf>
    <xf numFmtId="0" fontId="25" fillId="0" borderId="0" xfId="0" applyFont="1" applyBorder="1" applyAlignment="1">
      <alignment horizontal="left"/>
    </xf>
    <xf numFmtId="0" fontId="7" fillId="0" borderId="0" xfId="0" applyFont="1" applyBorder="1" applyAlignment="1">
      <alignment horizontal="left"/>
    </xf>
    <xf numFmtId="4" fontId="7" fillId="0" borderId="0" xfId="1193" applyNumberFormat="1" applyFont="1" applyAlignment="1" applyProtection="1">
      <alignment horizontal="left" vertical="top" wrapText="1"/>
    </xf>
    <xf numFmtId="0" fontId="25" fillId="0" borderId="0" xfId="570" applyFont="1" applyBorder="1" applyAlignment="1">
      <alignment horizontal="left" vertical="top" wrapText="1"/>
    </xf>
    <xf numFmtId="0" fontId="7" fillId="0" borderId="0" xfId="570" applyFont="1" applyBorder="1" applyAlignment="1">
      <alignment horizontal="left" vertical="top"/>
    </xf>
    <xf numFmtId="0" fontId="25" fillId="0" borderId="0" xfId="0" applyFont="1" applyAlignment="1" applyProtection="1">
      <alignment horizontal="left"/>
    </xf>
    <xf numFmtId="0" fontId="7" fillId="0" borderId="0" xfId="271" applyFont="1" applyAlignment="1">
      <alignment horizontal="left" vertical="top" wrapText="1"/>
    </xf>
    <xf numFmtId="0" fontId="16" fillId="0" borderId="0" xfId="0" applyFont="1" applyAlignment="1" applyProtection="1">
      <alignment horizontal="left" vertical="top"/>
    </xf>
    <xf numFmtId="0" fontId="25" fillId="0" borderId="0" xfId="0" applyFont="1" applyAlignment="1">
      <alignment horizontal="left" vertical="top" wrapText="1"/>
    </xf>
    <xf numFmtId="0" fontId="25" fillId="0" borderId="0" xfId="0" applyFont="1" applyAlignment="1" applyProtection="1">
      <alignment horizontal="center"/>
    </xf>
    <xf numFmtId="0" fontId="0" fillId="0" borderId="0" xfId="0" applyAlignment="1" applyProtection="1"/>
    <xf numFmtId="0" fontId="25"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pplyProtection="1">
      <alignment horizontal="center"/>
    </xf>
    <xf numFmtId="0" fontId="0" fillId="0" borderId="0" xfId="0" applyFill="1" applyAlignment="1" applyProtection="1"/>
    <xf numFmtId="0" fontId="14" fillId="0" borderId="4" xfId="570" applyFont="1" applyBorder="1" applyAlignment="1">
      <alignment horizontal="left"/>
    </xf>
    <xf numFmtId="49" fontId="7" fillId="0" borderId="0" xfId="0" applyNumberFormat="1" applyFont="1" applyFill="1" applyAlignment="1">
      <alignment horizontal="left" vertical="top" wrapText="1"/>
    </xf>
    <xf numFmtId="49" fontId="7" fillId="0" borderId="0" xfId="1193" applyNumberFormat="1" applyFont="1" applyFill="1" applyAlignment="1">
      <alignment horizontal="left" vertical="top" wrapText="1"/>
    </xf>
    <xf numFmtId="4" fontId="25" fillId="0" borderId="0" xfId="0" applyNumberFormat="1" applyFont="1" applyFill="1" applyAlignment="1" applyProtection="1">
      <alignment horizontal="left"/>
    </xf>
    <xf numFmtId="4" fontId="7" fillId="0" borderId="0" xfId="0" applyNumberFormat="1" applyFont="1" applyFill="1" applyAlignment="1" applyProtection="1">
      <alignment horizontal="left" vertical="top" wrapText="1"/>
    </xf>
    <xf numFmtId="4" fontId="8" fillId="0" borderId="0" xfId="244" applyNumberFormat="1" applyFill="1" applyAlignment="1" applyProtection="1">
      <alignment horizontal="left"/>
    </xf>
    <xf numFmtId="0" fontId="7" fillId="0" borderId="0" xfId="271" applyFont="1" applyFill="1" applyAlignment="1">
      <alignment horizontal="left" vertical="top" wrapText="1"/>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alignment horizontal="left" vertical="top"/>
    </xf>
    <xf numFmtId="4" fontId="7" fillId="0" borderId="0" xfId="0" applyNumberFormat="1" applyFont="1" applyAlignment="1" applyProtection="1">
      <alignment horizontal="left" vertical="top" wrapText="1"/>
    </xf>
    <xf numFmtId="0" fontId="8" fillId="0" borderId="0" xfId="244" quotePrefix="1" applyAlignment="1" applyProtection="1">
      <alignment horizontal="left"/>
    </xf>
    <xf numFmtId="0" fontId="14" fillId="0" borderId="4" xfId="0" applyFont="1" applyBorder="1" applyAlignment="1" applyProtection="1">
      <alignment horizontal="left"/>
    </xf>
    <xf numFmtId="0" fontId="14" fillId="0" borderId="4" xfId="570" applyFont="1" applyBorder="1" applyAlignment="1" applyProtection="1">
      <alignment horizontal="left" vertical="top"/>
    </xf>
    <xf numFmtId="0" fontId="7" fillId="0" borderId="0" xfId="0" applyFont="1" applyAlignment="1" applyProtection="1">
      <alignment horizontal="left" vertical="top"/>
    </xf>
    <xf numFmtId="0" fontId="14" fillId="0" borderId="4" xfId="570" applyFont="1" applyFill="1" applyBorder="1" applyAlignment="1" applyProtection="1">
      <alignment horizontal="left"/>
    </xf>
    <xf numFmtId="0" fontId="25" fillId="0" borderId="0" xfId="570" applyFont="1" applyFill="1" applyBorder="1" applyAlignment="1">
      <alignment horizontal="left" vertical="top"/>
    </xf>
    <xf numFmtId="0" fontId="25" fillId="0" borderId="0" xfId="0" applyFont="1" applyAlignment="1">
      <alignment horizontal="left" wrapText="1"/>
    </xf>
    <xf numFmtId="0" fontId="7" fillId="0" borderId="0" xfId="0" applyFont="1" applyFill="1" applyAlignment="1">
      <alignment horizontal="left"/>
    </xf>
    <xf numFmtId="4" fontId="7" fillId="0" borderId="0" xfId="570" applyNumberFormat="1" applyFont="1" applyFill="1" applyAlignment="1" applyProtection="1">
      <alignment horizontal="left"/>
    </xf>
    <xf numFmtId="4" fontId="25" fillId="0" borderId="0" xfId="570" applyNumberFormat="1" applyFont="1" applyFill="1" applyAlignment="1" applyProtection="1">
      <alignment horizontal="left" vertical="top" wrapText="1"/>
    </xf>
    <xf numFmtId="0" fontId="105" fillId="0" borderId="0" xfId="570" applyFont="1" applyAlignment="1">
      <alignment horizontal="center"/>
    </xf>
    <xf numFmtId="0" fontId="106" fillId="0" borderId="0" xfId="570" applyFont="1" applyAlignment="1"/>
    <xf numFmtId="0" fontId="7" fillId="0" borderId="0" xfId="570" applyFont="1" applyAlignment="1">
      <alignment wrapText="1"/>
    </xf>
    <xf numFmtId="0" fontId="7" fillId="0" borderId="0" xfId="570" applyAlignment="1">
      <alignment wrapText="1"/>
    </xf>
    <xf numFmtId="0" fontId="14" fillId="0" borderId="0" xfId="570" applyFont="1" applyAlignment="1">
      <alignment wrapText="1"/>
    </xf>
    <xf numFmtId="0" fontId="55" fillId="0" borderId="0" xfId="570" applyFont="1" applyAlignment="1">
      <alignment horizontal="center"/>
    </xf>
    <xf numFmtId="0" fontId="7" fillId="0" borderId="0" xfId="570" applyAlignment="1"/>
    <xf numFmtId="0" fontId="22" fillId="0" borderId="0" xfId="570" applyFont="1" applyAlignment="1">
      <alignment horizontal="center"/>
    </xf>
    <xf numFmtId="0" fontId="7" fillId="0" borderId="0" xfId="570" applyFont="1" applyAlignment="1">
      <alignment horizontal="left" wrapText="1"/>
    </xf>
    <xf numFmtId="0" fontId="7" fillId="0" borderId="0" xfId="570" applyAlignment="1">
      <alignment horizontal="left" wrapText="1"/>
    </xf>
    <xf numFmtId="0" fontId="7" fillId="0" borderId="0" xfId="1193" applyFont="1" applyAlignment="1">
      <alignment wrapText="1"/>
    </xf>
    <xf numFmtId="0" fontId="7" fillId="0" borderId="0" xfId="1193" applyAlignment="1">
      <alignment wrapText="1"/>
    </xf>
    <xf numFmtId="0" fontId="7" fillId="0" borderId="0" xfId="570" applyFont="1" applyAlignment="1"/>
    <xf numFmtId="4" fontId="7" fillId="0" borderId="0" xfId="0" applyNumberFormat="1" applyFont="1" applyFill="1" applyAlignment="1" applyProtection="1">
      <alignment horizontal="left"/>
    </xf>
    <xf numFmtId="0" fontId="7" fillId="0" borderId="0" xfId="570" applyFont="1" applyFill="1" applyAlignment="1" applyProtection="1">
      <alignment horizontal="left" vertical="top" wrapText="1"/>
    </xf>
    <xf numFmtId="0" fontId="14" fillId="0" borderId="0" xfId="570" applyFont="1" applyAlignment="1">
      <alignment horizontal="left"/>
    </xf>
    <xf numFmtId="0" fontId="14" fillId="0" borderId="0" xfId="570" applyFont="1" applyAlignment="1">
      <alignment horizontal="left" vertical="top" wrapText="1"/>
    </xf>
    <xf numFmtId="0" fontId="107" fillId="0" borderId="0" xfId="570" applyFont="1" applyAlignment="1" applyProtection="1">
      <alignment horizontal="center"/>
    </xf>
    <xf numFmtId="0" fontId="106" fillId="0" borderId="0" xfId="570" applyFont="1" applyAlignment="1" applyProtection="1"/>
    <xf numFmtId="0" fontId="25" fillId="0" borderId="0" xfId="570" applyFont="1" applyFill="1" applyAlignment="1">
      <alignment horizontal="center"/>
    </xf>
    <xf numFmtId="0" fontId="7" fillId="0" borderId="0" xfId="570" applyFill="1" applyAlignment="1">
      <alignment horizontal="center"/>
    </xf>
    <xf numFmtId="0" fontId="14" fillId="0" borderId="0" xfId="570" applyFont="1" applyFill="1" applyAlignment="1" applyProtection="1">
      <alignment horizontal="center"/>
    </xf>
    <xf numFmtId="0" fontId="7" fillId="0" borderId="0" xfId="570" applyFill="1" applyAlignment="1" applyProtection="1"/>
    <xf numFmtId="0" fontId="25" fillId="0" borderId="0" xfId="570" applyFont="1" applyAlignment="1" applyProtection="1">
      <alignment horizontal="left"/>
    </xf>
    <xf numFmtId="0" fontId="7" fillId="0" borderId="0" xfId="570" applyFont="1" applyAlignment="1" applyProtection="1">
      <alignment horizontal="left" vertical="top"/>
    </xf>
    <xf numFmtId="0" fontId="14" fillId="0" borderId="0" xfId="570" applyFont="1" applyAlignment="1" applyProtection="1">
      <alignment horizontal="center"/>
    </xf>
    <xf numFmtId="0" fontId="7" fillId="0" borderId="0" xfId="570" applyFont="1" applyAlignment="1" applyProtection="1"/>
    <xf numFmtId="0" fontId="7" fillId="0" borderId="0" xfId="570" applyFont="1" applyFill="1" applyAlignment="1" applyProtection="1"/>
    <xf numFmtId="0" fontId="7" fillId="0" borderId="0" xfId="1193" applyFont="1" applyAlignment="1">
      <alignment horizontal="left"/>
    </xf>
    <xf numFmtId="0" fontId="7" fillId="0" borderId="0" xfId="570" applyFont="1" applyBorder="1" applyAlignment="1">
      <alignment horizontal="left" vertical="top" wrapText="1"/>
    </xf>
    <xf numFmtId="0" fontId="8" fillId="0" borderId="0" xfId="244" applyNumberFormat="1" applyFill="1" applyAlignment="1" applyProtection="1">
      <alignment horizontal="left"/>
    </xf>
    <xf numFmtId="0" fontId="25" fillId="0" borderId="0" xfId="570" applyFont="1" applyAlignment="1">
      <alignment horizontal="left" vertical="top" wrapText="1"/>
    </xf>
    <xf numFmtId="0" fontId="7" fillId="0" borderId="0" xfId="570" applyFont="1" applyAlignment="1" applyProtection="1">
      <alignment horizontal="left" vertical="top" wrapText="1"/>
    </xf>
    <xf numFmtId="0" fontId="14" fillId="0" borderId="16" xfId="570" applyFont="1" applyFill="1" applyBorder="1" applyAlignment="1" applyProtection="1">
      <alignment horizontal="left"/>
    </xf>
    <xf numFmtId="0" fontId="7" fillId="0" borderId="0" xfId="570" applyAlignment="1">
      <alignment horizontal="left" vertical="top" wrapText="1"/>
    </xf>
    <xf numFmtId="4" fontId="25" fillId="0" borderId="0" xfId="570" applyNumberFormat="1" applyFont="1" applyFill="1" applyAlignment="1" applyProtection="1">
      <alignment horizontal="left"/>
    </xf>
    <xf numFmtId="0" fontId="25" fillId="0" borderId="0" xfId="570" applyFont="1" applyFill="1" applyAlignment="1">
      <alignment horizontal="left"/>
    </xf>
    <xf numFmtId="0" fontId="7" fillId="0" borderId="0" xfId="570" applyFont="1" applyAlignment="1" applyProtection="1">
      <alignment horizontal="left"/>
    </xf>
    <xf numFmtId="0" fontId="25" fillId="0" borderId="0" xfId="570" applyFont="1" applyBorder="1" applyAlignment="1">
      <alignment horizontal="left"/>
    </xf>
    <xf numFmtId="0" fontId="7" fillId="0" borderId="0" xfId="570" applyFont="1" applyBorder="1" applyAlignment="1">
      <alignment horizontal="left"/>
    </xf>
    <xf numFmtId="4" fontId="7" fillId="0" borderId="0" xfId="570" applyNumberFormat="1" applyFont="1" applyAlignment="1" applyProtection="1">
      <alignment horizontal="left" vertical="top" wrapText="1"/>
    </xf>
    <xf numFmtId="0" fontId="7" fillId="0" borderId="0" xfId="1193" applyFont="1" applyFill="1" applyAlignment="1" applyProtection="1">
      <alignment horizontal="left" vertical="top" wrapText="1"/>
      <protection locked="0"/>
    </xf>
    <xf numFmtId="0" fontId="7" fillId="0" borderId="27" xfId="570" applyFont="1" applyBorder="1" applyAlignment="1">
      <alignment horizontal="left"/>
    </xf>
    <xf numFmtId="0" fontId="7" fillId="0" borderId="0" xfId="1193" applyFont="1" applyAlignment="1" applyProtection="1">
      <alignment vertical="top" wrapText="1"/>
    </xf>
    <xf numFmtId="0" fontId="25" fillId="0" borderId="0" xfId="570" applyFont="1" applyAlignment="1">
      <alignment horizontal="left" wrapText="1"/>
    </xf>
    <xf numFmtId="0" fontId="8" fillId="0" borderId="0" xfId="244" applyAlignment="1" applyProtection="1">
      <alignment horizontal="left" vertical="top" wrapText="1"/>
    </xf>
    <xf numFmtId="0" fontId="7" fillId="0" borderId="0" xfId="570" applyFont="1" applyFill="1" applyAlignment="1">
      <alignment horizontal="left"/>
    </xf>
    <xf numFmtId="0" fontId="7" fillId="5" borderId="6" xfId="570" applyFill="1" applyBorder="1" applyAlignment="1" applyProtection="1">
      <alignment horizontal="left"/>
      <protection locked="0"/>
    </xf>
    <xf numFmtId="0" fontId="14" fillId="0" borderId="0" xfId="0" applyFont="1" applyAlignment="1" applyProtection="1">
      <alignment horizontal="center"/>
    </xf>
    <xf numFmtId="0" fontId="40"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7"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0" borderId="1" xfId="0" applyFont="1" applyFill="1" applyBorder="1" applyAlignment="1" applyProtection="1">
      <alignment horizontal="center" vertical="top" wrapText="1"/>
    </xf>
    <xf numFmtId="0" fontId="16" fillId="0" borderId="2" xfId="0" applyFont="1" applyFill="1" applyBorder="1" applyAlignment="1" applyProtection="1">
      <alignment horizontal="center" vertical="top" wrapText="1"/>
    </xf>
    <xf numFmtId="0" fontId="16" fillId="0" borderId="7"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0" xfId="0" applyFont="1" applyFill="1" applyBorder="1" applyAlignment="1" applyProtection="1">
      <alignment horizontal="center" vertical="top" wrapText="1"/>
    </xf>
    <xf numFmtId="0" fontId="16" fillId="0" borderId="12" xfId="0" applyFont="1" applyFill="1" applyBorder="1" applyAlignment="1" applyProtection="1">
      <alignment horizontal="center" vertical="top" wrapText="1"/>
    </xf>
    <xf numFmtId="0" fontId="16" fillId="0" borderId="9" xfId="0" applyFont="1" applyFill="1" applyBorder="1" applyAlignment="1" applyProtection="1">
      <alignment horizontal="center" vertical="top" wrapText="1"/>
    </xf>
    <xf numFmtId="0" fontId="16" fillId="0" borderId="6" xfId="0" applyFont="1" applyFill="1" applyBorder="1" applyAlignment="1" applyProtection="1">
      <alignment horizontal="center" vertical="top" wrapText="1"/>
    </xf>
    <xf numFmtId="0" fontId="16" fillId="0" borderId="10" xfId="0" applyFont="1" applyFill="1" applyBorder="1" applyAlignment="1" applyProtection="1">
      <alignment horizontal="center" vertical="top" wrapText="1"/>
    </xf>
    <xf numFmtId="0" fontId="13" fillId="3" borderId="2" xfId="0" applyFont="1" applyFill="1" applyBorder="1" applyAlignment="1" applyProtection="1">
      <alignment horizontal="center" vertic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168" fontId="16"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7" fillId="5" borderId="6" xfId="0" applyNumberFormat="1"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1" fontId="7"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168" fontId="16" fillId="0" borderId="11" xfId="0" applyNumberFormat="1" applyFont="1" applyFill="1" applyBorder="1" applyAlignment="1" applyProtection="1">
      <alignment horizontal="center"/>
    </xf>
    <xf numFmtId="0" fontId="7" fillId="5" borderId="4" xfId="0" applyFont="1"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13" xfId="0" applyNumberFormat="1" applyFont="1" applyFill="1" applyBorder="1" applyAlignment="1" applyProtection="1">
      <alignment horizontal="center"/>
    </xf>
    <xf numFmtId="165" fontId="16" fillId="0" borderId="1" xfId="0" applyNumberFormat="1" applyFont="1" applyBorder="1" applyAlignment="1" applyProtection="1">
      <alignment horizontal="right"/>
    </xf>
    <xf numFmtId="165" fontId="16" fillId="0" borderId="2" xfId="0" applyNumberFormat="1" applyFont="1" applyBorder="1" applyAlignment="1" applyProtection="1">
      <alignment horizontal="right"/>
    </xf>
    <xf numFmtId="165" fontId="16" fillId="0" borderId="7" xfId="0" applyNumberFormat="1" applyFont="1" applyBorder="1" applyAlignment="1" applyProtection="1">
      <alignment horizontal="right"/>
    </xf>
    <xf numFmtId="0" fontId="14" fillId="0" borderId="11" xfId="0" applyFont="1" applyBorder="1" applyAlignment="1" applyProtection="1">
      <alignment horizontal="right"/>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5" xfId="0" applyFont="1" applyBorder="1" applyAlignment="1" applyProtection="1">
      <alignment horizontal="center"/>
    </xf>
    <xf numFmtId="2" fontId="7" fillId="0" borderId="11" xfId="543" applyNumberFormat="1" applyFont="1" applyBorder="1" applyAlignment="1" applyProtection="1">
      <alignment horizontal="center"/>
    </xf>
    <xf numFmtId="0" fontId="7"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7" fillId="0" borderId="0" xfId="543" applyFont="1" applyFill="1" applyAlignment="1" applyProtection="1">
      <alignment horizontal="center"/>
    </xf>
    <xf numFmtId="171" fontId="7" fillId="0" borderId="0" xfId="543" applyNumberFormat="1" applyFont="1" applyAlignment="1" applyProtection="1">
      <alignment horizontal="center"/>
    </xf>
    <xf numFmtId="0" fontId="14" fillId="0" borderId="11" xfId="0" applyFont="1" applyFill="1" applyBorder="1" applyAlignment="1" applyProtection="1">
      <alignment horizontal="center"/>
    </xf>
    <xf numFmtId="171" fontId="7" fillId="0" borderId="11" xfId="543" applyNumberFormat="1" applyFont="1" applyBorder="1" applyAlignment="1" applyProtection="1">
      <alignment horizontal="right"/>
    </xf>
    <xf numFmtId="164" fontId="15"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14" fillId="0" borderId="3" xfId="543" applyFont="1" applyFill="1" applyBorder="1" applyAlignment="1" applyProtection="1">
      <alignment horizontal="right"/>
    </xf>
    <xf numFmtId="0" fontId="14" fillId="0" borderId="4" xfId="543" applyFont="1" applyFill="1" applyBorder="1" applyAlignment="1" applyProtection="1">
      <alignment horizontal="right"/>
    </xf>
    <xf numFmtId="0" fontId="14"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4" fillId="0" borderId="3" xfId="0" applyFont="1" applyBorder="1" applyAlignment="1" applyProtection="1">
      <alignment horizontal="righ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3" fontId="35" fillId="11" borderId="6" xfId="543" applyNumberFormat="1" applyFont="1" applyFill="1" applyBorder="1" applyAlignment="1" applyProtection="1">
      <alignment horizontal="left" vertical="center" wrapText="1"/>
    </xf>
    <xf numFmtId="3" fontId="35" fillId="11" borderId="0" xfId="543" applyNumberFormat="1" applyFont="1" applyFill="1" applyBorder="1" applyAlignment="1" applyProtection="1">
      <alignment horizontal="left" vertical="center" wrapText="1"/>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168" fontId="7" fillId="0" borderId="1" xfId="543" applyNumberFormat="1" applyFont="1" applyFill="1" applyBorder="1" applyAlignment="1" applyProtection="1">
      <alignment horizontal="center" vertical="center"/>
    </xf>
    <xf numFmtId="168" fontId="7" fillId="0" borderId="2" xfId="543" applyNumberFormat="1" applyFont="1" applyFill="1" applyBorder="1" applyAlignment="1" applyProtection="1">
      <alignment horizontal="center" vertical="center"/>
    </xf>
    <xf numFmtId="168" fontId="7" fillId="0" borderId="7" xfId="543" applyNumberFormat="1" applyFont="1" applyFill="1" applyBorder="1" applyAlignment="1" applyProtection="1">
      <alignment horizontal="center"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168" fontId="16" fillId="5" borderId="11" xfId="0" applyNumberFormat="1"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4" fillId="0" borderId="2" xfId="0" applyFont="1" applyFill="1" applyBorder="1" applyAlignment="1" applyProtection="1">
      <alignment horizontal="center" wrapText="1"/>
    </xf>
    <xf numFmtId="0" fontId="14" fillId="0" borderId="7" xfId="0" applyFont="1" applyFill="1" applyBorder="1" applyAlignment="1" applyProtection="1">
      <alignment horizontal="center" wrapText="1"/>
    </xf>
    <xf numFmtId="0" fontId="14" fillId="0" borderId="6" xfId="0" applyFont="1" applyFill="1" applyBorder="1" applyAlignment="1" applyProtection="1">
      <alignment horizontal="center" wrapText="1"/>
    </xf>
    <xf numFmtId="0" fontId="14" fillId="0" borderId="10" xfId="0" applyFont="1" applyFill="1" applyBorder="1" applyAlignment="1" applyProtection="1">
      <alignment horizontal="center" wrapText="1"/>
    </xf>
    <xf numFmtId="0" fontId="16" fillId="0" borderId="11" xfId="0" applyFont="1" applyBorder="1" applyAlignment="1" applyProtection="1">
      <alignment horizontal="center"/>
    </xf>
    <xf numFmtId="168" fontId="16" fillId="0" borderId="0" xfId="544" applyNumberFormat="1" applyFont="1" applyBorder="1" applyAlignment="1" applyProtection="1">
      <alignment horizontal="right" vertical="center" wrapText="1"/>
    </xf>
    <xf numFmtId="175" fontId="16" fillId="0" borderId="0" xfId="544" applyNumberFormat="1" applyFont="1" applyBorder="1" applyAlignment="1" applyProtection="1">
      <alignment horizontal="center" vertical="center" wrapText="1"/>
    </xf>
    <xf numFmtId="0" fontId="7" fillId="0" borderId="11" xfId="543" applyFont="1" applyFill="1" applyBorder="1" applyAlignment="1" applyProtection="1">
      <alignment horizontal="center"/>
    </xf>
    <xf numFmtId="0" fontId="7" fillId="0" borderId="11" xfId="543" quotePrefix="1" applyFont="1" applyFill="1" applyBorder="1" applyAlignment="1" applyProtection="1">
      <alignment horizontal="center"/>
    </xf>
    <xf numFmtId="168" fontId="7" fillId="5" borderId="3" xfId="0" applyNumberFormat="1" applyFont="1" applyFill="1" applyBorder="1" applyAlignment="1" applyProtection="1">
      <alignment horizontal="right"/>
      <protection locked="0"/>
    </xf>
    <xf numFmtId="168" fontId="7" fillId="5" borderId="4" xfId="0" applyNumberFormat="1" applyFont="1" applyFill="1" applyBorder="1" applyAlignment="1" applyProtection="1">
      <alignment horizontal="right"/>
      <protection locked="0"/>
    </xf>
    <xf numFmtId="168" fontId="7" fillId="5" borderId="5" xfId="0" applyNumberFormat="1" applyFont="1" applyFill="1" applyBorder="1" applyAlignment="1" applyProtection="1">
      <alignment horizontal="right"/>
      <protection locked="0"/>
    </xf>
    <xf numFmtId="168" fontId="16" fillId="0" borderId="3" xfId="0" applyNumberFormat="1" applyFont="1" applyFill="1" applyBorder="1" applyAlignment="1" applyProtection="1">
      <alignment horizontal="center"/>
    </xf>
    <xf numFmtId="168" fontId="16" fillId="0" borderId="5" xfId="0" applyNumberFormat="1" applyFont="1" applyFill="1" applyBorder="1" applyAlignment="1" applyProtection="1">
      <alignment horizontal="center"/>
    </xf>
    <xf numFmtId="0" fontId="16"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4" fillId="0" borderId="6" xfId="0" applyFont="1" applyBorder="1" applyAlignment="1" applyProtection="1">
      <alignment horizontal="center"/>
    </xf>
    <xf numFmtId="0" fontId="7" fillId="0" borderId="11" xfId="0" applyFont="1" applyBorder="1" applyAlignment="1" applyProtection="1">
      <alignment horizontal="center"/>
    </xf>
    <xf numFmtId="14" fontId="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0" borderId="0" xfId="0" applyFont="1" applyAlignment="1" applyProtection="1">
      <alignment horizontal="left" vertical="top" wrapText="1"/>
    </xf>
    <xf numFmtId="166" fontId="7" fillId="5" borderId="4" xfId="0" applyNumberFormat="1" applyFont="1" applyFill="1" applyBorder="1" applyAlignment="1" applyProtection="1">
      <alignment horizontal="left"/>
      <protection locked="0"/>
    </xf>
    <xf numFmtId="0" fontId="7" fillId="0" borderId="3" xfId="543" applyFont="1" applyFill="1" applyBorder="1" applyAlignment="1" applyProtection="1">
      <alignment horizontal="center"/>
    </xf>
    <xf numFmtId="0" fontId="7" fillId="0" borderId="4" xfId="543" applyFont="1" applyFill="1" applyBorder="1" applyAlignment="1" applyProtection="1">
      <alignment horizontal="center"/>
    </xf>
    <xf numFmtId="0" fontId="7" fillId="0" borderId="5" xfId="543" applyFont="1" applyFill="1" applyBorder="1" applyAlignment="1" applyProtection="1">
      <alignment horizontal="center"/>
    </xf>
    <xf numFmtId="0" fontId="16"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6"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6" fillId="0" borderId="11" xfId="0" applyFont="1" applyFill="1" applyBorder="1" applyAlignment="1" applyProtection="1">
      <alignment horizontal="center" vertical="top" wrapText="1"/>
    </xf>
    <xf numFmtId="1" fontId="16" fillId="0" borderId="3" xfId="0" applyNumberFormat="1" applyFont="1" applyFill="1" applyBorder="1" applyAlignment="1" applyProtection="1">
      <alignment horizontal="center"/>
    </xf>
    <xf numFmtId="1" fontId="16" fillId="0" borderId="4" xfId="0" applyNumberFormat="1" applyFont="1" applyFill="1" applyBorder="1" applyAlignment="1" applyProtection="1">
      <alignment horizontal="center"/>
    </xf>
    <xf numFmtId="1" fontId="16" fillId="0" borderId="5" xfId="0" applyNumberFormat="1" applyFont="1" applyFill="1" applyBorder="1" applyAlignment="1" applyProtection="1">
      <alignment horizontal="center"/>
    </xf>
    <xf numFmtId="0" fontId="26" fillId="5" borderId="3" xfId="543" applyFont="1" applyFill="1" applyBorder="1" applyAlignment="1" applyProtection="1">
      <alignment horizontal="center"/>
    </xf>
    <xf numFmtId="0" fontId="26" fillId="5" borderId="4" xfId="543" applyFont="1" applyFill="1" applyBorder="1" applyAlignment="1" applyProtection="1">
      <alignment horizontal="center"/>
    </xf>
    <xf numFmtId="0" fontId="26" fillId="5" borderId="5" xfId="543" applyFont="1" applyFill="1" applyBorder="1" applyAlignment="1" applyProtection="1">
      <alignment horizontal="center"/>
    </xf>
    <xf numFmtId="49" fontId="7" fillId="5" borderId="3" xfId="543" applyNumberFormat="1" applyFont="1" applyFill="1" applyBorder="1" applyAlignment="1" applyProtection="1">
      <alignment horizontal="center"/>
    </xf>
    <xf numFmtId="49" fontId="7" fillId="5" borderId="5" xfId="543" applyNumberFormat="1" applyFont="1" applyFill="1" applyBorder="1" applyAlignment="1" applyProtection="1">
      <alignment horizontal="center"/>
    </xf>
    <xf numFmtId="0" fontId="14" fillId="0" borderId="3" xfId="271" applyFont="1" applyBorder="1" applyAlignment="1" applyProtection="1">
      <alignment horizontal="right"/>
    </xf>
    <xf numFmtId="0" fontId="14" fillId="0" borderId="4" xfId="271" applyFont="1" applyBorder="1" applyAlignment="1" applyProtection="1">
      <alignment horizontal="right"/>
    </xf>
    <xf numFmtId="0" fontId="14" fillId="0" borderId="5" xfId="271" applyFont="1" applyBorder="1" applyAlignment="1" applyProtection="1">
      <alignment horizontal="right"/>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168" fontId="7" fillId="0" borderId="9" xfId="543" applyNumberFormat="1" applyFont="1" applyFill="1" applyBorder="1" applyAlignment="1" applyProtection="1">
      <alignment horizontal="center" vertical="center"/>
    </xf>
    <xf numFmtId="168" fontId="7" fillId="0" borderId="6" xfId="543" applyNumberFormat="1" applyFont="1" applyFill="1" applyBorder="1" applyAlignment="1" applyProtection="1">
      <alignment horizontal="center" vertical="center"/>
    </xf>
    <xf numFmtId="168" fontId="7" fillId="0" borderId="10" xfId="543" applyNumberFormat="1" applyFont="1" applyFill="1" applyBorder="1" applyAlignment="1" applyProtection="1">
      <alignment horizontal="center" vertical="center"/>
    </xf>
    <xf numFmtId="0" fontId="7" fillId="0" borderId="8" xfId="543" applyFont="1" applyBorder="1" applyAlignment="1" applyProtection="1">
      <alignment horizontal="left" vertical="top" wrapText="1"/>
    </xf>
    <xf numFmtId="0" fontId="7" fillId="0" borderId="0" xfId="543" applyFont="1" applyBorder="1" applyAlignment="1" applyProtection="1">
      <alignment horizontal="left" vertical="top" wrapText="1"/>
    </xf>
    <xf numFmtId="0" fontId="7" fillId="0" borderId="12" xfId="543" applyFont="1" applyBorder="1" applyAlignment="1" applyProtection="1">
      <alignment horizontal="left" vertical="top" wrapText="1"/>
    </xf>
    <xf numFmtId="0" fontId="14" fillId="0" borderId="1" xfId="543" applyFont="1" applyBorder="1" applyAlignment="1" applyProtection="1">
      <alignment horizontal="left" vertical="center" wrapText="1"/>
    </xf>
    <xf numFmtId="0" fontId="14" fillId="0" borderId="2" xfId="543" applyFont="1" applyBorder="1" applyAlignment="1" applyProtection="1">
      <alignment horizontal="left" vertical="center" wrapText="1"/>
    </xf>
    <xf numFmtId="0" fontId="14" fillId="0" borderId="7" xfId="543" applyFont="1" applyBorder="1" applyAlignment="1" applyProtection="1">
      <alignment horizontal="left" vertical="center" wrapText="1"/>
    </xf>
    <xf numFmtId="0" fontId="7" fillId="0" borderId="9" xfId="543" applyFont="1" applyBorder="1" applyAlignment="1" applyProtection="1">
      <alignment horizontal="left" vertical="top" wrapText="1"/>
    </xf>
    <xf numFmtId="0" fontId="7" fillId="0" borderId="6" xfId="543" applyFont="1" applyBorder="1" applyAlignment="1" applyProtection="1">
      <alignment horizontal="left" vertical="top" wrapText="1"/>
    </xf>
    <xf numFmtId="0" fontId="7" fillId="0" borderId="10" xfId="543" applyFont="1" applyBorder="1" applyAlignment="1" applyProtection="1">
      <alignment horizontal="left" vertical="top" wrapText="1"/>
    </xf>
    <xf numFmtId="0" fontId="16" fillId="5" borderId="6" xfId="0" applyFont="1" applyFill="1" applyBorder="1" applyAlignment="1" applyProtection="1">
      <alignment horizontal="left" wrapText="1"/>
      <protection locked="0"/>
    </xf>
    <xf numFmtId="0" fontId="16" fillId="5" borderId="3" xfId="0" applyNumberFormat="1" applyFont="1" applyFill="1" applyBorder="1" applyAlignment="1" applyProtection="1">
      <alignment horizontal="right" vertical="top"/>
      <protection locked="0"/>
    </xf>
    <xf numFmtId="0" fontId="16" fillId="5" borderId="4" xfId="0" applyNumberFormat="1" applyFont="1" applyFill="1" applyBorder="1" applyAlignment="1" applyProtection="1">
      <alignment horizontal="right" vertical="top"/>
      <protection locked="0"/>
    </xf>
    <xf numFmtId="0" fontId="16" fillId="5" borderId="5" xfId="0" applyNumberFormat="1" applyFont="1" applyFill="1" applyBorder="1" applyAlignment="1" applyProtection="1">
      <alignment horizontal="right" vertical="top"/>
      <protection locked="0"/>
    </xf>
    <xf numFmtId="168" fontId="16" fillId="5" borderId="13" xfId="0" applyNumberFormat="1" applyFont="1" applyFill="1" applyBorder="1" applyAlignment="1" applyProtection="1">
      <alignment horizontal="center"/>
      <protection locked="0"/>
    </xf>
    <xf numFmtId="0" fontId="13" fillId="3" borderId="2"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166" fontId="7" fillId="5" borderId="6" xfId="271" applyNumberFormat="1"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14" fillId="0" borderId="17" xfId="0" applyFont="1" applyFill="1" applyBorder="1" applyAlignment="1" applyProtection="1">
      <alignment horizontal="center"/>
    </xf>
    <xf numFmtId="168" fontId="14" fillId="0" borderId="3" xfId="543" applyNumberFormat="1" applyFont="1" applyFill="1" applyBorder="1" applyAlignment="1" applyProtection="1">
      <alignment horizontal="center" vertical="center"/>
    </xf>
    <xf numFmtId="168" fontId="14" fillId="0" borderId="4" xfId="543" applyNumberFormat="1" applyFont="1" applyFill="1" applyBorder="1" applyAlignment="1" applyProtection="1">
      <alignment horizontal="center" vertical="center"/>
    </xf>
    <xf numFmtId="168" fontId="14"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7" fillId="0" borderId="1" xfId="543" applyNumberFormat="1" applyFont="1" applyBorder="1" applyAlignment="1" applyProtection="1">
      <alignment horizontal="center" vertical="center"/>
    </xf>
    <xf numFmtId="168" fontId="7" fillId="0" borderId="2" xfId="543" applyNumberFormat="1" applyFont="1" applyBorder="1" applyAlignment="1" applyProtection="1">
      <alignment horizontal="center" vertical="center"/>
    </xf>
    <xf numFmtId="168" fontId="7" fillId="0" borderId="7" xfId="543" applyNumberFormat="1" applyFont="1" applyBorder="1" applyAlignment="1" applyProtection="1">
      <alignment horizontal="center" vertical="center"/>
    </xf>
    <xf numFmtId="168" fontId="7" fillId="0" borderId="8" xfId="543" applyNumberFormat="1" applyFont="1" applyBorder="1" applyAlignment="1" applyProtection="1">
      <alignment horizontal="center" vertical="center"/>
    </xf>
    <xf numFmtId="168" fontId="7" fillId="0" borderId="0" xfId="543" applyNumberFormat="1" applyFont="1" applyBorder="1" applyAlignment="1" applyProtection="1">
      <alignment horizontal="center" vertical="center"/>
    </xf>
    <xf numFmtId="168" fontId="7" fillId="0" borderId="12" xfId="543" applyNumberFormat="1" applyFont="1" applyBorder="1" applyAlignment="1" applyProtection="1">
      <alignment horizontal="center" vertical="center"/>
    </xf>
    <xf numFmtId="168" fontId="7" fillId="0" borderId="9" xfId="543" applyNumberFormat="1" applyFont="1" applyBorder="1" applyAlignment="1" applyProtection="1">
      <alignment horizontal="center" vertical="center"/>
    </xf>
    <xf numFmtId="168" fontId="7" fillId="0" borderId="6" xfId="543" applyNumberFormat="1" applyFont="1" applyBorder="1" applyAlignment="1" applyProtection="1">
      <alignment horizontal="center" vertical="center"/>
    </xf>
    <xf numFmtId="168" fontId="7" fillId="0" borderId="10" xfId="543" applyNumberFormat="1" applyFont="1" applyBorder="1" applyAlignment="1" applyProtection="1">
      <alignment horizontal="center" vertical="center"/>
    </xf>
    <xf numFmtId="0" fontId="26" fillId="0" borderId="3" xfId="543" applyFont="1" applyFill="1" applyBorder="1" applyAlignment="1" applyProtection="1">
      <alignment horizontal="center"/>
    </xf>
    <xf numFmtId="0" fontId="26" fillId="0" borderId="5" xfId="543" applyFont="1" applyFill="1" applyBorder="1" applyAlignment="1" applyProtection="1">
      <alignment horizontal="center"/>
    </xf>
    <xf numFmtId="0" fontId="34" fillId="0" borderId="9" xfId="543" applyFont="1" applyBorder="1" applyAlignment="1" applyProtection="1">
      <alignment horizontal="center" vertical="center" wrapText="1"/>
    </xf>
    <xf numFmtId="0" fontId="34" fillId="0" borderId="6" xfId="543" applyFont="1" applyBorder="1" applyAlignment="1" applyProtection="1">
      <alignment horizontal="center" vertical="center" wrapText="1"/>
    </xf>
    <xf numFmtId="0" fontId="34" fillId="0" borderId="10" xfId="543" applyFont="1" applyBorder="1" applyAlignment="1" applyProtection="1">
      <alignment horizontal="center" vertical="center" wrapText="1"/>
    </xf>
    <xf numFmtId="168" fontId="7" fillId="11" borderId="3" xfId="543" applyNumberFormat="1" applyFont="1" applyFill="1" applyBorder="1" applyAlignment="1" applyProtection="1">
      <alignment horizontal="center"/>
    </xf>
    <xf numFmtId="168" fontId="7" fillId="11" borderId="4" xfId="543" applyNumberFormat="1" applyFont="1" applyFill="1" applyBorder="1" applyAlignment="1" applyProtection="1">
      <alignment horizontal="center"/>
    </xf>
    <xf numFmtId="168" fontId="7" fillId="11" borderId="5" xfId="543" applyNumberFormat="1" applyFont="1" applyFill="1" applyBorder="1" applyAlignment="1" applyProtection="1">
      <alignment horizontal="center"/>
    </xf>
    <xf numFmtId="168" fontId="7" fillId="5" borderId="1" xfId="543" applyNumberFormat="1" applyFont="1" applyFill="1" applyBorder="1" applyAlignment="1" applyProtection="1">
      <alignment horizontal="center" vertical="center"/>
      <protection locked="0"/>
    </xf>
    <xf numFmtId="168" fontId="7" fillId="5" borderId="2" xfId="543" applyNumberFormat="1" applyFont="1" applyFill="1" applyBorder="1" applyAlignment="1" applyProtection="1">
      <alignment horizontal="center" vertical="center"/>
      <protection locked="0"/>
    </xf>
    <xf numFmtId="168" fontId="7" fillId="5" borderId="7" xfId="543" applyNumberFormat="1" applyFont="1" applyFill="1" applyBorder="1" applyAlignment="1" applyProtection="1">
      <alignment horizontal="center" vertical="center"/>
      <protection locked="0"/>
    </xf>
    <xf numFmtId="168" fontId="7" fillId="5" borderId="8" xfId="543" applyNumberFormat="1" applyFont="1" applyFill="1" applyBorder="1" applyAlignment="1" applyProtection="1">
      <alignment horizontal="center" vertical="center"/>
      <protection locked="0"/>
    </xf>
    <xf numFmtId="168" fontId="7" fillId="5" borderId="0" xfId="543" applyNumberFormat="1" applyFont="1" applyFill="1" applyBorder="1" applyAlignment="1" applyProtection="1">
      <alignment horizontal="center" vertical="center"/>
      <protection locked="0"/>
    </xf>
    <xf numFmtId="168" fontId="7" fillId="5" borderId="12" xfId="543" applyNumberFormat="1" applyFont="1" applyFill="1" applyBorder="1" applyAlignment="1" applyProtection="1">
      <alignment horizontal="center" vertical="center"/>
      <protection locked="0"/>
    </xf>
    <xf numFmtId="168" fontId="7" fillId="5" borderId="9" xfId="543" applyNumberFormat="1" applyFont="1" applyFill="1" applyBorder="1" applyAlignment="1" applyProtection="1">
      <alignment horizontal="center" vertical="center"/>
      <protection locked="0"/>
    </xf>
    <xf numFmtId="168" fontId="7" fillId="5" borderId="6" xfId="543" applyNumberFormat="1" applyFont="1" applyFill="1" applyBorder="1" applyAlignment="1" applyProtection="1">
      <alignment horizontal="center" vertical="center"/>
      <protection locked="0"/>
    </xf>
    <xf numFmtId="168" fontId="7"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5" fillId="0" borderId="3"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0" fontId="15" fillId="0" borderId="3" xfId="543" applyFont="1" applyFill="1" applyBorder="1" applyAlignment="1" applyProtection="1">
      <alignment horizontal="center"/>
    </xf>
    <xf numFmtId="0" fontId="15" fillId="0" borderId="5" xfId="543" applyFont="1" applyFill="1" applyBorder="1" applyAlignment="1" applyProtection="1">
      <alignment horizontal="center"/>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34"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7"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7"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0" fontId="14" fillId="0" borderId="46" xfId="0" applyFont="1" applyBorder="1" applyAlignment="1" applyProtection="1">
      <alignment horizontal="right"/>
    </xf>
    <xf numFmtId="0" fontId="14" fillId="0" borderId="17" xfId="0" applyFont="1" applyBorder="1" applyAlignment="1" applyProtection="1">
      <alignment horizontal="right"/>
    </xf>
    <xf numFmtId="0" fontId="14" fillId="0" borderId="47" xfId="0" applyFont="1" applyBorder="1" applyAlignment="1" applyProtection="1">
      <alignment horizontal="right"/>
    </xf>
    <xf numFmtId="0" fontId="15"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7" fillId="0" borderId="4" xfId="543" applyNumberFormat="1" applyFont="1" applyBorder="1" applyAlignment="1" applyProtection="1">
      <alignment horizontal="right" vertical="top" wrapText="1"/>
    </xf>
    <xf numFmtId="0" fontId="27" fillId="0" borderId="5" xfId="543" applyNumberFormat="1" applyFont="1" applyBorder="1" applyAlignment="1" applyProtection="1">
      <alignment horizontal="right" vertical="top" wrapText="1"/>
    </xf>
    <xf numFmtId="0" fontId="14" fillId="0" borderId="1" xfId="0" applyFont="1" applyBorder="1" applyAlignment="1" applyProtection="1">
      <alignment horizontal="center" wrapText="1"/>
    </xf>
    <xf numFmtId="0" fontId="14" fillId="0" borderId="2"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6" xfId="0" applyFont="1" applyBorder="1" applyAlignment="1" applyProtection="1">
      <alignment horizontal="center" wrapText="1"/>
    </xf>
    <xf numFmtId="0" fontId="27" fillId="0" borderId="1" xfId="543" applyFont="1" applyFill="1" applyBorder="1" applyAlignment="1" applyProtection="1">
      <alignment horizontal="right"/>
    </xf>
    <xf numFmtId="0" fontId="27" fillId="0" borderId="2" xfId="543" applyFont="1" applyFill="1" applyBorder="1" applyAlignment="1" applyProtection="1">
      <alignment horizontal="right"/>
    </xf>
    <xf numFmtId="0" fontId="27" fillId="0" borderId="7" xfId="543" applyFont="1" applyFill="1" applyBorder="1" applyAlignment="1" applyProtection="1">
      <alignment horizontal="right"/>
    </xf>
    <xf numFmtId="168" fontId="7" fillId="0" borderId="3" xfId="543" applyNumberFormat="1" applyFont="1" applyFill="1" applyBorder="1" applyAlignment="1" applyProtection="1">
      <alignment horizontal="center"/>
    </xf>
    <xf numFmtId="168" fontId="7" fillId="0" borderId="4" xfId="543" applyNumberFormat="1" applyFont="1" applyFill="1" applyBorder="1" applyAlignment="1" applyProtection="1">
      <alignment horizontal="center"/>
    </xf>
    <xf numFmtId="168" fontId="7"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8" fontId="15" fillId="0" borderId="6" xfId="0" applyNumberFormat="1" applyFont="1" applyBorder="1" applyAlignment="1" applyProtection="1">
      <alignment horizontal="left"/>
    </xf>
    <xf numFmtId="168" fontId="15" fillId="0" borderId="10" xfId="0" applyNumberFormat="1" applyFont="1" applyBorder="1" applyAlignment="1" applyProtection="1">
      <alignment horizontal="left"/>
    </xf>
    <xf numFmtId="0" fontId="7" fillId="5" borderId="3" xfId="0" applyNumberFormat="1" applyFont="1" applyFill="1" applyBorder="1" applyAlignment="1" applyProtection="1">
      <alignment horizontal="right"/>
      <protection locked="0"/>
    </xf>
    <xf numFmtId="0" fontId="7" fillId="5" borderId="4" xfId="0" applyNumberFormat="1" applyFont="1" applyFill="1" applyBorder="1" applyAlignment="1" applyProtection="1">
      <alignment horizontal="right"/>
      <protection locked="0"/>
    </xf>
    <xf numFmtId="0" fontId="7" fillId="5" borderId="5" xfId="0" applyNumberFormat="1" applyFont="1" applyFill="1" applyBorder="1" applyAlignment="1" applyProtection="1">
      <alignment horizontal="right"/>
      <protection locked="0"/>
    </xf>
    <xf numFmtId="0" fontId="7" fillId="5" borderId="3" xfId="543" applyFont="1"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0" fontId="44" fillId="5" borderId="3" xfId="0" applyNumberFormat="1" applyFont="1" applyFill="1" applyBorder="1" applyAlignment="1" applyProtection="1">
      <alignment horizontal="center"/>
      <protection locked="0"/>
    </xf>
    <xf numFmtId="0" fontId="44" fillId="5" borderId="4" xfId="0" applyNumberFormat="1" applyFont="1" applyFill="1" applyBorder="1" applyAlignment="1" applyProtection="1">
      <alignment horizontal="center"/>
      <protection locked="0"/>
    </xf>
    <xf numFmtId="0" fontId="44" fillId="5" borderId="5" xfId="0" applyNumberFormat="1" applyFont="1" applyFill="1" applyBorder="1" applyAlignment="1" applyProtection="1">
      <alignment horizontal="center"/>
      <protection locked="0"/>
    </xf>
    <xf numFmtId="171" fontId="7" fillId="0" borderId="9" xfId="543" applyNumberFormat="1" applyFont="1" applyBorder="1" applyAlignment="1" applyProtection="1">
      <alignment horizontal="center"/>
    </xf>
    <xf numFmtId="171" fontId="7" fillId="0" borderId="6" xfId="543" applyNumberFormat="1" applyFont="1" applyBorder="1" applyAlignment="1" applyProtection="1">
      <alignment horizontal="center"/>
    </xf>
    <xf numFmtId="171" fontId="7"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8" fillId="0" borderId="11" xfId="543" applyFont="1" applyFill="1" applyBorder="1" applyAlignment="1" applyProtection="1">
      <alignment horizontal="center"/>
    </xf>
    <xf numFmtId="9" fontId="7" fillId="5" borderId="3" xfId="0" applyNumberFormat="1" applyFont="1" applyFill="1" applyBorder="1" applyAlignment="1" applyProtection="1">
      <alignment horizontal="right"/>
      <protection locked="0"/>
    </xf>
    <xf numFmtId="168" fontId="7" fillId="5" borderId="3" xfId="0" applyNumberFormat="1" applyFont="1" applyFill="1" applyBorder="1" applyAlignment="1" applyProtection="1">
      <alignment horizontal="left"/>
      <protection locked="0"/>
    </xf>
    <xf numFmtId="168" fontId="7" fillId="5" borderId="4" xfId="0" applyNumberFormat="1" applyFont="1" applyFill="1" applyBorder="1" applyAlignment="1" applyProtection="1">
      <alignment horizontal="left"/>
      <protection locked="0"/>
    </xf>
    <xf numFmtId="168" fontId="7" fillId="5" borderId="5" xfId="0" applyNumberFormat="1" applyFont="1" applyFill="1" applyBorder="1" applyAlignment="1" applyProtection="1">
      <alignment horizontal="left"/>
      <protection locked="0"/>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1" fontId="7" fillId="0" borderId="11" xfId="543" applyNumberFormat="1" applyFont="1" applyFill="1" applyBorder="1" applyAlignment="1" applyProtection="1">
      <alignment horizontal="center"/>
    </xf>
    <xf numFmtId="0" fontId="44" fillId="5" borderId="3" xfId="0" applyNumberFormat="1" applyFont="1" applyFill="1" applyBorder="1" applyAlignment="1" applyProtection="1">
      <alignment horizontal="right"/>
      <protection locked="0"/>
    </xf>
    <xf numFmtId="0" fontId="44" fillId="5" borderId="4" xfId="0" applyNumberFormat="1" applyFont="1" applyFill="1" applyBorder="1" applyAlignment="1" applyProtection="1">
      <alignment horizontal="right"/>
      <protection locked="0"/>
    </xf>
    <xf numFmtId="0" fontId="44" fillId="5" borderId="5" xfId="0" applyNumberFormat="1" applyFont="1" applyFill="1" applyBorder="1" applyAlignment="1" applyProtection="1">
      <alignment horizontal="right"/>
      <protection locked="0"/>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0" fontId="14" fillId="5" borderId="11" xfId="0" applyFont="1" applyFill="1" applyBorder="1" applyAlignment="1" applyProtection="1">
      <alignment horizontal="center"/>
      <protection locked="0"/>
    </xf>
    <xf numFmtId="171" fontId="7" fillId="0" borderId="3" xfId="543" applyNumberFormat="1" applyFont="1" applyBorder="1" applyAlignment="1" applyProtection="1">
      <alignment horizontal="center"/>
    </xf>
    <xf numFmtId="171" fontId="7" fillId="0" borderId="4" xfId="543" applyNumberFormat="1" applyFont="1" applyBorder="1" applyAlignment="1" applyProtection="1">
      <alignment horizontal="center"/>
    </xf>
    <xf numFmtId="171" fontId="7"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5" fillId="5" borderId="4" xfId="0" applyNumberFormat="1" applyFont="1" applyFill="1" applyBorder="1" applyAlignment="1" applyProtection="1">
      <alignment horizontal="left"/>
      <protection locked="0"/>
    </xf>
    <xf numFmtId="164" fontId="15" fillId="5" borderId="5" xfId="0" applyNumberFormat="1" applyFont="1" applyFill="1" applyBorder="1" applyAlignment="1" applyProtection="1">
      <alignment horizontal="left"/>
      <protection locked="0"/>
    </xf>
    <xf numFmtId="0" fontId="14" fillId="5" borderId="3" xfId="0" applyFont="1" applyFill="1" applyBorder="1" applyAlignment="1" applyProtection="1">
      <alignment horizontal="right"/>
      <protection locked="0"/>
    </xf>
    <xf numFmtId="0" fontId="14" fillId="5" borderId="4" xfId="0" applyFont="1" applyFill="1" applyBorder="1" applyAlignment="1" applyProtection="1">
      <alignment horizontal="right"/>
      <protection locked="0"/>
    </xf>
    <xf numFmtId="0" fontId="14"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4" fillId="0" borderId="1" xfId="0" applyFont="1" applyBorder="1" applyAlignment="1" applyProtection="1">
      <alignment horizontal="center"/>
    </xf>
    <xf numFmtId="0" fontId="14" fillId="0" borderId="2" xfId="0" applyFont="1" applyBorder="1" applyAlignment="1" applyProtection="1">
      <alignment horizontal="center"/>
    </xf>
    <xf numFmtId="0" fontId="14" fillId="0" borderId="7" xfId="0" applyFont="1" applyBorder="1" applyAlignment="1" applyProtection="1">
      <alignment horizontal="center"/>
    </xf>
    <xf numFmtId="1" fontId="7" fillId="0" borderId="3" xfId="543" applyNumberFormat="1" applyFont="1" applyFill="1" applyBorder="1" applyAlignment="1" applyProtection="1">
      <alignment horizontal="center"/>
    </xf>
    <xf numFmtId="1" fontId="7" fillId="0" borderId="4" xfId="543" applyNumberFormat="1" applyFont="1" applyFill="1" applyBorder="1" applyAlignment="1" applyProtection="1">
      <alignment horizontal="center"/>
    </xf>
    <xf numFmtId="1" fontId="7" fillId="0" borderId="5" xfId="543" applyNumberFormat="1" applyFont="1" applyFill="1" applyBorder="1" applyAlignment="1" applyProtection="1">
      <alignment horizontal="center"/>
    </xf>
    <xf numFmtId="168" fontId="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7" fillId="0" borderId="11" xfId="543" applyNumberFormat="1" applyFont="1" applyBorder="1" applyAlignment="1" applyProtection="1">
      <alignment horizontal="center"/>
    </xf>
    <xf numFmtId="1" fontId="7" fillId="0" borderId="3" xfId="543" applyNumberFormat="1" applyFont="1" applyBorder="1" applyAlignment="1" applyProtection="1">
      <alignment horizontal="center"/>
    </xf>
    <xf numFmtId="1" fontId="7" fillId="0" borderId="4" xfId="543" applyNumberFormat="1" applyFont="1" applyBorder="1" applyAlignment="1" applyProtection="1">
      <alignment horizontal="center"/>
    </xf>
    <xf numFmtId="2" fontId="7"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7" fillId="0" borderId="0" xfId="543" applyNumberFormat="1" applyFont="1" applyFill="1" applyBorder="1" applyAlignment="1" applyProtection="1">
      <alignment horizontal="center" vertical="center"/>
    </xf>
    <xf numFmtId="0" fontId="16" fillId="0" borderId="11" xfId="0" applyFont="1" applyFill="1" applyBorder="1" applyAlignment="1" applyProtection="1">
      <alignment horizontal="center"/>
    </xf>
    <xf numFmtId="0" fontId="14" fillId="0" borderId="3" xfId="0" applyFont="1" applyFill="1" applyBorder="1" applyAlignment="1" applyProtection="1">
      <alignment horizontal="right"/>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6" fillId="0" borderId="3" xfId="0" applyFont="1" applyBorder="1" applyAlignment="1" applyProtection="1">
      <alignment horizontal="left"/>
    </xf>
    <xf numFmtId="0" fontId="16" fillId="5" borderId="6" xfId="0" applyFont="1" applyFill="1" applyBorder="1" applyAlignment="1" applyProtection="1">
      <alignment horizontal="center"/>
      <protection locked="0"/>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7" fillId="44" borderId="3" xfId="0" applyNumberFormat="1" applyFont="1" applyFill="1" applyBorder="1" applyAlignment="1" applyProtection="1">
      <alignment horizontal="center"/>
      <protection locked="0"/>
    </xf>
    <xf numFmtId="175" fontId="7" fillId="44" borderId="4" xfId="0" applyNumberFormat="1" applyFont="1" applyFill="1" applyBorder="1" applyAlignment="1" applyProtection="1">
      <alignment horizontal="center"/>
      <protection locked="0"/>
    </xf>
    <xf numFmtId="175" fontId="7" fillId="44"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4" fillId="0" borderId="11" xfId="0" applyFont="1" applyBorder="1" applyAlignment="1" applyProtection="1">
      <alignment horizontal="center" vertical="top" wrapText="1"/>
    </xf>
    <xf numFmtId="0" fontId="14" fillId="0" borderId="1" xfId="0" applyFont="1" applyBorder="1" applyAlignment="1" applyProtection="1">
      <alignment horizontal="center" vertical="top"/>
    </xf>
    <xf numFmtId="0" fontId="14" fillId="0" borderId="2" xfId="0" applyFont="1" applyBorder="1" applyAlignment="1" applyProtection="1">
      <alignment horizontal="center" vertical="top"/>
    </xf>
    <xf numFmtId="0" fontId="14" fillId="0" borderId="7" xfId="0" applyFont="1" applyBorder="1" applyAlignment="1" applyProtection="1">
      <alignment horizontal="center" vertical="top"/>
    </xf>
    <xf numFmtId="0" fontId="14" fillId="0" borderId="8"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9" xfId="0" applyFont="1" applyBorder="1" applyAlignment="1" applyProtection="1">
      <alignment horizontal="center" vertical="top"/>
    </xf>
    <xf numFmtId="0" fontId="14" fillId="0" borderId="6" xfId="0" applyFont="1" applyBorder="1" applyAlignment="1" applyProtection="1">
      <alignment horizontal="center" vertical="top"/>
    </xf>
    <xf numFmtId="0" fontId="14" fillId="0" borderId="10" xfId="0" applyFont="1" applyBorder="1" applyAlignment="1" applyProtection="1">
      <alignment horizontal="center" vertical="top"/>
    </xf>
    <xf numFmtId="0" fontId="14" fillId="0" borderId="1" xfId="0" applyFont="1" applyBorder="1" applyAlignment="1" applyProtection="1">
      <alignment horizontal="center" vertical="top" wrapText="1"/>
    </xf>
    <xf numFmtId="0" fontId="14" fillId="0" borderId="2" xfId="0" applyFont="1" applyBorder="1" applyAlignment="1" applyProtection="1">
      <alignment horizontal="center" vertical="top" wrapText="1"/>
    </xf>
    <xf numFmtId="0" fontId="14" fillId="0" borderId="7"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2" xfId="0" applyFont="1" applyBorder="1" applyAlignment="1" applyProtection="1">
      <alignment horizontal="center" vertical="top" wrapText="1"/>
    </xf>
    <xf numFmtId="0" fontId="14" fillId="0" borderId="9"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14" fillId="0" borderId="10" xfId="0" applyFont="1" applyBorder="1" applyAlignment="1" applyProtection="1">
      <alignment horizontal="center" vertical="top" wrapText="1"/>
    </xf>
    <xf numFmtId="3" fontId="16" fillId="5" borderId="11" xfId="0" applyNumberFormat="1" applyFont="1" applyFill="1" applyBorder="1" applyAlignment="1" applyProtection="1">
      <alignment horizontal="center"/>
      <protection locked="0"/>
    </xf>
    <xf numFmtId="168" fontId="16" fillId="0" borderId="3" xfId="0" applyNumberFormat="1" applyFont="1" applyFill="1" applyBorder="1" applyAlignment="1" applyProtection="1">
      <alignment horizontal="left" vertical="top"/>
    </xf>
    <xf numFmtId="168" fontId="16" fillId="0" borderId="4" xfId="0" applyNumberFormat="1" applyFont="1" applyFill="1" applyBorder="1" applyAlignment="1" applyProtection="1">
      <alignment horizontal="left" vertical="top"/>
    </xf>
    <xf numFmtId="168" fontId="16"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6" fillId="0" borderId="8"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4" fillId="0" borderId="11" xfId="0" applyFont="1" applyFill="1" applyBorder="1" applyAlignment="1" applyProtection="1">
      <alignment horizontal="center" vertical="top" wrapText="1"/>
    </xf>
    <xf numFmtId="0" fontId="16" fillId="5" borderId="9" xfId="0" applyFont="1" applyFill="1" applyBorder="1" applyAlignment="1" applyProtection="1">
      <alignment horizontal="center"/>
      <protection locked="0"/>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0" fontId="14" fillId="0" borderId="3" xfId="0" applyFont="1" applyFill="1" applyBorder="1" applyAlignment="1" applyProtection="1">
      <alignment horizontal="center"/>
    </xf>
    <xf numFmtId="0" fontId="14"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4" fillId="0" borderId="1"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24" fillId="0" borderId="0" xfId="0" applyFont="1" applyBorder="1" applyAlignment="1" applyProtection="1">
      <alignment horizontal="center"/>
    </xf>
    <xf numFmtId="168" fontId="7" fillId="0" borderId="6" xfId="0" applyNumberFormat="1" applyFont="1" applyFill="1" applyBorder="1" applyAlignment="1" applyProtection="1">
      <alignment horizontal="center"/>
    </xf>
    <xf numFmtId="0" fontId="22"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7" fillId="0" borderId="6" xfId="0" applyFont="1" applyFill="1" applyBorder="1" applyAlignment="1" applyProtection="1">
      <alignment horizontal="center"/>
      <protection locked="0"/>
    </xf>
    <xf numFmtId="0" fontId="7"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5" borderId="6" xfId="244" applyFont="1" applyFill="1" applyBorder="1" applyAlignment="1" applyProtection="1">
      <alignment horizontal="left"/>
      <protection locked="0"/>
    </xf>
    <xf numFmtId="0" fontId="8" fillId="0" borderId="0" xfId="244" applyFill="1" applyAlignment="1" applyProtection="1">
      <alignment horizontal="left"/>
      <protection locked="0"/>
    </xf>
    <xf numFmtId="0" fontId="7" fillId="0" borderId="6" xfId="0" applyFont="1" applyBorder="1" applyAlignment="1" applyProtection="1">
      <alignment horizontal="center"/>
      <protection locked="0"/>
    </xf>
    <xf numFmtId="0" fontId="1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7" fillId="0" borderId="4" xfId="0" applyFont="1" applyFill="1" applyBorder="1" applyAlignment="1" applyProtection="1">
      <alignment horizontal="left"/>
      <protection locked="0"/>
    </xf>
    <xf numFmtId="0" fontId="16" fillId="0" borderId="4" xfId="0" applyFont="1" applyFill="1" applyBorder="1" applyAlignment="1" applyProtection="1">
      <alignment horizontal="left"/>
      <protection locked="0"/>
    </xf>
    <xf numFmtId="0" fontId="16" fillId="0" borderId="6" xfId="0" applyFont="1" applyFill="1" applyBorder="1" applyAlignment="1" applyProtection="1">
      <alignment horizontal="left" wrapText="1"/>
    </xf>
    <xf numFmtId="0" fontId="7" fillId="5" borderId="0" xfId="244" applyFon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7" fillId="0" borderId="3" xfId="0" applyFont="1" applyBorder="1" applyAlignment="1" applyProtection="1">
      <alignment horizontal="left"/>
    </xf>
    <xf numFmtId="0" fontId="7" fillId="0" borderId="4" xfId="0" applyFont="1" applyBorder="1" applyAlignment="1" applyProtection="1">
      <alignment horizontal="left"/>
    </xf>
    <xf numFmtId="0" fontId="7" fillId="0" borderId="5" xfId="0" applyFont="1" applyBorder="1" applyAlignment="1" applyProtection="1">
      <alignment horizontal="left"/>
    </xf>
    <xf numFmtId="0" fontId="7" fillId="0" borderId="6" xfId="0" applyFont="1" applyFill="1" applyBorder="1" applyAlignment="1" applyProtection="1">
      <alignment horizontal="left"/>
      <protection locked="0"/>
    </xf>
    <xf numFmtId="0" fontId="7" fillId="0" borderId="0" xfId="0" applyFont="1" applyFill="1" applyAlignment="1" applyProtection="1">
      <alignment horizontal="center"/>
    </xf>
    <xf numFmtId="0" fontId="16" fillId="0" borderId="0" xfId="0" applyFont="1" applyFill="1" applyAlignment="1" applyProtection="1">
      <alignment horizontal="center"/>
    </xf>
    <xf numFmtId="168" fontId="16" fillId="0" borderId="6" xfId="0" applyNumberFormat="1" applyFont="1" applyFill="1" applyBorder="1" applyAlignment="1" applyProtection="1">
      <alignment horizontal="center"/>
    </xf>
    <xf numFmtId="0" fontId="15" fillId="0" borderId="0" xfId="0" applyFont="1" applyAlignment="1" applyProtection="1">
      <alignment horizontal="center"/>
    </xf>
    <xf numFmtId="0" fontId="7" fillId="5" borderId="3" xfId="0" applyFont="1" applyFill="1" applyBorder="1" applyAlignment="1" applyProtection="1">
      <alignment horizontal="left"/>
      <protection locked="0"/>
    </xf>
    <xf numFmtId="14" fontId="7" fillId="5" borderId="11" xfId="0" applyNumberFormat="1" applyFont="1" applyFill="1" applyBorder="1" applyAlignment="1" applyProtection="1">
      <alignment horizontal="center"/>
      <protection locked="0"/>
    </xf>
    <xf numFmtId="0" fontId="14" fillId="0" borderId="5" xfId="0" applyFont="1" applyFill="1" applyBorder="1" applyAlignment="1" applyProtection="1">
      <alignment horizontal="center"/>
    </xf>
    <xf numFmtId="0" fontId="7" fillId="5" borderId="6" xfId="0" applyFont="1" applyFill="1" applyBorder="1" applyAlignment="1" applyProtection="1">
      <alignment horizontal="center"/>
      <protection locked="0"/>
    </xf>
    <xf numFmtId="0" fontId="45" fillId="0" borderId="3" xfId="0" applyFont="1" applyBorder="1" applyAlignment="1" applyProtection="1">
      <alignment horizontal="center"/>
    </xf>
    <xf numFmtId="0" fontId="45" fillId="0" borderId="4" xfId="0" applyFont="1" applyBorder="1" applyAlignment="1" applyProtection="1">
      <alignment horizontal="center"/>
    </xf>
    <xf numFmtId="0" fontId="45" fillId="0" borderId="5" xfId="0" applyFont="1" applyBorder="1" applyAlignment="1" applyProtection="1">
      <alignment horizontal="center"/>
    </xf>
    <xf numFmtId="0" fontId="7" fillId="0" borderId="3" xfId="0" applyFont="1" applyBorder="1" applyAlignment="1" applyProtection="1">
      <alignment horizontal="center"/>
    </xf>
    <xf numFmtId="0" fontId="7"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16" fillId="5" borderId="11" xfId="0" applyFont="1" applyFill="1" applyBorder="1" applyAlignment="1" applyProtection="1">
      <alignment horizontal="center"/>
      <protection locked="0"/>
    </xf>
    <xf numFmtId="3" fontId="16" fillId="0" borderId="11" xfId="0" applyNumberFormat="1" applyFont="1" applyFill="1" applyBorder="1" applyAlignment="1" applyProtection="1">
      <alignment horizontal="center"/>
    </xf>
    <xf numFmtId="0" fontId="7" fillId="0" borderId="4" xfId="0" applyFont="1" applyBorder="1" applyAlignment="1" applyProtection="1">
      <alignment horizontal="center"/>
    </xf>
    <xf numFmtId="0" fontId="0" fillId="0" borderId="5" xfId="0" applyBorder="1" applyAlignment="1" applyProtection="1">
      <alignment horizontal="left"/>
    </xf>
    <xf numFmtId="165" fontId="16" fillId="0" borderId="3" xfId="0" applyNumberFormat="1" applyFont="1" applyBorder="1" applyAlignment="1" applyProtection="1">
      <alignment horizontal="right"/>
    </xf>
    <xf numFmtId="165" fontId="16" fillId="0" borderId="4" xfId="0" applyNumberFormat="1" applyFont="1" applyBorder="1" applyAlignment="1" applyProtection="1">
      <alignment horizontal="right"/>
    </xf>
    <xf numFmtId="165" fontId="16" fillId="0" borderId="5" xfId="0" applyNumberFormat="1" applyFont="1" applyBorder="1" applyAlignment="1" applyProtection="1">
      <alignment horizontal="right"/>
    </xf>
    <xf numFmtId="1" fontId="16" fillId="5" borderId="11" xfId="0" quotePrefix="1" applyNumberFormat="1" applyFont="1" applyFill="1" applyBorder="1" applyAlignment="1" applyProtection="1">
      <alignment horizontal="center"/>
      <protection locked="0"/>
    </xf>
    <xf numFmtId="172" fontId="14" fillId="0" borderId="1" xfId="0" applyNumberFormat="1" applyFont="1" applyBorder="1" applyAlignment="1" applyProtection="1">
      <alignment horizontal="center" vertical="top" wrapText="1"/>
    </xf>
    <xf numFmtId="172" fontId="14" fillId="0" borderId="2" xfId="0" applyNumberFormat="1" applyFont="1" applyBorder="1" applyAlignment="1" applyProtection="1">
      <alignment horizontal="center" vertical="top" wrapText="1"/>
    </xf>
    <xf numFmtId="172" fontId="14" fillId="0" borderId="7" xfId="0" applyNumberFormat="1" applyFont="1" applyBorder="1" applyAlignment="1" applyProtection="1">
      <alignment horizontal="center" vertical="top" wrapText="1"/>
    </xf>
    <xf numFmtId="172" fontId="14" fillId="0" borderId="8" xfId="0" applyNumberFormat="1" applyFont="1" applyBorder="1" applyAlignment="1" applyProtection="1">
      <alignment horizontal="center" vertical="top" wrapText="1"/>
    </xf>
    <xf numFmtId="172" fontId="14" fillId="0" borderId="0" xfId="0" applyNumberFormat="1" applyFont="1" applyBorder="1" applyAlignment="1" applyProtection="1">
      <alignment horizontal="center" vertical="top" wrapText="1"/>
    </xf>
    <xf numFmtId="172" fontId="14" fillId="0" borderId="12" xfId="0" applyNumberFormat="1" applyFont="1" applyBorder="1" applyAlignment="1" applyProtection="1">
      <alignment horizontal="center" vertical="top" wrapText="1"/>
    </xf>
    <xf numFmtId="172" fontId="14" fillId="0" borderId="9" xfId="0" applyNumberFormat="1" applyFont="1" applyBorder="1" applyAlignment="1" applyProtection="1">
      <alignment horizontal="center" vertical="top" wrapText="1"/>
    </xf>
    <xf numFmtId="172" fontId="14" fillId="0" borderId="6" xfId="0" applyNumberFormat="1" applyFont="1" applyBorder="1" applyAlignment="1" applyProtection="1">
      <alignment horizontal="center" vertical="top" wrapText="1"/>
    </xf>
    <xf numFmtId="172" fontId="14" fillId="0" borderId="10" xfId="0" applyNumberFormat="1" applyFont="1" applyBorder="1" applyAlignment="1" applyProtection="1">
      <alignment horizontal="center" vertical="top" wrapText="1"/>
    </xf>
    <xf numFmtId="10" fontId="7" fillId="5" borderId="4" xfId="0" applyNumberFormat="1" applyFont="1" applyFill="1" applyBorder="1" applyAlignment="1" applyProtection="1">
      <alignment horizontal="right"/>
      <protection locked="0"/>
    </xf>
    <xf numFmtId="10" fontId="16" fillId="5" borderId="4" xfId="0" applyNumberFormat="1"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7"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14" fontId="16" fillId="5" borderId="4" xfId="0" applyNumberFormat="1" applyFont="1" applyFill="1" applyBorder="1" applyAlignment="1" applyProtection="1">
      <alignment horizontal="right"/>
      <protection locked="0"/>
    </xf>
    <xf numFmtId="0" fontId="14" fillId="11" borderId="3" xfId="543" applyFont="1" applyFill="1" applyBorder="1" applyAlignment="1" applyProtection="1">
      <alignment horizontal="center"/>
    </xf>
    <xf numFmtId="0" fontId="14" fillId="11" borderId="4" xfId="543" applyFont="1" applyFill="1" applyBorder="1" applyAlignment="1" applyProtection="1">
      <alignment horizontal="center"/>
    </xf>
    <xf numFmtId="0" fontId="14" fillId="11" borderId="5" xfId="543" applyFont="1" applyFill="1" applyBorder="1" applyAlignment="1" applyProtection="1">
      <alignment horizontal="center"/>
    </xf>
    <xf numFmtId="0" fontId="27" fillId="0" borderId="0" xfId="543" applyNumberFormat="1" applyFont="1" applyFill="1" applyBorder="1" applyAlignment="1" applyProtection="1">
      <alignment horizontal="left" vertical="center" wrapText="1"/>
    </xf>
    <xf numFmtId="0" fontId="14" fillId="0" borderId="12" xfId="0" applyFont="1" applyBorder="1" applyAlignment="1" applyProtection="1">
      <alignment horizontal="center" wrapText="1"/>
    </xf>
    <xf numFmtId="0" fontId="14"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6" fillId="5" borderId="6" xfId="271" applyFont="1" applyFill="1" applyBorder="1" applyAlignment="1" applyProtection="1">
      <protection locked="0"/>
    </xf>
    <xf numFmtId="0" fontId="7" fillId="0" borderId="3" xfId="271" applyFont="1" applyBorder="1" applyAlignment="1" applyProtection="1">
      <alignment horizontal="left"/>
    </xf>
    <xf numFmtId="0" fontId="7" fillId="0" borderId="4" xfId="271" applyFont="1" applyBorder="1" applyAlignment="1" applyProtection="1">
      <alignment horizontal="left"/>
    </xf>
    <xf numFmtId="0" fontId="7" fillId="0" borderId="5" xfId="271" applyFont="1" applyBorder="1" applyAlignment="1" applyProtection="1">
      <alignment horizontal="left"/>
    </xf>
    <xf numFmtId="168" fontId="44" fillId="0" borderId="2" xfId="0" applyNumberFormat="1" applyFont="1" applyFill="1" applyBorder="1" applyAlignment="1" applyProtection="1">
      <alignment horizontal="left" vertical="top" wrapText="1"/>
    </xf>
    <xf numFmtId="168" fontId="44" fillId="0" borderId="0" xfId="0" applyNumberFormat="1" applyFont="1" applyFill="1" applyBorder="1" applyAlignment="1" applyProtection="1">
      <alignment horizontal="left" vertical="top" wrapText="1"/>
    </xf>
    <xf numFmtId="168" fontId="16" fillId="0" borderId="0" xfId="0" applyNumberFormat="1" applyFont="1" applyFill="1" applyBorder="1" applyAlignment="1" applyProtection="1">
      <alignment horizontal="right" vertical="top"/>
    </xf>
    <xf numFmtId="168" fontId="16" fillId="0" borderId="12" xfId="0" applyNumberFormat="1" applyFont="1" applyFill="1" applyBorder="1" applyAlignment="1" applyProtection="1">
      <alignment horizontal="right" vertical="top"/>
    </xf>
    <xf numFmtId="0" fontId="15"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7" fillId="5" borderId="4" xfId="0" applyFont="1" applyFill="1" applyBorder="1" applyAlignment="1" applyProtection="1">
      <alignment horizontal="right"/>
      <protection locked="0"/>
    </xf>
    <xf numFmtId="0" fontId="16" fillId="5" borderId="4" xfId="0" applyFont="1" applyFill="1" applyBorder="1" applyAlignment="1" applyProtection="1">
      <alignment horizontal="right"/>
      <protection locked="0"/>
    </xf>
    <xf numFmtId="10" fontId="16"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6" fillId="5" borderId="4" xfId="0" applyNumberFormat="1" applyFont="1" applyFill="1" applyBorder="1" applyAlignment="1" applyProtection="1">
      <alignment horizontal="right"/>
      <protection locked="0"/>
    </xf>
    <xf numFmtId="0" fontId="7" fillId="5" borderId="0" xfId="0" applyFont="1" applyFill="1" applyBorder="1" applyAlignment="1" applyProtection="1">
      <alignment horizontal="left" vertical="top" wrapText="1"/>
      <protection locked="0"/>
    </xf>
    <xf numFmtId="0" fontId="16" fillId="5" borderId="0" xfId="0" applyFont="1" applyFill="1" applyBorder="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26" fillId="5" borderId="6" xfId="0" applyFont="1" applyFill="1" applyBorder="1" applyAlignment="1" applyProtection="1">
      <alignment horizontal="left"/>
      <protection locked="0"/>
    </xf>
    <xf numFmtId="0" fontId="7" fillId="0" borderId="9" xfId="543" applyFont="1" applyBorder="1" applyAlignment="1" applyProtection="1">
      <alignment horizontal="left" vertical="center" wrapText="1"/>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7" fillId="5" borderId="4" xfId="0" applyFont="1" applyFill="1" applyBorder="1" applyAlignment="1" applyProtection="1">
      <alignment horizontal="center"/>
      <protection locked="0"/>
    </xf>
    <xf numFmtId="0" fontId="0" fillId="0" borderId="6" xfId="0" applyBorder="1" applyAlignment="1" applyProtection="1">
      <alignment horizontal="center"/>
      <protection locked="0"/>
    </xf>
    <xf numFmtId="165" fontId="14" fillId="0" borderId="3" xfId="271" applyNumberFormat="1" applyFont="1" applyBorder="1" applyAlignment="1" applyProtection="1">
      <alignment horizontal="center"/>
    </xf>
    <xf numFmtId="0" fontId="14" fillId="0" borderId="4" xfId="271" applyFont="1" applyBorder="1" applyAlignment="1" applyProtection="1">
      <alignment horizontal="center"/>
    </xf>
    <xf numFmtId="0" fontId="14" fillId="0" borderId="5" xfId="271" applyFont="1" applyBorder="1" applyAlignment="1" applyProtection="1">
      <alignment horizontal="center"/>
    </xf>
    <xf numFmtId="0" fontId="7" fillId="0" borderId="8" xfId="543" applyFont="1" applyBorder="1" applyAlignment="1" applyProtection="1">
      <alignment horizontal="left" vertical="center" wrapText="1"/>
    </xf>
    <xf numFmtId="0" fontId="7" fillId="0" borderId="0" xfId="543" applyFont="1" applyBorder="1" applyAlignment="1" applyProtection="1">
      <alignment horizontal="left" vertical="center" wrapText="1"/>
    </xf>
    <xf numFmtId="0" fontId="7" fillId="0" borderId="12" xfId="543" applyFont="1" applyBorder="1" applyAlignment="1" applyProtection="1">
      <alignment horizontal="left" vertical="center" wrapText="1"/>
    </xf>
    <xf numFmtId="0" fontId="7" fillId="0" borderId="6" xfId="543" applyFont="1" applyBorder="1" applyAlignment="1" applyProtection="1">
      <alignment horizontal="left" vertical="center" wrapText="1"/>
    </xf>
    <xf numFmtId="0" fontId="7" fillId="0" borderId="10" xfId="543" applyFont="1" applyBorder="1" applyAlignment="1" applyProtection="1">
      <alignment horizontal="left" vertical="center"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left" vertical="top" wrapText="1"/>
    </xf>
    <xf numFmtId="0" fontId="14" fillId="0" borderId="7"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5" xfId="0" applyFont="1" applyFill="1" applyBorder="1" applyAlignment="1" applyProtection="1">
      <alignment horizontal="center" vertical="top"/>
    </xf>
    <xf numFmtId="0" fontId="16" fillId="0" borderId="6" xfId="0" applyFont="1" applyBorder="1" applyAlignment="1" applyProtection="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pplyProtection="1">
      <alignment vertical="top" wrapText="1"/>
    </xf>
    <xf numFmtId="0" fontId="44" fillId="0" borderId="0" xfId="0" applyFont="1" applyBorder="1" applyAlignment="1" applyProtection="1">
      <alignment vertical="top" wrapText="1"/>
    </xf>
    <xf numFmtId="0" fontId="16" fillId="0" borderId="2" xfId="0" applyFont="1" applyBorder="1" applyAlignment="1" applyProtection="1">
      <alignment horizontal="left" vertical="top" wrapText="1"/>
    </xf>
    <xf numFmtId="0" fontId="16"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6" fillId="0" borderId="0" xfId="0" applyFont="1" applyBorder="1" applyAlignment="1" applyProtection="1">
      <alignment vertical="top" wrapText="1"/>
    </xf>
    <xf numFmtId="0" fontId="16" fillId="0" borderId="6" xfId="0" applyFont="1" applyFill="1" applyBorder="1" applyAlignment="1" applyProtection="1">
      <alignment horizontal="right" vertical="top" wrapText="1"/>
    </xf>
    <xf numFmtId="0" fontId="16" fillId="0" borderId="6" xfId="0" applyFont="1" applyFill="1" applyBorder="1" applyAlignment="1">
      <alignment vertical="top" wrapText="1"/>
    </xf>
    <xf numFmtId="0" fontId="45" fillId="0" borderId="0" xfId="570" applyFont="1" applyFill="1" applyBorder="1" applyAlignment="1" applyProtection="1">
      <alignment vertical="top" wrapText="1"/>
    </xf>
    <xf numFmtId="0" fontId="7" fillId="0" borderId="0" xfId="570" applyFill="1" applyBorder="1" applyAlignment="1">
      <alignment vertical="top" wrapText="1"/>
    </xf>
    <xf numFmtId="0" fontId="7" fillId="0" borderId="0" xfId="570" applyFont="1" applyFill="1" applyBorder="1" applyAlignment="1" applyProtection="1">
      <alignment horizontal="right" vertical="top" wrapText="1"/>
    </xf>
    <xf numFmtId="0" fontId="7" fillId="0" borderId="0" xfId="570" applyFont="1" applyFill="1" applyBorder="1" applyAlignment="1">
      <alignment vertical="top" wrapText="1"/>
    </xf>
    <xf numFmtId="0" fontId="7" fillId="0" borderId="0" xfId="570" applyFont="1" applyFill="1" applyBorder="1" applyAlignment="1" applyProtection="1">
      <alignment horizontal="left" vertical="top" wrapText="1"/>
    </xf>
    <xf numFmtId="0" fontId="7" fillId="0" borderId="0" xfId="570" applyFont="1" applyFill="1" applyBorder="1" applyAlignment="1">
      <alignment horizontal="left" vertical="top" wrapText="1"/>
    </xf>
    <xf numFmtId="0" fontId="13" fillId="3" borderId="3" xfId="0" applyFont="1" applyFill="1" applyBorder="1" applyAlignment="1" applyProtection="1">
      <alignment horizontal="left" vertical="top"/>
    </xf>
    <xf numFmtId="0" fontId="13" fillId="3" borderId="4" xfId="0" applyFont="1" applyFill="1" applyBorder="1" applyAlignment="1" applyProtection="1">
      <alignment horizontal="left" vertical="top"/>
    </xf>
    <xf numFmtId="0" fontId="13" fillId="3" borderId="5" xfId="0" applyFont="1" applyFill="1" applyBorder="1" applyAlignment="1" applyProtection="1">
      <alignment horizontal="left" vertical="top"/>
    </xf>
    <xf numFmtId="168" fontId="7" fillId="0" borderId="11" xfId="570" applyNumberFormat="1" applyFill="1" applyBorder="1" applyAlignment="1"/>
    <xf numFmtId="168" fontId="7" fillId="0" borderId="3" xfId="570" applyNumberFormat="1" applyFill="1" applyBorder="1" applyAlignment="1"/>
    <xf numFmtId="168" fontId="7" fillId="0" borderId="4" xfId="570" applyNumberFormat="1" applyFill="1" applyBorder="1" applyAlignment="1"/>
    <xf numFmtId="168" fontId="7" fillId="0" borderId="5" xfId="570" applyNumberFormat="1" applyFill="1" applyBorder="1" applyAlignment="1"/>
    <xf numFmtId="168" fontId="7" fillId="0" borderId="11" xfId="570" applyNumberFormat="1" applyFill="1" applyBorder="1" applyAlignment="1">
      <alignment wrapText="1"/>
    </xf>
    <xf numFmtId="168" fontId="7" fillId="0" borderId="11" xfId="570" applyNumberFormat="1" applyFill="1" applyBorder="1" applyAlignment="1">
      <alignment horizontal="right"/>
    </xf>
    <xf numFmtId="9" fontId="7" fillId="0" borderId="15" xfId="570" applyNumberFormat="1" applyFill="1" applyBorder="1" applyAlignment="1" applyProtection="1">
      <alignment horizontal="center"/>
    </xf>
    <xf numFmtId="168" fontId="7" fillId="0" borderId="11" xfId="570" applyNumberFormat="1" applyFill="1" applyBorder="1" applyAlignment="1" applyProtection="1">
      <alignment horizontal="center"/>
    </xf>
    <xf numFmtId="0" fontId="7" fillId="0" borderId="11" xfId="570" applyBorder="1" applyAlignment="1">
      <alignment horizontal="center"/>
    </xf>
    <xf numFmtId="176" fontId="7" fillId="5" borderId="3" xfId="570" applyNumberFormat="1" applyFill="1" applyBorder="1" applyAlignment="1" applyProtection="1">
      <alignment horizontal="right"/>
      <protection locked="0"/>
    </xf>
    <xf numFmtId="176" fontId="7" fillId="5" borderId="4" xfId="570" applyNumberFormat="1" applyFill="1" applyBorder="1" applyAlignment="1" applyProtection="1">
      <alignment horizontal="right"/>
      <protection locked="0"/>
    </xf>
    <xf numFmtId="176" fontId="7" fillId="5" borderId="5" xfId="570" applyNumberFormat="1" applyFill="1" applyBorder="1" applyAlignment="1" applyProtection="1">
      <alignment horizontal="right"/>
      <protection locked="0"/>
    </xf>
    <xf numFmtId="0" fontId="98" fillId="0" borderId="0" xfId="0" applyFont="1" applyFill="1" applyBorder="1" applyAlignment="1">
      <alignment horizontal="left" vertical="top" wrapText="1"/>
    </xf>
    <xf numFmtId="168" fontId="7" fillId="0" borderId="5" xfId="570" applyNumberFormat="1" applyFont="1" applyFill="1" applyBorder="1" applyAlignment="1" applyProtection="1">
      <alignment horizontal="center"/>
    </xf>
    <xf numFmtId="168" fontId="7" fillId="0" borderId="11" xfId="570" applyNumberFormat="1" applyFont="1" applyFill="1" applyBorder="1" applyAlignment="1" applyProtection="1">
      <alignment horizontal="center"/>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14" fillId="0" borderId="6" xfId="570" applyFont="1" applyBorder="1" applyAlignment="1">
      <alignment horizontal="center"/>
    </xf>
    <xf numFmtId="168" fontId="7" fillId="0" borderId="3" xfId="570" applyNumberFormat="1" applyFill="1" applyBorder="1" applyAlignment="1" applyProtection="1">
      <alignment horizontal="center"/>
    </xf>
    <xf numFmtId="0" fontId="7" fillId="0" borderId="4" xfId="570" applyBorder="1" applyAlignment="1">
      <alignment horizontal="center"/>
    </xf>
    <xf numFmtId="0" fontId="7" fillId="0" borderId="5" xfId="570" applyBorder="1" applyAlignment="1">
      <alignment horizontal="center"/>
    </xf>
    <xf numFmtId="0" fontId="44" fillId="0" borderId="0" xfId="271" applyFont="1" applyAlignment="1" applyProtection="1">
      <alignment horizontal="left" vertical="top" wrapText="1"/>
    </xf>
    <xf numFmtId="0" fontId="98" fillId="0" borderId="0" xfId="570" applyFont="1" applyBorder="1" applyAlignment="1">
      <alignment horizontal="left" wrapText="1"/>
    </xf>
    <xf numFmtId="168" fontId="7" fillId="0" borderId="3" xfId="570" applyNumberFormat="1" applyFill="1" applyBorder="1" applyAlignment="1">
      <alignment horizontal="right"/>
    </xf>
    <xf numFmtId="168" fontId="7" fillId="0" borderId="4" xfId="570" applyNumberFormat="1" applyFill="1" applyBorder="1" applyAlignment="1">
      <alignment horizontal="right"/>
    </xf>
    <xf numFmtId="168" fontId="7" fillId="0" borderId="5" xfId="570" applyNumberFormat="1" applyFill="1" applyBorder="1" applyAlignment="1">
      <alignment horizontal="right"/>
    </xf>
    <xf numFmtId="168" fontId="7" fillId="0" borderId="3" xfId="570" applyNumberFormat="1" applyBorder="1" applyAlignment="1" applyProtection="1">
      <alignment horizontal="right"/>
      <protection locked="0"/>
    </xf>
    <xf numFmtId="168" fontId="7" fillId="0" borderId="4" xfId="570" applyNumberFormat="1" applyBorder="1" applyAlignment="1" applyProtection="1">
      <alignment horizontal="right"/>
      <protection locked="0"/>
    </xf>
    <xf numFmtId="168" fontId="7" fillId="0" borderId="5" xfId="570" applyNumberFormat="1" applyBorder="1" applyAlignment="1" applyProtection="1">
      <alignment horizontal="right"/>
      <protection locked="0"/>
    </xf>
    <xf numFmtId="0" fontId="14" fillId="0" borderId="16" xfId="271" applyFont="1" applyFill="1" applyBorder="1" applyAlignment="1" applyProtection="1">
      <alignment horizontal="center"/>
    </xf>
    <xf numFmtId="168" fontId="7" fillId="0" borderId="3" xfId="570" applyNumberFormat="1" applyFill="1" applyBorder="1" applyAlignment="1">
      <alignment horizontal="center"/>
    </xf>
    <xf numFmtId="168" fontId="7" fillId="0" borderId="4" xfId="570" applyNumberFormat="1" applyFill="1" applyBorder="1" applyAlignment="1">
      <alignment horizontal="center"/>
    </xf>
    <xf numFmtId="168" fontId="7" fillId="0" borderId="5" xfId="570" applyNumberFormat="1" applyFill="1" applyBorder="1" applyAlignment="1">
      <alignment horizontal="center"/>
    </xf>
    <xf numFmtId="0" fontId="14" fillId="0" borderId="11" xfId="570" applyFont="1" applyBorder="1" applyAlignment="1">
      <alignment horizontal="center" wrapText="1"/>
    </xf>
    <xf numFmtId="0" fontId="14" fillId="0" borderId="11" xfId="570" applyFont="1" applyBorder="1" applyAlignment="1">
      <alignment horizontal="center"/>
    </xf>
    <xf numFmtId="168" fontId="7" fillId="0" borderId="11" xfId="570" applyNumberFormat="1" applyFill="1" applyBorder="1" applyAlignment="1">
      <alignment horizontal="center"/>
    </xf>
    <xf numFmtId="10" fontId="7" fillId="0" borderId="11" xfId="570" applyNumberFormat="1" applyFill="1" applyBorder="1" applyAlignment="1" applyProtection="1">
      <alignment horizontal="center"/>
      <protection locked="0"/>
    </xf>
    <xf numFmtId="0" fontId="44" fillId="0" borderId="0" xfId="570" applyFont="1" applyBorder="1" applyAlignment="1">
      <alignment horizontal="left"/>
    </xf>
    <xf numFmtId="168" fontId="7" fillId="2" borderId="3" xfId="570" applyNumberFormat="1" applyFill="1" applyBorder="1" applyAlignment="1" applyProtection="1">
      <alignment horizontal="center"/>
    </xf>
    <xf numFmtId="168" fontId="7" fillId="2" borderId="4" xfId="570" applyNumberFormat="1" applyFill="1" applyBorder="1" applyAlignment="1" applyProtection="1">
      <alignment horizontal="center"/>
    </xf>
    <xf numFmtId="168" fontId="7" fillId="2" borderId="5" xfId="570" applyNumberFormat="1" applyFill="1" applyBorder="1" applyAlignment="1" applyProtection="1">
      <alignment horizontal="center"/>
    </xf>
    <xf numFmtId="9" fontId="7" fillId="0" borderId="5" xfId="570" applyNumberFormat="1" applyFill="1" applyBorder="1" applyAlignment="1" applyProtection="1">
      <alignment horizontal="center"/>
    </xf>
    <xf numFmtId="9" fontId="7" fillId="0" borderId="11" xfId="570" applyNumberFormat="1" applyFill="1" applyBorder="1" applyAlignment="1" applyProtection="1">
      <alignment horizontal="center"/>
    </xf>
    <xf numFmtId="9" fontId="7" fillId="0" borderId="9" xfId="570" applyNumberFormat="1" applyFill="1" applyBorder="1" applyAlignment="1">
      <alignment horizontal="center" vertical="center"/>
    </xf>
    <xf numFmtId="9" fontId="7" fillId="0" borderId="6" xfId="570" applyNumberFormat="1" applyFill="1" applyBorder="1" applyAlignment="1">
      <alignment horizontal="center" vertical="center"/>
    </xf>
    <xf numFmtId="9" fontId="7" fillId="0" borderId="10" xfId="570" applyNumberFormat="1" applyFill="1" applyBorder="1" applyAlignment="1">
      <alignment horizontal="center" vertical="center"/>
    </xf>
    <xf numFmtId="168" fontId="7" fillId="0" borderId="5" xfId="570" applyNumberFormat="1" applyFont="1" applyFill="1" applyBorder="1" applyAlignment="1">
      <alignment horizontal="center"/>
    </xf>
    <xf numFmtId="168" fontId="7" fillId="0" borderId="11" xfId="570" applyNumberFormat="1" applyFont="1" applyFill="1" applyBorder="1" applyAlignment="1">
      <alignment horizontal="center"/>
    </xf>
    <xf numFmtId="5" fontId="7" fillId="0" borderId="5" xfId="570" applyNumberFormat="1" applyFill="1" applyBorder="1" applyAlignment="1">
      <alignment horizontal="center"/>
    </xf>
    <xf numFmtId="5" fontId="7" fillId="0" borderId="11" xfId="570" applyNumberFormat="1" applyFill="1" applyBorder="1" applyAlignment="1">
      <alignment horizontal="center"/>
    </xf>
    <xf numFmtId="5" fontId="7" fillId="0" borderId="3" xfId="570" applyNumberFormat="1" applyFill="1" applyBorder="1" applyAlignment="1">
      <alignment horizontal="center"/>
    </xf>
    <xf numFmtId="5" fontId="7" fillId="0" borderId="4" xfId="570" applyNumberFormat="1" applyFill="1" applyBorder="1" applyAlignment="1">
      <alignment horizontal="center"/>
    </xf>
    <xf numFmtId="168" fontId="7" fillId="5" borderId="5" xfId="570" applyNumberFormat="1" applyFill="1" applyBorder="1" applyAlignment="1" applyProtection="1">
      <alignment horizontal="center"/>
      <protection locked="0"/>
    </xf>
    <xf numFmtId="168" fontId="7" fillId="5" borderId="11" xfId="570" applyNumberFormat="1" applyFill="1" applyBorder="1" applyAlignment="1" applyProtection="1">
      <alignment horizontal="center"/>
      <protection locked="0"/>
    </xf>
    <xf numFmtId="168" fontId="7" fillId="5" borderId="10" xfId="570" applyNumberFormat="1" applyFill="1" applyBorder="1" applyAlignment="1" applyProtection="1">
      <alignment horizontal="center"/>
      <protection locked="0"/>
    </xf>
    <xf numFmtId="168" fontId="7" fillId="5" borderId="13" xfId="570" applyNumberFormat="1" applyFill="1" applyBorder="1" applyAlignment="1" applyProtection="1">
      <alignment horizontal="center"/>
      <protection locked="0"/>
    </xf>
    <xf numFmtId="0" fontId="13" fillId="3" borderId="2" xfId="570" applyFont="1" applyFill="1" applyBorder="1" applyAlignment="1">
      <alignment horizontal="center" vertical="center"/>
    </xf>
    <xf numFmtId="0" fontId="13" fillId="3" borderId="16" xfId="570" applyFont="1" applyFill="1" applyBorder="1" applyAlignment="1">
      <alignment horizontal="center" vertical="center"/>
    </xf>
    <xf numFmtId="168" fontId="7" fillId="0" borderId="7" xfId="570" applyNumberFormat="1" applyFill="1" applyBorder="1" applyAlignment="1">
      <alignment horizontal="center"/>
    </xf>
    <xf numFmtId="168" fontId="7" fillId="0" borderId="15" xfId="570" applyNumberFormat="1" applyFill="1" applyBorder="1" applyAlignment="1">
      <alignment horizontal="center"/>
    </xf>
    <xf numFmtId="0" fontId="15" fillId="5" borderId="4" xfId="570" applyFont="1" applyFill="1" applyBorder="1" applyAlignment="1" applyProtection="1">
      <alignment horizontal="left"/>
      <protection locked="0"/>
    </xf>
    <xf numFmtId="0" fontId="15" fillId="5" borderId="5" xfId="570" applyFont="1" applyFill="1" applyBorder="1" applyAlignment="1" applyProtection="1">
      <alignment horizontal="left"/>
      <protection locked="0"/>
    </xf>
    <xf numFmtId="0" fontId="14" fillId="0" borderId="3" xfId="570" applyFont="1" applyFill="1" applyBorder="1" applyAlignment="1">
      <alignment horizontal="left"/>
    </xf>
    <xf numFmtId="0" fontId="14" fillId="0" borderId="4" xfId="570" applyFont="1" applyFill="1" applyBorder="1" applyAlignment="1">
      <alignment horizontal="left"/>
    </xf>
    <xf numFmtId="0" fontId="14" fillId="0" borderId="5" xfId="570" applyFont="1" applyFill="1" applyBorder="1" applyAlignment="1">
      <alignment horizontal="left"/>
    </xf>
    <xf numFmtId="0" fontId="15" fillId="0" borderId="4" xfId="570" applyFont="1" applyBorder="1" applyAlignment="1">
      <alignment horizontal="left"/>
    </xf>
    <xf numFmtId="0" fontId="15" fillId="0" borderId="5" xfId="570" applyFont="1" applyBorder="1" applyAlignment="1">
      <alignment horizontal="left"/>
    </xf>
    <xf numFmtId="179" fontId="14" fillId="0" borderId="11" xfId="570" applyNumberFormat="1" applyFont="1" applyFill="1" applyBorder="1" applyAlignment="1" applyProtection="1">
      <alignment horizontal="center" wrapText="1"/>
    </xf>
    <xf numFmtId="164" fontId="14" fillId="0" borderId="11" xfId="570" applyNumberFormat="1" applyFont="1" applyFill="1" applyBorder="1" applyAlignment="1" applyProtection="1">
      <alignment horizontal="center" wrapText="1"/>
    </xf>
    <xf numFmtId="0" fontId="14" fillId="0" borderId="3" xfId="570" applyFont="1" applyFill="1" applyBorder="1" applyAlignment="1">
      <alignment horizontal="right"/>
    </xf>
    <xf numFmtId="0" fontId="14" fillId="0" borderId="4" xfId="570" applyFont="1" applyFill="1" applyBorder="1" applyAlignment="1">
      <alignment horizontal="right"/>
    </xf>
    <xf numFmtId="0" fontId="14" fillId="0" borderId="5" xfId="570" applyFont="1" applyFill="1" applyBorder="1" applyAlignment="1">
      <alignment horizontal="right"/>
    </xf>
    <xf numFmtId="0" fontId="44" fillId="0" borderId="2" xfId="570" applyNumberFormat="1" applyFont="1" applyBorder="1" applyAlignment="1">
      <alignment horizontal="left" vertical="top"/>
    </xf>
    <xf numFmtId="0" fontId="7" fillId="0" borderId="3" xfId="570" applyFont="1" applyBorder="1" applyAlignment="1">
      <alignment horizontal="right"/>
    </xf>
    <xf numFmtId="0" fontId="7" fillId="0" borderId="4" xfId="570" applyFont="1" applyBorder="1" applyAlignment="1">
      <alignment horizontal="right"/>
    </xf>
    <xf numFmtId="0" fontId="7" fillId="0" borderId="5" xfId="570" applyFont="1" applyBorder="1" applyAlignment="1">
      <alignment horizontal="righ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168" fontId="7" fillId="0" borderId="3" xfId="570" applyNumberFormat="1" applyBorder="1" applyAlignment="1">
      <alignment horizontal="center"/>
    </xf>
    <xf numFmtId="168" fontId="7" fillId="0" borderId="4" xfId="570" applyNumberFormat="1" applyBorder="1" applyAlignment="1">
      <alignment horizontal="center"/>
    </xf>
    <xf numFmtId="168" fontId="7" fillId="0" borderId="5" xfId="570" applyNumberFormat="1" applyBorder="1" applyAlignment="1">
      <alignment horizontal="center"/>
    </xf>
    <xf numFmtId="3" fontId="16" fillId="0" borderId="0" xfId="0" applyNumberFormat="1" applyFont="1" applyAlignment="1">
      <alignment horizontal="left" vertical="top" wrapText="1"/>
    </xf>
    <xf numFmtId="0" fontId="12" fillId="0" borderId="6" xfId="271" applyFont="1" applyBorder="1" applyAlignment="1" applyProtection="1">
      <alignment horizontal="center"/>
    </xf>
  </cellXfs>
  <cellStyles count="8706">
    <cellStyle name="20% - Accent1" xfId="1" builtinId="30" customBuiltin="1"/>
    <cellStyle name="20% - Accent1 10" xfId="4495"/>
    <cellStyle name="20% - Accent1 2" xfId="2"/>
    <cellStyle name="20% - Accent1 2 2" xfId="3"/>
    <cellStyle name="20% - Accent1 2 2 2" xfId="4"/>
    <cellStyle name="20% - Accent1 2 2 2 2" xfId="574"/>
    <cellStyle name="20% - Accent1 2 2 2 2 2" xfId="2845"/>
    <cellStyle name="20% - Accent1 2 2 2 2 2 2" xfId="7057"/>
    <cellStyle name="20% - Accent1 2 2 2 2 3" xfId="4912"/>
    <cellStyle name="20% - Accent1 2 2 2 3" xfId="1027"/>
    <cellStyle name="20% - Accent1 2 2 2 3 2" xfId="3258"/>
    <cellStyle name="20% - Accent1 2 2 2 3 2 2" xfId="7470"/>
    <cellStyle name="20% - Accent1 2 2 2 3 3" xfId="5325"/>
    <cellStyle name="20% - Accent1 2 2 2 4" xfId="1441"/>
    <cellStyle name="20% - Accent1 2 2 2 4 2" xfId="3671"/>
    <cellStyle name="20% - Accent1 2 2 2 4 2 2" xfId="7883"/>
    <cellStyle name="20% - Accent1 2 2 2 4 3" xfId="5738"/>
    <cellStyle name="20% - Accent1 2 2 2 5" xfId="1855"/>
    <cellStyle name="20% - Accent1 2 2 2 5 2" xfId="4084"/>
    <cellStyle name="20% - Accent1 2 2 2 5 2 2" xfId="8296"/>
    <cellStyle name="20% - Accent1 2 2 2 5 3" xfId="6151"/>
    <cellStyle name="20% - Accent1 2 2 2 6" xfId="2268"/>
    <cellStyle name="20% - Accent1 2 2 2 6 2" xfId="6564"/>
    <cellStyle name="20% - Accent1 2 2 2 7" xfId="4498"/>
    <cellStyle name="20% - Accent1 2 2 3" xfId="573"/>
    <cellStyle name="20% - Accent1 2 2 3 2" xfId="2844"/>
    <cellStyle name="20% - Accent1 2 2 3 2 2" xfId="7056"/>
    <cellStyle name="20% - Accent1 2 2 3 3" xfId="4911"/>
    <cellStyle name="20% - Accent1 2 2 4" xfId="1026"/>
    <cellStyle name="20% - Accent1 2 2 4 2" xfId="3257"/>
    <cellStyle name="20% - Accent1 2 2 4 2 2" xfId="7469"/>
    <cellStyle name="20% - Accent1 2 2 4 3" xfId="5324"/>
    <cellStyle name="20% - Accent1 2 2 5" xfId="1440"/>
    <cellStyle name="20% - Accent1 2 2 5 2" xfId="3670"/>
    <cellStyle name="20% - Accent1 2 2 5 2 2" xfId="7882"/>
    <cellStyle name="20% - Accent1 2 2 5 3" xfId="5737"/>
    <cellStyle name="20% - Accent1 2 2 6" xfId="1854"/>
    <cellStyle name="20% - Accent1 2 2 6 2" xfId="4083"/>
    <cellStyle name="20% - Accent1 2 2 6 2 2" xfId="8295"/>
    <cellStyle name="20% - Accent1 2 2 6 3" xfId="6150"/>
    <cellStyle name="20% - Accent1 2 2 7" xfId="2267"/>
    <cellStyle name="20% - Accent1 2 2 7 2" xfId="6563"/>
    <cellStyle name="20% - Accent1 2 2 8" xfId="4497"/>
    <cellStyle name="20% - Accent1 2 3" xfId="5"/>
    <cellStyle name="20% - Accent1 2 3 2" xfId="575"/>
    <cellStyle name="20% - Accent1 2 3 2 2" xfId="2846"/>
    <cellStyle name="20% - Accent1 2 3 2 2 2" xfId="7058"/>
    <cellStyle name="20% - Accent1 2 3 2 3" xfId="4913"/>
    <cellStyle name="20% - Accent1 2 3 3" xfId="1028"/>
    <cellStyle name="20% - Accent1 2 3 3 2" xfId="3259"/>
    <cellStyle name="20% - Accent1 2 3 3 2 2" xfId="7471"/>
    <cellStyle name="20% - Accent1 2 3 3 3" xfId="5326"/>
    <cellStyle name="20% - Accent1 2 3 4" xfId="1442"/>
    <cellStyle name="20% - Accent1 2 3 4 2" xfId="3672"/>
    <cellStyle name="20% - Accent1 2 3 4 2 2" xfId="7884"/>
    <cellStyle name="20% - Accent1 2 3 4 3" xfId="5739"/>
    <cellStyle name="20% - Accent1 2 3 5" xfId="1856"/>
    <cellStyle name="20% - Accent1 2 3 5 2" xfId="4085"/>
    <cellStyle name="20% - Accent1 2 3 5 2 2" xfId="8297"/>
    <cellStyle name="20% - Accent1 2 3 5 3" xfId="6152"/>
    <cellStyle name="20% - Accent1 2 3 6" xfId="2269"/>
    <cellStyle name="20% - Accent1 2 3 6 2" xfId="6565"/>
    <cellStyle name="20% - Accent1 2 3 7" xfId="4499"/>
    <cellStyle name="20% - Accent1 2 4" xfId="572"/>
    <cellStyle name="20% - Accent1 2 4 2" xfId="2843"/>
    <cellStyle name="20% - Accent1 2 4 2 2" xfId="7055"/>
    <cellStyle name="20% - Accent1 2 4 3" xfId="4910"/>
    <cellStyle name="20% - Accent1 2 5" xfId="1025"/>
    <cellStyle name="20% - Accent1 2 5 2" xfId="3256"/>
    <cellStyle name="20% - Accent1 2 5 2 2" xfId="7468"/>
    <cellStyle name="20% - Accent1 2 5 3" xfId="5323"/>
    <cellStyle name="20% - Accent1 2 6" xfId="1439"/>
    <cellStyle name="20% - Accent1 2 6 2" xfId="3669"/>
    <cellStyle name="20% - Accent1 2 6 2 2" xfId="7881"/>
    <cellStyle name="20% - Accent1 2 6 3" xfId="5736"/>
    <cellStyle name="20% - Accent1 2 7" xfId="1853"/>
    <cellStyle name="20% - Accent1 2 7 2" xfId="4082"/>
    <cellStyle name="20% - Accent1 2 7 2 2" xfId="8294"/>
    <cellStyle name="20% - Accent1 2 7 3" xfId="6149"/>
    <cellStyle name="20% - Accent1 2 8" xfId="2266"/>
    <cellStyle name="20% - Accent1 2 8 2" xfId="6562"/>
    <cellStyle name="20% - Accent1 2 9" xfId="4496"/>
    <cellStyle name="20% - Accent1 3" xfId="6"/>
    <cellStyle name="20% - Accent1 3 2" xfId="7"/>
    <cellStyle name="20% - Accent1 3 2 2" xfId="577"/>
    <cellStyle name="20% - Accent1 3 2 2 2" xfId="2848"/>
    <cellStyle name="20% - Accent1 3 2 2 2 2" xfId="7060"/>
    <cellStyle name="20% - Accent1 3 2 2 3" xfId="4915"/>
    <cellStyle name="20% - Accent1 3 2 3" xfId="1030"/>
    <cellStyle name="20% - Accent1 3 2 3 2" xfId="3261"/>
    <cellStyle name="20% - Accent1 3 2 3 2 2" xfId="7473"/>
    <cellStyle name="20% - Accent1 3 2 3 3" xfId="5328"/>
    <cellStyle name="20% - Accent1 3 2 4" xfId="1444"/>
    <cellStyle name="20% - Accent1 3 2 4 2" xfId="3674"/>
    <cellStyle name="20% - Accent1 3 2 4 2 2" xfId="7886"/>
    <cellStyle name="20% - Accent1 3 2 4 3" xfId="5741"/>
    <cellStyle name="20% - Accent1 3 2 5" xfId="1858"/>
    <cellStyle name="20% - Accent1 3 2 5 2" xfId="4087"/>
    <cellStyle name="20% - Accent1 3 2 5 2 2" xfId="8299"/>
    <cellStyle name="20% - Accent1 3 2 5 3" xfId="6154"/>
    <cellStyle name="20% - Accent1 3 2 6" xfId="2271"/>
    <cellStyle name="20% - Accent1 3 2 6 2" xfId="6567"/>
    <cellStyle name="20% - Accent1 3 2 7" xfId="4501"/>
    <cellStyle name="20% - Accent1 3 3" xfId="576"/>
    <cellStyle name="20% - Accent1 3 3 2" xfId="2847"/>
    <cellStyle name="20% - Accent1 3 3 2 2" xfId="7059"/>
    <cellStyle name="20% - Accent1 3 3 3" xfId="4914"/>
    <cellStyle name="20% - Accent1 3 4" xfId="1029"/>
    <cellStyle name="20% - Accent1 3 4 2" xfId="3260"/>
    <cellStyle name="20% - Accent1 3 4 2 2" xfId="7472"/>
    <cellStyle name="20% - Accent1 3 4 3" xfId="5327"/>
    <cellStyle name="20% - Accent1 3 5" xfId="1443"/>
    <cellStyle name="20% - Accent1 3 5 2" xfId="3673"/>
    <cellStyle name="20% - Accent1 3 5 2 2" xfId="7885"/>
    <cellStyle name="20% - Accent1 3 5 3" xfId="5740"/>
    <cellStyle name="20% - Accent1 3 6" xfId="1857"/>
    <cellStyle name="20% - Accent1 3 6 2" xfId="4086"/>
    <cellStyle name="20% - Accent1 3 6 2 2" xfId="8298"/>
    <cellStyle name="20% - Accent1 3 6 3" xfId="6153"/>
    <cellStyle name="20% - Accent1 3 7" xfId="2270"/>
    <cellStyle name="20% - Accent1 3 7 2" xfId="6566"/>
    <cellStyle name="20% - Accent1 3 8" xfId="4500"/>
    <cellStyle name="20% - Accent1 4" xfId="8"/>
    <cellStyle name="20% - Accent1 4 2" xfId="578"/>
    <cellStyle name="20% - Accent1 4 2 2" xfId="2849"/>
    <cellStyle name="20% - Accent1 4 2 2 2" xfId="7061"/>
    <cellStyle name="20% - Accent1 4 2 3" xfId="4916"/>
    <cellStyle name="20% - Accent1 4 3" xfId="1031"/>
    <cellStyle name="20% - Accent1 4 3 2" xfId="3262"/>
    <cellStyle name="20% - Accent1 4 3 2 2" xfId="7474"/>
    <cellStyle name="20% - Accent1 4 3 3" xfId="5329"/>
    <cellStyle name="20% - Accent1 4 4" xfId="1445"/>
    <cellStyle name="20% - Accent1 4 4 2" xfId="3675"/>
    <cellStyle name="20% - Accent1 4 4 2 2" xfId="7887"/>
    <cellStyle name="20% - Accent1 4 4 3" xfId="5742"/>
    <cellStyle name="20% - Accent1 4 5" xfId="1859"/>
    <cellStyle name="20% - Accent1 4 5 2" xfId="4088"/>
    <cellStyle name="20% - Accent1 4 5 2 2" xfId="8300"/>
    <cellStyle name="20% - Accent1 4 5 3" xfId="6155"/>
    <cellStyle name="20% - Accent1 4 6" xfId="2272"/>
    <cellStyle name="20% - Accent1 4 6 2" xfId="6568"/>
    <cellStyle name="20% - Accent1 4 7" xfId="4502"/>
    <cellStyle name="20% - Accent1 5" xfId="571"/>
    <cellStyle name="20% - Accent1 5 2" xfId="2842"/>
    <cellStyle name="20% - Accent1 5 2 2" xfId="7054"/>
    <cellStyle name="20% - Accent1 5 3" xfId="4909"/>
    <cellStyle name="20% - Accent1 6" xfId="1024"/>
    <cellStyle name="20% - Accent1 6 2" xfId="3255"/>
    <cellStyle name="20% - Accent1 6 2 2" xfId="7467"/>
    <cellStyle name="20% - Accent1 6 3" xfId="5322"/>
    <cellStyle name="20% - Accent1 7" xfId="1438"/>
    <cellStyle name="20% - Accent1 7 2" xfId="3668"/>
    <cellStyle name="20% - Accent1 7 2 2" xfId="7880"/>
    <cellStyle name="20% - Accent1 7 3" xfId="5735"/>
    <cellStyle name="20% - Accent1 8" xfId="1852"/>
    <cellStyle name="20% - Accent1 8 2" xfId="4081"/>
    <cellStyle name="20% - Accent1 8 2 2" xfId="8293"/>
    <cellStyle name="20% - Accent1 8 3" xfId="6148"/>
    <cellStyle name="20% - Accent1 9" xfId="2265"/>
    <cellStyle name="20% - Accent1 9 2" xfId="6561"/>
    <cellStyle name="20% - Accent2" xfId="9" builtinId="34" customBuiltin="1"/>
    <cellStyle name="20% - Accent2 10" xfId="4503"/>
    <cellStyle name="20% - Accent2 2" xfId="10"/>
    <cellStyle name="20% - Accent2 2 2" xfId="11"/>
    <cellStyle name="20% - Accent2 2 2 2" xfId="12"/>
    <cellStyle name="20% - Accent2 2 2 2 2" xfId="582"/>
    <cellStyle name="20% - Accent2 2 2 2 2 2" xfId="2853"/>
    <cellStyle name="20% - Accent2 2 2 2 2 2 2" xfId="7065"/>
    <cellStyle name="20% - Accent2 2 2 2 2 3" xfId="4920"/>
    <cellStyle name="20% - Accent2 2 2 2 3" xfId="1035"/>
    <cellStyle name="20% - Accent2 2 2 2 3 2" xfId="3266"/>
    <cellStyle name="20% - Accent2 2 2 2 3 2 2" xfId="7478"/>
    <cellStyle name="20% - Accent2 2 2 2 3 3" xfId="5333"/>
    <cellStyle name="20% - Accent2 2 2 2 4" xfId="1449"/>
    <cellStyle name="20% - Accent2 2 2 2 4 2" xfId="3679"/>
    <cellStyle name="20% - Accent2 2 2 2 4 2 2" xfId="7891"/>
    <cellStyle name="20% - Accent2 2 2 2 4 3" xfId="5746"/>
    <cellStyle name="20% - Accent2 2 2 2 5" xfId="1863"/>
    <cellStyle name="20% - Accent2 2 2 2 5 2" xfId="4092"/>
    <cellStyle name="20% - Accent2 2 2 2 5 2 2" xfId="8304"/>
    <cellStyle name="20% - Accent2 2 2 2 5 3" xfId="6159"/>
    <cellStyle name="20% - Accent2 2 2 2 6" xfId="2276"/>
    <cellStyle name="20% - Accent2 2 2 2 6 2" xfId="6572"/>
    <cellStyle name="20% - Accent2 2 2 2 7" xfId="4506"/>
    <cellStyle name="20% - Accent2 2 2 3" xfId="581"/>
    <cellStyle name="20% - Accent2 2 2 3 2" xfId="2852"/>
    <cellStyle name="20% - Accent2 2 2 3 2 2" xfId="7064"/>
    <cellStyle name="20% - Accent2 2 2 3 3" xfId="4919"/>
    <cellStyle name="20% - Accent2 2 2 4" xfId="1034"/>
    <cellStyle name="20% - Accent2 2 2 4 2" xfId="3265"/>
    <cellStyle name="20% - Accent2 2 2 4 2 2" xfId="7477"/>
    <cellStyle name="20% - Accent2 2 2 4 3" xfId="5332"/>
    <cellStyle name="20% - Accent2 2 2 5" xfId="1448"/>
    <cellStyle name="20% - Accent2 2 2 5 2" xfId="3678"/>
    <cellStyle name="20% - Accent2 2 2 5 2 2" xfId="7890"/>
    <cellStyle name="20% - Accent2 2 2 5 3" xfId="5745"/>
    <cellStyle name="20% - Accent2 2 2 6" xfId="1862"/>
    <cellStyle name="20% - Accent2 2 2 6 2" xfId="4091"/>
    <cellStyle name="20% - Accent2 2 2 6 2 2" xfId="8303"/>
    <cellStyle name="20% - Accent2 2 2 6 3" xfId="6158"/>
    <cellStyle name="20% - Accent2 2 2 7" xfId="2275"/>
    <cellStyle name="20% - Accent2 2 2 7 2" xfId="6571"/>
    <cellStyle name="20% - Accent2 2 2 8" xfId="4505"/>
    <cellStyle name="20% - Accent2 2 3" xfId="13"/>
    <cellStyle name="20% - Accent2 2 3 2" xfId="583"/>
    <cellStyle name="20% - Accent2 2 3 2 2" xfId="2854"/>
    <cellStyle name="20% - Accent2 2 3 2 2 2" xfId="7066"/>
    <cellStyle name="20% - Accent2 2 3 2 3" xfId="4921"/>
    <cellStyle name="20% - Accent2 2 3 3" xfId="1036"/>
    <cellStyle name="20% - Accent2 2 3 3 2" xfId="3267"/>
    <cellStyle name="20% - Accent2 2 3 3 2 2" xfId="7479"/>
    <cellStyle name="20% - Accent2 2 3 3 3" xfId="5334"/>
    <cellStyle name="20% - Accent2 2 3 4" xfId="1450"/>
    <cellStyle name="20% - Accent2 2 3 4 2" xfId="3680"/>
    <cellStyle name="20% - Accent2 2 3 4 2 2" xfId="7892"/>
    <cellStyle name="20% - Accent2 2 3 4 3" xfId="5747"/>
    <cellStyle name="20% - Accent2 2 3 5" xfId="1864"/>
    <cellStyle name="20% - Accent2 2 3 5 2" xfId="4093"/>
    <cellStyle name="20% - Accent2 2 3 5 2 2" xfId="8305"/>
    <cellStyle name="20% - Accent2 2 3 5 3" xfId="6160"/>
    <cellStyle name="20% - Accent2 2 3 6" xfId="2277"/>
    <cellStyle name="20% - Accent2 2 3 6 2" xfId="6573"/>
    <cellStyle name="20% - Accent2 2 3 7" xfId="4507"/>
    <cellStyle name="20% - Accent2 2 4" xfId="580"/>
    <cellStyle name="20% - Accent2 2 4 2" xfId="2851"/>
    <cellStyle name="20% - Accent2 2 4 2 2" xfId="7063"/>
    <cellStyle name="20% - Accent2 2 4 3" xfId="4918"/>
    <cellStyle name="20% - Accent2 2 5" xfId="1033"/>
    <cellStyle name="20% - Accent2 2 5 2" xfId="3264"/>
    <cellStyle name="20% - Accent2 2 5 2 2" xfId="7476"/>
    <cellStyle name="20% - Accent2 2 5 3" xfId="5331"/>
    <cellStyle name="20% - Accent2 2 6" xfId="1447"/>
    <cellStyle name="20% - Accent2 2 6 2" xfId="3677"/>
    <cellStyle name="20% - Accent2 2 6 2 2" xfId="7889"/>
    <cellStyle name="20% - Accent2 2 6 3" xfId="5744"/>
    <cellStyle name="20% - Accent2 2 7" xfId="1861"/>
    <cellStyle name="20% - Accent2 2 7 2" xfId="4090"/>
    <cellStyle name="20% - Accent2 2 7 2 2" xfId="8302"/>
    <cellStyle name="20% - Accent2 2 7 3" xfId="6157"/>
    <cellStyle name="20% - Accent2 2 8" xfId="2274"/>
    <cellStyle name="20% - Accent2 2 8 2" xfId="6570"/>
    <cellStyle name="20% - Accent2 2 9" xfId="4504"/>
    <cellStyle name="20% - Accent2 3" xfId="14"/>
    <cellStyle name="20% - Accent2 3 2" xfId="15"/>
    <cellStyle name="20% - Accent2 3 2 2" xfId="585"/>
    <cellStyle name="20% - Accent2 3 2 2 2" xfId="2856"/>
    <cellStyle name="20% - Accent2 3 2 2 2 2" xfId="7068"/>
    <cellStyle name="20% - Accent2 3 2 2 3" xfId="4923"/>
    <cellStyle name="20% - Accent2 3 2 3" xfId="1038"/>
    <cellStyle name="20% - Accent2 3 2 3 2" xfId="3269"/>
    <cellStyle name="20% - Accent2 3 2 3 2 2" xfId="7481"/>
    <cellStyle name="20% - Accent2 3 2 3 3" xfId="5336"/>
    <cellStyle name="20% - Accent2 3 2 4" xfId="1452"/>
    <cellStyle name="20% - Accent2 3 2 4 2" xfId="3682"/>
    <cellStyle name="20% - Accent2 3 2 4 2 2" xfId="7894"/>
    <cellStyle name="20% - Accent2 3 2 4 3" xfId="5749"/>
    <cellStyle name="20% - Accent2 3 2 5" xfId="1866"/>
    <cellStyle name="20% - Accent2 3 2 5 2" xfId="4095"/>
    <cellStyle name="20% - Accent2 3 2 5 2 2" xfId="8307"/>
    <cellStyle name="20% - Accent2 3 2 5 3" xfId="6162"/>
    <cellStyle name="20% - Accent2 3 2 6" xfId="2279"/>
    <cellStyle name="20% - Accent2 3 2 6 2" xfId="6575"/>
    <cellStyle name="20% - Accent2 3 2 7" xfId="4509"/>
    <cellStyle name="20% - Accent2 3 3" xfId="584"/>
    <cellStyle name="20% - Accent2 3 3 2" xfId="2855"/>
    <cellStyle name="20% - Accent2 3 3 2 2" xfId="7067"/>
    <cellStyle name="20% - Accent2 3 3 3" xfId="4922"/>
    <cellStyle name="20% - Accent2 3 4" xfId="1037"/>
    <cellStyle name="20% - Accent2 3 4 2" xfId="3268"/>
    <cellStyle name="20% - Accent2 3 4 2 2" xfId="7480"/>
    <cellStyle name="20% - Accent2 3 4 3" xfId="5335"/>
    <cellStyle name="20% - Accent2 3 5" xfId="1451"/>
    <cellStyle name="20% - Accent2 3 5 2" xfId="3681"/>
    <cellStyle name="20% - Accent2 3 5 2 2" xfId="7893"/>
    <cellStyle name="20% - Accent2 3 5 3" xfId="5748"/>
    <cellStyle name="20% - Accent2 3 6" xfId="1865"/>
    <cellStyle name="20% - Accent2 3 6 2" xfId="4094"/>
    <cellStyle name="20% - Accent2 3 6 2 2" xfId="8306"/>
    <cellStyle name="20% - Accent2 3 6 3" xfId="6161"/>
    <cellStyle name="20% - Accent2 3 7" xfId="2278"/>
    <cellStyle name="20% - Accent2 3 7 2" xfId="6574"/>
    <cellStyle name="20% - Accent2 3 8" xfId="4508"/>
    <cellStyle name="20% - Accent2 4" xfId="16"/>
    <cellStyle name="20% - Accent2 4 2" xfId="586"/>
    <cellStyle name="20% - Accent2 4 2 2" xfId="2857"/>
    <cellStyle name="20% - Accent2 4 2 2 2" xfId="7069"/>
    <cellStyle name="20% - Accent2 4 2 3" xfId="4924"/>
    <cellStyle name="20% - Accent2 4 3" xfId="1039"/>
    <cellStyle name="20% - Accent2 4 3 2" xfId="3270"/>
    <cellStyle name="20% - Accent2 4 3 2 2" xfId="7482"/>
    <cellStyle name="20% - Accent2 4 3 3" xfId="5337"/>
    <cellStyle name="20% - Accent2 4 4" xfId="1453"/>
    <cellStyle name="20% - Accent2 4 4 2" xfId="3683"/>
    <cellStyle name="20% - Accent2 4 4 2 2" xfId="7895"/>
    <cellStyle name="20% - Accent2 4 4 3" xfId="5750"/>
    <cellStyle name="20% - Accent2 4 5" xfId="1867"/>
    <cellStyle name="20% - Accent2 4 5 2" xfId="4096"/>
    <cellStyle name="20% - Accent2 4 5 2 2" xfId="8308"/>
    <cellStyle name="20% - Accent2 4 5 3" xfId="6163"/>
    <cellStyle name="20% - Accent2 4 6" xfId="2280"/>
    <cellStyle name="20% - Accent2 4 6 2" xfId="6576"/>
    <cellStyle name="20% - Accent2 4 7" xfId="4510"/>
    <cellStyle name="20% - Accent2 5" xfId="579"/>
    <cellStyle name="20% - Accent2 5 2" xfId="2850"/>
    <cellStyle name="20% - Accent2 5 2 2" xfId="7062"/>
    <cellStyle name="20% - Accent2 5 3" xfId="4917"/>
    <cellStyle name="20% - Accent2 6" xfId="1032"/>
    <cellStyle name="20% - Accent2 6 2" xfId="3263"/>
    <cellStyle name="20% - Accent2 6 2 2" xfId="7475"/>
    <cellStyle name="20% - Accent2 6 3" xfId="5330"/>
    <cellStyle name="20% - Accent2 7" xfId="1446"/>
    <cellStyle name="20% - Accent2 7 2" xfId="3676"/>
    <cellStyle name="20% - Accent2 7 2 2" xfId="7888"/>
    <cellStyle name="20% - Accent2 7 3" xfId="5743"/>
    <cellStyle name="20% - Accent2 8" xfId="1860"/>
    <cellStyle name="20% - Accent2 8 2" xfId="4089"/>
    <cellStyle name="20% - Accent2 8 2 2" xfId="8301"/>
    <cellStyle name="20% - Accent2 8 3" xfId="6156"/>
    <cellStyle name="20% - Accent2 9" xfId="2273"/>
    <cellStyle name="20% - Accent2 9 2" xfId="6569"/>
    <cellStyle name="20% - Accent3" xfId="17" builtinId="38" customBuiltin="1"/>
    <cellStyle name="20% - Accent3 10" xfId="4511"/>
    <cellStyle name="20% - Accent3 2" xfId="18"/>
    <cellStyle name="20% - Accent3 2 2" xfId="19"/>
    <cellStyle name="20% - Accent3 2 2 2" xfId="20"/>
    <cellStyle name="20% - Accent3 2 2 2 2" xfId="590"/>
    <cellStyle name="20% - Accent3 2 2 2 2 2" xfId="2861"/>
    <cellStyle name="20% - Accent3 2 2 2 2 2 2" xfId="7073"/>
    <cellStyle name="20% - Accent3 2 2 2 2 3" xfId="4928"/>
    <cellStyle name="20% - Accent3 2 2 2 3" xfId="1043"/>
    <cellStyle name="20% - Accent3 2 2 2 3 2" xfId="3274"/>
    <cellStyle name="20% - Accent3 2 2 2 3 2 2" xfId="7486"/>
    <cellStyle name="20% - Accent3 2 2 2 3 3" xfId="5341"/>
    <cellStyle name="20% - Accent3 2 2 2 4" xfId="1457"/>
    <cellStyle name="20% - Accent3 2 2 2 4 2" xfId="3687"/>
    <cellStyle name="20% - Accent3 2 2 2 4 2 2" xfId="7899"/>
    <cellStyle name="20% - Accent3 2 2 2 4 3" xfId="5754"/>
    <cellStyle name="20% - Accent3 2 2 2 5" xfId="1871"/>
    <cellStyle name="20% - Accent3 2 2 2 5 2" xfId="4100"/>
    <cellStyle name="20% - Accent3 2 2 2 5 2 2" xfId="8312"/>
    <cellStyle name="20% - Accent3 2 2 2 5 3" xfId="6167"/>
    <cellStyle name="20% - Accent3 2 2 2 6" xfId="2284"/>
    <cellStyle name="20% - Accent3 2 2 2 6 2" xfId="6580"/>
    <cellStyle name="20% - Accent3 2 2 2 7" xfId="4514"/>
    <cellStyle name="20% - Accent3 2 2 3" xfId="589"/>
    <cellStyle name="20% - Accent3 2 2 3 2" xfId="2860"/>
    <cellStyle name="20% - Accent3 2 2 3 2 2" xfId="7072"/>
    <cellStyle name="20% - Accent3 2 2 3 3" xfId="4927"/>
    <cellStyle name="20% - Accent3 2 2 4" xfId="1042"/>
    <cellStyle name="20% - Accent3 2 2 4 2" xfId="3273"/>
    <cellStyle name="20% - Accent3 2 2 4 2 2" xfId="7485"/>
    <cellStyle name="20% - Accent3 2 2 4 3" xfId="5340"/>
    <cellStyle name="20% - Accent3 2 2 5" xfId="1456"/>
    <cellStyle name="20% - Accent3 2 2 5 2" xfId="3686"/>
    <cellStyle name="20% - Accent3 2 2 5 2 2" xfId="7898"/>
    <cellStyle name="20% - Accent3 2 2 5 3" xfId="5753"/>
    <cellStyle name="20% - Accent3 2 2 6" xfId="1870"/>
    <cellStyle name="20% - Accent3 2 2 6 2" xfId="4099"/>
    <cellStyle name="20% - Accent3 2 2 6 2 2" xfId="8311"/>
    <cellStyle name="20% - Accent3 2 2 6 3" xfId="6166"/>
    <cellStyle name="20% - Accent3 2 2 7" xfId="2283"/>
    <cellStyle name="20% - Accent3 2 2 7 2" xfId="6579"/>
    <cellStyle name="20% - Accent3 2 2 8" xfId="4513"/>
    <cellStyle name="20% - Accent3 2 3" xfId="21"/>
    <cellStyle name="20% - Accent3 2 3 2" xfId="591"/>
    <cellStyle name="20% - Accent3 2 3 2 2" xfId="2862"/>
    <cellStyle name="20% - Accent3 2 3 2 2 2" xfId="7074"/>
    <cellStyle name="20% - Accent3 2 3 2 3" xfId="4929"/>
    <cellStyle name="20% - Accent3 2 3 3" xfId="1044"/>
    <cellStyle name="20% - Accent3 2 3 3 2" xfId="3275"/>
    <cellStyle name="20% - Accent3 2 3 3 2 2" xfId="7487"/>
    <cellStyle name="20% - Accent3 2 3 3 3" xfId="5342"/>
    <cellStyle name="20% - Accent3 2 3 4" xfId="1458"/>
    <cellStyle name="20% - Accent3 2 3 4 2" xfId="3688"/>
    <cellStyle name="20% - Accent3 2 3 4 2 2" xfId="7900"/>
    <cellStyle name="20% - Accent3 2 3 4 3" xfId="5755"/>
    <cellStyle name="20% - Accent3 2 3 5" xfId="1872"/>
    <cellStyle name="20% - Accent3 2 3 5 2" xfId="4101"/>
    <cellStyle name="20% - Accent3 2 3 5 2 2" xfId="8313"/>
    <cellStyle name="20% - Accent3 2 3 5 3" xfId="6168"/>
    <cellStyle name="20% - Accent3 2 3 6" xfId="2285"/>
    <cellStyle name="20% - Accent3 2 3 6 2" xfId="6581"/>
    <cellStyle name="20% - Accent3 2 3 7" xfId="4515"/>
    <cellStyle name="20% - Accent3 2 4" xfId="588"/>
    <cellStyle name="20% - Accent3 2 4 2" xfId="2859"/>
    <cellStyle name="20% - Accent3 2 4 2 2" xfId="7071"/>
    <cellStyle name="20% - Accent3 2 4 3" xfId="4926"/>
    <cellStyle name="20% - Accent3 2 5" xfId="1041"/>
    <cellStyle name="20% - Accent3 2 5 2" xfId="3272"/>
    <cellStyle name="20% - Accent3 2 5 2 2" xfId="7484"/>
    <cellStyle name="20% - Accent3 2 5 3" xfId="5339"/>
    <cellStyle name="20% - Accent3 2 6" xfId="1455"/>
    <cellStyle name="20% - Accent3 2 6 2" xfId="3685"/>
    <cellStyle name="20% - Accent3 2 6 2 2" xfId="7897"/>
    <cellStyle name="20% - Accent3 2 6 3" xfId="5752"/>
    <cellStyle name="20% - Accent3 2 7" xfId="1869"/>
    <cellStyle name="20% - Accent3 2 7 2" xfId="4098"/>
    <cellStyle name="20% - Accent3 2 7 2 2" xfId="8310"/>
    <cellStyle name="20% - Accent3 2 7 3" xfId="6165"/>
    <cellStyle name="20% - Accent3 2 8" xfId="2282"/>
    <cellStyle name="20% - Accent3 2 8 2" xfId="6578"/>
    <cellStyle name="20% - Accent3 2 9" xfId="4512"/>
    <cellStyle name="20% - Accent3 3" xfId="22"/>
    <cellStyle name="20% - Accent3 3 2" xfId="23"/>
    <cellStyle name="20% - Accent3 3 2 2" xfId="593"/>
    <cellStyle name="20% - Accent3 3 2 2 2" xfId="2864"/>
    <cellStyle name="20% - Accent3 3 2 2 2 2" xfId="7076"/>
    <cellStyle name="20% - Accent3 3 2 2 3" xfId="4931"/>
    <cellStyle name="20% - Accent3 3 2 3" xfId="1046"/>
    <cellStyle name="20% - Accent3 3 2 3 2" xfId="3277"/>
    <cellStyle name="20% - Accent3 3 2 3 2 2" xfId="7489"/>
    <cellStyle name="20% - Accent3 3 2 3 3" xfId="5344"/>
    <cellStyle name="20% - Accent3 3 2 4" xfId="1460"/>
    <cellStyle name="20% - Accent3 3 2 4 2" xfId="3690"/>
    <cellStyle name="20% - Accent3 3 2 4 2 2" xfId="7902"/>
    <cellStyle name="20% - Accent3 3 2 4 3" xfId="5757"/>
    <cellStyle name="20% - Accent3 3 2 5" xfId="1874"/>
    <cellStyle name="20% - Accent3 3 2 5 2" xfId="4103"/>
    <cellStyle name="20% - Accent3 3 2 5 2 2" xfId="8315"/>
    <cellStyle name="20% - Accent3 3 2 5 3" xfId="6170"/>
    <cellStyle name="20% - Accent3 3 2 6" xfId="2287"/>
    <cellStyle name="20% - Accent3 3 2 6 2" xfId="6583"/>
    <cellStyle name="20% - Accent3 3 2 7" xfId="4517"/>
    <cellStyle name="20% - Accent3 3 3" xfId="592"/>
    <cellStyle name="20% - Accent3 3 3 2" xfId="2863"/>
    <cellStyle name="20% - Accent3 3 3 2 2" xfId="7075"/>
    <cellStyle name="20% - Accent3 3 3 3" xfId="4930"/>
    <cellStyle name="20% - Accent3 3 4" xfId="1045"/>
    <cellStyle name="20% - Accent3 3 4 2" xfId="3276"/>
    <cellStyle name="20% - Accent3 3 4 2 2" xfId="7488"/>
    <cellStyle name="20% - Accent3 3 4 3" xfId="5343"/>
    <cellStyle name="20% - Accent3 3 5" xfId="1459"/>
    <cellStyle name="20% - Accent3 3 5 2" xfId="3689"/>
    <cellStyle name="20% - Accent3 3 5 2 2" xfId="7901"/>
    <cellStyle name="20% - Accent3 3 5 3" xfId="5756"/>
    <cellStyle name="20% - Accent3 3 6" xfId="1873"/>
    <cellStyle name="20% - Accent3 3 6 2" xfId="4102"/>
    <cellStyle name="20% - Accent3 3 6 2 2" xfId="8314"/>
    <cellStyle name="20% - Accent3 3 6 3" xfId="6169"/>
    <cellStyle name="20% - Accent3 3 7" xfId="2286"/>
    <cellStyle name="20% - Accent3 3 7 2" xfId="6582"/>
    <cellStyle name="20% - Accent3 3 8" xfId="4516"/>
    <cellStyle name="20% - Accent3 4" xfId="24"/>
    <cellStyle name="20% - Accent3 4 2" xfId="594"/>
    <cellStyle name="20% - Accent3 4 2 2" xfId="2865"/>
    <cellStyle name="20% - Accent3 4 2 2 2" xfId="7077"/>
    <cellStyle name="20% - Accent3 4 2 3" xfId="4932"/>
    <cellStyle name="20% - Accent3 4 3" xfId="1047"/>
    <cellStyle name="20% - Accent3 4 3 2" xfId="3278"/>
    <cellStyle name="20% - Accent3 4 3 2 2" xfId="7490"/>
    <cellStyle name="20% - Accent3 4 3 3" xfId="5345"/>
    <cellStyle name="20% - Accent3 4 4" xfId="1461"/>
    <cellStyle name="20% - Accent3 4 4 2" xfId="3691"/>
    <cellStyle name="20% - Accent3 4 4 2 2" xfId="7903"/>
    <cellStyle name="20% - Accent3 4 4 3" xfId="5758"/>
    <cellStyle name="20% - Accent3 4 5" xfId="1875"/>
    <cellStyle name="20% - Accent3 4 5 2" xfId="4104"/>
    <cellStyle name="20% - Accent3 4 5 2 2" xfId="8316"/>
    <cellStyle name="20% - Accent3 4 5 3" xfId="6171"/>
    <cellStyle name="20% - Accent3 4 6" xfId="2288"/>
    <cellStyle name="20% - Accent3 4 6 2" xfId="6584"/>
    <cellStyle name="20% - Accent3 4 7" xfId="4518"/>
    <cellStyle name="20% - Accent3 5" xfId="587"/>
    <cellStyle name="20% - Accent3 5 2" xfId="2858"/>
    <cellStyle name="20% - Accent3 5 2 2" xfId="7070"/>
    <cellStyle name="20% - Accent3 5 3" xfId="4925"/>
    <cellStyle name="20% - Accent3 6" xfId="1040"/>
    <cellStyle name="20% - Accent3 6 2" xfId="3271"/>
    <cellStyle name="20% - Accent3 6 2 2" xfId="7483"/>
    <cellStyle name="20% - Accent3 6 3" xfId="5338"/>
    <cellStyle name="20% - Accent3 7" xfId="1454"/>
    <cellStyle name="20% - Accent3 7 2" xfId="3684"/>
    <cellStyle name="20% - Accent3 7 2 2" xfId="7896"/>
    <cellStyle name="20% - Accent3 7 3" xfId="5751"/>
    <cellStyle name="20% - Accent3 8" xfId="1868"/>
    <cellStyle name="20% - Accent3 8 2" xfId="4097"/>
    <cellStyle name="20% - Accent3 8 2 2" xfId="8309"/>
    <cellStyle name="20% - Accent3 8 3" xfId="6164"/>
    <cellStyle name="20% - Accent3 9" xfId="2281"/>
    <cellStyle name="20% - Accent3 9 2" xfId="6577"/>
    <cellStyle name="20% - Accent4" xfId="25" builtinId="42" customBuiltin="1"/>
    <cellStyle name="20% - Accent4 10" xfId="4519"/>
    <cellStyle name="20% - Accent4 2" xfId="26"/>
    <cellStyle name="20% - Accent4 2 2" xfId="27"/>
    <cellStyle name="20% - Accent4 2 2 2" xfId="28"/>
    <cellStyle name="20% - Accent4 2 2 2 2" xfId="598"/>
    <cellStyle name="20% - Accent4 2 2 2 2 2" xfId="2869"/>
    <cellStyle name="20% - Accent4 2 2 2 2 2 2" xfId="7081"/>
    <cellStyle name="20% - Accent4 2 2 2 2 3" xfId="4936"/>
    <cellStyle name="20% - Accent4 2 2 2 3" xfId="1051"/>
    <cellStyle name="20% - Accent4 2 2 2 3 2" xfId="3282"/>
    <cellStyle name="20% - Accent4 2 2 2 3 2 2" xfId="7494"/>
    <cellStyle name="20% - Accent4 2 2 2 3 3" xfId="5349"/>
    <cellStyle name="20% - Accent4 2 2 2 4" xfId="1465"/>
    <cellStyle name="20% - Accent4 2 2 2 4 2" xfId="3695"/>
    <cellStyle name="20% - Accent4 2 2 2 4 2 2" xfId="7907"/>
    <cellStyle name="20% - Accent4 2 2 2 4 3" xfId="5762"/>
    <cellStyle name="20% - Accent4 2 2 2 5" xfId="1879"/>
    <cellStyle name="20% - Accent4 2 2 2 5 2" xfId="4108"/>
    <cellStyle name="20% - Accent4 2 2 2 5 2 2" xfId="8320"/>
    <cellStyle name="20% - Accent4 2 2 2 5 3" xfId="6175"/>
    <cellStyle name="20% - Accent4 2 2 2 6" xfId="2292"/>
    <cellStyle name="20% - Accent4 2 2 2 6 2" xfId="6588"/>
    <cellStyle name="20% - Accent4 2 2 2 7" xfId="4522"/>
    <cellStyle name="20% - Accent4 2 2 3" xfId="597"/>
    <cellStyle name="20% - Accent4 2 2 3 2" xfId="2868"/>
    <cellStyle name="20% - Accent4 2 2 3 2 2" xfId="7080"/>
    <cellStyle name="20% - Accent4 2 2 3 3" xfId="4935"/>
    <cellStyle name="20% - Accent4 2 2 4" xfId="1050"/>
    <cellStyle name="20% - Accent4 2 2 4 2" xfId="3281"/>
    <cellStyle name="20% - Accent4 2 2 4 2 2" xfId="7493"/>
    <cellStyle name="20% - Accent4 2 2 4 3" xfId="5348"/>
    <cellStyle name="20% - Accent4 2 2 5" xfId="1464"/>
    <cellStyle name="20% - Accent4 2 2 5 2" xfId="3694"/>
    <cellStyle name="20% - Accent4 2 2 5 2 2" xfId="7906"/>
    <cellStyle name="20% - Accent4 2 2 5 3" xfId="5761"/>
    <cellStyle name="20% - Accent4 2 2 6" xfId="1878"/>
    <cellStyle name="20% - Accent4 2 2 6 2" xfId="4107"/>
    <cellStyle name="20% - Accent4 2 2 6 2 2" xfId="8319"/>
    <cellStyle name="20% - Accent4 2 2 6 3" xfId="6174"/>
    <cellStyle name="20% - Accent4 2 2 7" xfId="2291"/>
    <cellStyle name="20% - Accent4 2 2 7 2" xfId="6587"/>
    <cellStyle name="20% - Accent4 2 2 8" xfId="4521"/>
    <cellStyle name="20% - Accent4 2 3" xfId="29"/>
    <cellStyle name="20% - Accent4 2 3 2" xfId="599"/>
    <cellStyle name="20% - Accent4 2 3 2 2" xfId="2870"/>
    <cellStyle name="20% - Accent4 2 3 2 2 2" xfId="7082"/>
    <cellStyle name="20% - Accent4 2 3 2 3" xfId="4937"/>
    <cellStyle name="20% - Accent4 2 3 3" xfId="1052"/>
    <cellStyle name="20% - Accent4 2 3 3 2" xfId="3283"/>
    <cellStyle name="20% - Accent4 2 3 3 2 2" xfId="7495"/>
    <cellStyle name="20% - Accent4 2 3 3 3" xfId="5350"/>
    <cellStyle name="20% - Accent4 2 3 4" xfId="1466"/>
    <cellStyle name="20% - Accent4 2 3 4 2" xfId="3696"/>
    <cellStyle name="20% - Accent4 2 3 4 2 2" xfId="7908"/>
    <cellStyle name="20% - Accent4 2 3 4 3" xfId="5763"/>
    <cellStyle name="20% - Accent4 2 3 5" xfId="1880"/>
    <cellStyle name="20% - Accent4 2 3 5 2" xfId="4109"/>
    <cellStyle name="20% - Accent4 2 3 5 2 2" xfId="8321"/>
    <cellStyle name="20% - Accent4 2 3 5 3" xfId="6176"/>
    <cellStyle name="20% - Accent4 2 3 6" xfId="2293"/>
    <cellStyle name="20% - Accent4 2 3 6 2" xfId="6589"/>
    <cellStyle name="20% - Accent4 2 3 7" xfId="4523"/>
    <cellStyle name="20% - Accent4 2 4" xfId="596"/>
    <cellStyle name="20% - Accent4 2 4 2" xfId="2867"/>
    <cellStyle name="20% - Accent4 2 4 2 2" xfId="7079"/>
    <cellStyle name="20% - Accent4 2 4 3" xfId="4934"/>
    <cellStyle name="20% - Accent4 2 5" xfId="1049"/>
    <cellStyle name="20% - Accent4 2 5 2" xfId="3280"/>
    <cellStyle name="20% - Accent4 2 5 2 2" xfId="7492"/>
    <cellStyle name="20% - Accent4 2 5 3" xfId="5347"/>
    <cellStyle name="20% - Accent4 2 6" xfId="1463"/>
    <cellStyle name="20% - Accent4 2 6 2" xfId="3693"/>
    <cellStyle name="20% - Accent4 2 6 2 2" xfId="7905"/>
    <cellStyle name="20% - Accent4 2 6 3" xfId="5760"/>
    <cellStyle name="20% - Accent4 2 7" xfId="1877"/>
    <cellStyle name="20% - Accent4 2 7 2" xfId="4106"/>
    <cellStyle name="20% - Accent4 2 7 2 2" xfId="8318"/>
    <cellStyle name="20% - Accent4 2 7 3" xfId="6173"/>
    <cellStyle name="20% - Accent4 2 8" xfId="2290"/>
    <cellStyle name="20% - Accent4 2 8 2" xfId="6586"/>
    <cellStyle name="20% - Accent4 2 9" xfId="4520"/>
    <cellStyle name="20% - Accent4 3" xfId="30"/>
    <cellStyle name="20% - Accent4 3 2" xfId="31"/>
    <cellStyle name="20% - Accent4 3 2 2" xfId="601"/>
    <cellStyle name="20% - Accent4 3 2 2 2" xfId="2872"/>
    <cellStyle name="20% - Accent4 3 2 2 2 2" xfId="7084"/>
    <cellStyle name="20% - Accent4 3 2 2 3" xfId="4939"/>
    <cellStyle name="20% - Accent4 3 2 3" xfId="1054"/>
    <cellStyle name="20% - Accent4 3 2 3 2" xfId="3285"/>
    <cellStyle name="20% - Accent4 3 2 3 2 2" xfId="7497"/>
    <cellStyle name="20% - Accent4 3 2 3 3" xfId="5352"/>
    <cellStyle name="20% - Accent4 3 2 4" xfId="1468"/>
    <cellStyle name="20% - Accent4 3 2 4 2" xfId="3698"/>
    <cellStyle name="20% - Accent4 3 2 4 2 2" xfId="7910"/>
    <cellStyle name="20% - Accent4 3 2 4 3" xfId="5765"/>
    <cellStyle name="20% - Accent4 3 2 5" xfId="1882"/>
    <cellStyle name="20% - Accent4 3 2 5 2" xfId="4111"/>
    <cellStyle name="20% - Accent4 3 2 5 2 2" xfId="8323"/>
    <cellStyle name="20% - Accent4 3 2 5 3" xfId="6178"/>
    <cellStyle name="20% - Accent4 3 2 6" xfId="2295"/>
    <cellStyle name="20% - Accent4 3 2 6 2" xfId="6591"/>
    <cellStyle name="20% - Accent4 3 2 7" xfId="4525"/>
    <cellStyle name="20% - Accent4 3 3" xfId="600"/>
    <cellStyle name="20% - Accent4 3 3 2" xfId="2871"/>
    <cellStyle name="20% - Accent4 3 3 2 2" xfId="7083"/>
    <cellStyle name="20% - Accent4 3 3 3" xfId="4938"/>
    <cellStyle name="20% - Accent4 3 4" xfId="1053"/>
    <cellStyle name="20% - Accent4 3 4 2" xfId="3284"/>
    <cellStyle name="20% - Accent4 3 4 2 2" xfId="7496"/>
    <cellStyle name="20% - Accent4 3 4 3" xfId="5351"/>
    <cellStyle name="20% - Accent4 3 5" xfId="1467"/>
    <cellStyle name="20% - Accent4 3 5 2" xfId="3697"/>
    <cellStyle name="20% - Accent4 3 5 2 2" xfId="7909"/>
    <cellStyle name="20% - Accent4 3 5 3" xfId="5764"/>
    <cellStyle name="20% - Accent4 3 6" xfId="1881"/>
    <cellStyle name="20% - Accent4 3 6 2" xfId="4110"/>
    <cellStyle name="20% - Accent4 3 6 2 2" xfId="8322"/>
    <cellStyle name="20% - Accent4 3 6 3" xfId="6177"/>
    <cellStyle name="20% - Accent4 3 7" xfId="2294"/>
    <cellStyle name="20% - Accent4 3 7 2" xfId="6590"/>
    <cellStyle name="20% - Accent4 3 8" xfId="4524"/>
    <cellStyle name="20% - Accent4 4" xfId="32"/>
    <cellStyle name="20% - Accent4 4 2" xfId="602"/>
    <cellStyle name="20% - Accent4 4 2 2" xfId="2873"/>
    <cellStyle name="20% - Accent4 4 2 2 2" xfId="7085"/>
    <cellStyle name="20% - Accent4 4 2 3" xfId="4940"/>
    <cellStyle name="20% - Accent4 4 3" xfId="1055"/>
    <cellStyle name="20% - Accent4 4 3 2" xfId="3286"/>
    <cellStyle name="20% - Accent4 4 3 2 2" xfId="7498"/>
    <cellStyle name="20% - Accent4 4 3 3" xfId="5353"/>
    <cellStyle name="20% - Accent4 4 4" xfId="1469"/>
    <cellStyle name="20% - Accent4 4 4 2" xfId="3699"/>
    <cellStyle name="20% - Accent4 4 4 2 2" xfId="7911"/>
    <cellStyle name="20% - Accent4 4 4 3" xfId="5766"/>
    <cellStyle name="20% - Accent4 4 5" xfId="1883"/>
    <cellStyle name="20% - Accent4 4 5 2" xfId="4112"/>
    <cellStyle name="20% - Accent4 4 5 2 2" xfId="8324"/>
    <cellStyle name="20% - Accent4 4 5 3" xfId="6179"/>
    <cellStyle name="20% - Accent4 4 6" xfId="2296"/>
    <cellStyle name="20% - Accent4 4 6 2" xfId="6592"/>
    <cellStyle name="20% - Accent4 4 7" xfId="4526"/>
    <cellStyle name="20% - Accent4 5" xfId="595"/>
    <cellStyle name="20% - Accent4 5 2" xfId="2866"/>
    <cellStyle name="20% - Accent4 5 2 2" xfId="7078"/>
    <cellStyle name="20% - Accent4 5 3" xfId="4933"/>
    <cellStyle name="20% - Accent4 6" xfId="1048"/>
    <cellStyle name="20% - Accent4 6 2" xfId="3279"/>
    <cellStyle name="20% - Accent4 6 2 2" xfId="7491"/>
    <cellStyle name="20% - Accent4 6 3" xfId="5346"/>
    <cellStyle name="20% - Accent4 7" xfId="1462"/>
    <cellStyle name="20% - Accent4 7 2" xfId="3692"/>
    <cellStyle name="20% - Accent4 7 2 2" xfId="7904"/>
    <cellStyle name="20% - Accent4 7 3" xfId="5759"/>
    <cellStyle name="20% - Accent4 8" xfId="1876"/>
    <cellStyle name="20% - Accent4 8 2" xfId="4105"/>
    <cellStyle name="20% - Accent4 8 2 2" xfId="8317"/>
    <cellStyle name="20% - Accent4 8 3" xfId="6172"/>
    <cellStyle name="20% - Accent4 9" xfId="2289"/>
    <cellStyle name="20% - Accent4 9 2" xfId="6585"/>
    <cellStyle name="20% - Accent5" xfId="33" builtinId="46" customBuiltin="1"/>
    <cellStyle name="20% - Accent5 10" xfId="4527"/>
    <cellStyle name="20% - Accent5 2" xfId="34"/>
    <cellStyle name="20% - Accent5 2 2" xfId="35"/>
    <cellStyle name="20% - Accent5 2 2 2" xfId="36"/>
    <cellStyle name="20% - Accent5 2 2 2 2" xfId="606"/>
    <cellStyle name="20% - Accent5 2 2 2 2 2" xfId="2877"/>
    <cellStyle name="20% - Accent5 2 2 2 2 2 2" xfId="7089"/>
    <cellStyle name="20% - Accent5 2 2 2 2 3" xfId="4944"/>
    <cellStyle name="20% - Accent5 2 2 2 3" xfId="1059"/>
    <cellStyle name="20% - Accent5 2 2 2 3 2" xfId="3290"/>
    <cellStyle name="20% - Accent5 2 2 2 3 2 2" xfId="7502"/>
    <cellStyle name="20% - Accent5 2 2 2 3 3" xfId="5357"/>
    <cellStyle name="20% - Accent5 2 2 2 4" xfId="1473"/>
    <cellStyle name="20% - Accent5 2 2 2 4 2" xfId="3703"/>
    <cellStyle name="20% - Accent5 2 2 2 4 2 2" xfId="7915"/>
    <cellStyle name="20% - Accent5 2 2 2 4 3" xfId="5770"/>
    <cellStyle name="20% - Accent5 2 2 2 5" xfId="1887"/>
    <cellStyle name="20% - Accent5 2 2 2 5 2" xfId="4116"/>
    <cellStyle name="20% - Accent5 2 2 2 5 2 2" xfId="8328"/>
    <cellStyle name="20% - Accent5 2 2 2 5 3" xfId="6183"/>
    <cellStyle name="20% - Accent5 2 2 2 6" xfId="2300"/>
    <cellStyle name="20% - Accent5 2 2 2 6 2" xfId="6596"/>
    <cellStyle name="20% - Accent5 2 2 2 7" xfId="4530"/>
    <cellStyle name="20% - Accent5 2 2 3" xfId="605"/>
    <cellStyle name="20% - Accent5 2 2 3 2" xfId="2876"/>
    <cellStyle name="20% - Accent5 2 2 3 2 2" xfId="7088"/>
    <cellStyle name="20% - Accent5 2 2 3 3" xfId="4943"/>
    <cellStyle name="20% - Accent5 2 2 4" xfId="1058"/>
    <cellStyle name="20% - Accent5 2 2 4 2" xfId="3289"/>
    <cellStyle name="20% - Accent5 2 2 4 2 2" xfId="7501"/>
    <cellStyle name="20% - Accent5 2 2 4 3" xfId="5356"/>
    <cellStyle name="20% - Accent5 2 2 5" xfId="1472"/>
    <cellStyle name="20% - Accent5 2 2 5 2" xfId="3702"/>
    <cellStyle name="20% - Accent5 2 2 5 2 2" xfId="7914"/>
    <cellStyle name="20% - Accent5 2 2 5 3" xfId="5769"/>
    <cellStyle name="20% - Accent5 2 2 6" xfId="1886"/>
    <cellStyle name="20% - Accent5 2 2 6 2" xfId="4115"/>
    <cellStyle name="20% - Accent5 2 2 6 2 2" xfId="8327"/>
    <cellStyle name="20% - Accent5 2 2 6 3" xfId="6182"/>
    <cellStyle name="20% - Accent5 2 2 7" xfId="2299"/>
    <cellStyle name="20% - Accent5 2 2 7 2" xfId="6595"/>
    <cellStyle name="20% - Accent5 2 2 8" xfId="4529"/>
    <cellStyle name="20% - Accent5 2 3" xfId="37"/>
    <cellStyle name="20% - Accent5 2 3 2" xfId="607"/>
    <cellStyle name="20% - Accent5 2 3 2 2" xfId="2878"/>
    <cellStyle name="20% - Accent5 2 3 2 2 2" xfId="7090"/>
    <cellStyle name="20% - Accent5 2 3 2 3" xfId="4945"/>
    <cellStyle name="20% - Accent5 2 3 3" xfId="1060"/>
    <cellStyle name="20% - Accent5 2 3 3 2" xfId="3291"/>
    <cellStyle name="20% - Accent5 2 3 3 2 2" xfId="7503"/>
    <cellStyle name="20% - Accent5 2 3 3 3" xfId="5358"/>
    <cellStyle name="20% - Accent5 2 3 4" xfId="1474"/>
    <cellStyle name="20% - Accent5 2 3 4 2" xfId="3704"/>
    <cellStyle name="20% - Accent5 2 3 4 2 2" xfId="7916"/>
    <cellStyle name="20% - Accent5 2 3 4 3" xfId="5771"/>
    <cellStyle name="20% - Accent5 2 3 5" xfId="1888"/>
    <cellStyle name="20% - Accent5 2 3 5 2" xfId="4117"/>
    <cellStyle name="20% - Accent5 2 3 5 2 2" xfId="8329"/>
    <cellStyle name="20% - Accent5 2 3 5 3" xfId="6184"/>
    <cellStyle name="20% - Accent5 2 3 6" xfId="2301"/>
    <cellStyle name="20% - Accent5 2 3 6 2" xfId="6597"/>
    <cellStyle name="20% - Accent5 2 3 7" xfId="4531"/>
    <cellStyle name="20% - Accent5 2 4" xfId="604"/>
    <cellStyle name="20% - Accent5 2 4 2" xfId="2875"/>
    <cellStyle name="20% - Accent5 2 4 2 2" xfId="7087"/>
    <cellStyle name="20% - Accent5 2 4 3" xfId="4942"/>
    <cellStyle name="20% - Accent5 2 5" xfId="1057"/>
    <cellStyle name="20% - Accent5 2 5 2" xfId="3288"/>
    <cellStyle name="20% - Accent5 2 5 2 2" xfId="7500"/>
    <cellStyle name="20% - Accent5 2 5 3" xfId="5355"/>
    <cellStyle name="20% - Accent5 2 6" xfId="1471"/>
    <cellStyle name="20% - Accent5 2 6 2" xfId="3701"/>
    <cellStyle name="20% - Accent5 2 6 2 2" xfId="7913"/>
    <cellStyle name="20% - Accent5 2 6 3" xfId="5768"/>
    <cellStyle name="20% - Accent5 2 7" xfId="1885"/>
    <cellStyle name="20% - Accent5 2 7 2" xfId="4114"/>
    <cellStyle name="20% - Accent5 2 7 2 2" xfId="8326"/>
    <cellStyle name="20% - Accent5 2 7 3" xfId="6181"/>
    <cellStyle name="20% - Accent5 2 8" xfId="2298"/>
    <cellStyle name="20% - Accent5 2 8 2" xfId="6594"/>
    <cellStyle name="20% - Accent5 2 9" xfId="4528"/>
    <cellStyle name="20% - Accent5 3" xfId="38"/>
    <cellStyle name="20% - Accent5 3 2" xfId="39"/>
    <cellStyle name="20% - Accent5 3 2 2" xfId="609"/>
    <cellStyle name="20% - Accent5 3 2 2 2" xfId="2880"/>
    <cellStyle name="20% - Accent5 3 2 2 2 2" xfId="7092"/>
    <cellStyle name="20% - Accent5 3 2 2 3" xfId="4947"/>
    <cellStyle name="20% - Accent5 3 2 3" xfId="1062"/>
    <cellStyle name="20% - Accent5 3 2 3 2" xfId="3293"/>
    <cellStyle name="20% - Accent5 3 2 3 2 2" xfId="7505"/>
    <cellStyle name="20% - Accent5 3 2 3 3" xfId="5360"/>
    <cellStyle name="20% - Accent5 3 2 4" xfId="1476"/>
    <cellStyle name="20% - Accent5 3 2 4 2" xfId="3706"/>
    <cellStyle name="20% - Accent5 3 2 4 2 2" xfId="7918"/>
    <cellStyle name="20% - Accent5 3 2 4 3" xfId="5773"/>
    <cellStyle name="20% - Accent5 3 2 5" xfId="1890"/>
    <cellStyle name="20% - Accent5 3 2 5 2" xfId="4119"/>
    <cellStyle name="20% - Accent5 3 2 5 2 2" xfId="8331"/>
    <cellStyle name="20% - Accent5 3 2 5 3" xfId="6186"/>
    <cellStyle name="20% - Accent5 3 2 6" xfId="2303"/>
    <cellStyle name="20% - Accent5 3 2 6 2" xfId="6599"/>
    <cellStyle name="20% - Accent5 3 2 7" xfId="4533"/>
    <cellStyle name="20% - Accent5 3 3" xfId="608"/>
    <cellStyle name="20% - Accent5 3 3 2" xfId="2879"/>
    <cellStyle name="20% - Accent5 3 3 2 2" xfId="7091"/>
    <cellStyle name="20% - Accent5 3 3 3" xfId="4946"/>
    <cellStyle name="20% - Accent5 3 4" xfId="1061"/>
    <cellStyle name="20% - Accent5 3 4 2" xfId="3292"/>
    <cellStyle name="20% - Accent5 3 4 2 2" xfId="7504"/>
    <cellStyle name="20% - Accent5 3 4 3" xfId="5359"/>
    <cellStyle name="20% - Accent5 3 5" xfId="1475"/>
    <cellStyle name="20% - Accent5 3 5 2" xfId="3705"/>
    <cellStyle name="20% - Accent5 3 5 2 2" xfId="7917"/>
    <cellStyle name="20% - Accent5 3 5 3" xfId="5772"/>
    <cellStyle name="20% - Accent5 3 6" xfId="1889"/>
    <cellStyle name="20% - Accent5 3 6 2" xfId="4118"/>
    <cellStyle name="20% - Accent5 3 6 2 2" xfId="8330"/>
    <cellStyle name="20% - Accent5 3 6 3" xfId="6185"/>
    <cellStyle name="20% - Accent5 3 7" xfId="2302"/>
    <cellStyle name="20% - Accent5 3 7 2" xfId="6598"/>
    <cellStyle name="20% - Accent5 3 8" xfId="4532"/>
    <cellStyle name="20% - Accent5 4" xfId="40"/>
    <cellStyle name="20% - Accent5 4 2" xfId="610"/>
    <cellStyle name="20% - Accent5 4 2 2" xfId="2881"/>
    <cellStyle name="20% - Accent5 4 2 2 2" xfId="7093"/>
    <cellStyle name="20% - Accent5 4 2 3" xfId="4948"/>
    <cellStyle name="20% - Accent5 4 3" xfId="1063"/>
    <cellStyle name="20% - Accent5 4 3 2" xfId="3294"/>
    <cellStyle name="20% - Accent5 4 3 2 2" xfId="7506"/>
    <cellStyle name="20% - Accent5 4 3 3" xfId="5361"/>
    <cellStyle name="20% - Accent5 4 4" xfId="1477"/>
    <cellStyle name="20% - Accent5 4 4 2" xfId="3707"/>
    <cellStyle name="20% - Accent5 4 4 2 2" xfId="7919"/>
    <cellStyle name="20% - Accent5 4 4 3" xfId="5774"/>
    <cellStyle name="20% - Accent5 4 5" xfId="1891"/>
    <cellStyle name="20% - Accent5 4 5 2" xfId="4120"/>
    <cellStyle name="20% - Accent5 4 5 2 2" xfId="8332"/>
    <cellStyle name="20% - Accent5 4 5 3" xfId="6187"/>
    <cellStyle name="20% - Accent5 4 6" xfId="2304"/>
    <cellStyle name="20% - Accent5 4 6 2" xfId="6600"/>
    <cellStyle name="20% - Accent5 4 7" xfId="4534"/>
    <cellStyle name="20% - Accent5 5" xfId="603"/>
    <cellStyle name="20% - Accent5 5 2" xfId="2874"/>
    <cellStyle name="20% - Accent5 5 2 2" xfId="7086"/>
    <cellStyle name="20% - Accent5 5 3" xfId="4941"/>
    <cellStyle name="20% - Accent5 6" xfId="1056"/>
    <cellStyle name="20% - Accent5 6 2" xfId="3287"/>
    <cellStyle name="20% - Accent5 6 2 2" xfId="7499"/>
    <cellStyle name="20% - Accent5 6 3" xfId="5354"/>
    <cellStyle name="20% - Accent5 7" xfId="1470"/>
    <cellStyle name="20% - Accent5 7 2" xfId="3700"/>
    <cellStyle name="20% - Accent5 7 2 2" xfId="7912"/>
    <cellStyle name="20% - Accent5 7 3" xfId="5767"/>
    <cellStyle name="20% - Accent5 8" xfId="1884"/>
    <cellStyle name="20% - Accent5 8 2" xfId="4113"/>
    <cellStyle name="20% - Accent5 8 2 2" xfId="8325"/>
    <cellStyle name="20% - Accent5 8 3" xfId="6180"/>
    <cellStyle name="20% - Accent5 9" xfId="2297"/>
    <cellStyle name="20% - Accent5 9 2" xfId="6593"/>
    <cellStyle name="20% - Accent6" xfId="41" builtinId="50" customBuiltin="1"/>
    <cellStyle name="20% - Accent6 10" xfId="4535"/>
    <cellStyle name="20% - Accent6 2" xfId="42"/>
    <cellStyle name="20% - Accent6 2 2" xfId="43"/>
    <cellStyle name="20% - Accent6 2 2 2" xfId="44"/>
    <cellStyle name="20% - Accent6 2 2 2 2" xfId="614"/>
    <cellStyle name="20% - Accent6 2 2 2 2 2" xfId="2885"/>
    <cellStyle name="20% - Accent6 2 2 2 2 2 2" xfId="7097"/>
    <cellStyle name="20% - Accent6 2 2 2 2 3" xfId="4952"/>
    <cellStyle name="20% - Accent6 2 2 2 3" xfId="1067"/>
    <cellStyle name="20% - Accent6 2 2 2 3 2" xfId="3298"/>
    <cellStyle name="20% - Accent6 2 2 2 3 2 2" xfId="7510"/>
    <cellStyle name="20% - Accent6 2 2 2 3 3" xfId="5365"/>
    <cellStyle name="20% - Accent6 2 2 2 4" xfId="1481"/>
    <cellStyle name="20% - Accent6 2 2 2 4 2" xfId="3711"/>
    <cellStyle name="20% - Accent6 2 2 2 4 2 2" xfId="7923"/>
    <cellStyle name="20% - Accent6 2 2 2 4 3" xfId="5778"/>
    <cellStyle name="20% - Accent6 2 2 2 5" xfId="1895"/>
    <cellStyle name="20% - Accent6 2 2 2 5 2" xfId="4124"/>
    <cellStyle name="20% - Accent6 2 2 2 5 2 2" xfId="8336"/>
    <cellStyle name="20% - Accent6 2 2 2 5 3" xfId="6191"/>
    <cellStyle name="20% - Accent6 2 2 2 6" xfId="2308"/>
    <cellStyle name="20% - Accent6 2 2 2 6 2" xfId="6604"/>
    <cellStyle name="20% - Accent6 2 2 2 7" xfId="4538"/>
    <cellStyle name="20% - Accent6 2 2 3" xfId="613"/>
    <cellStyle name="20% - Accent6 2 2 3 2" xfId="2884"/>
    <cellStyle name="20% - Accent6 2 2 3 2 2" xfId="7096"/>
    <cellStyle name="20% - Accent6 2 2 3 3" xfId="4951"/>
    <cellStyle name="20% - Accent6 2 2 4" xfId="1066"/>
    <cellStyle name="20% - Accent6 2 2 4 2" xfId="3297"/>
    <cellStyle name="20% - Accent6 2 2 4 2 2" xfId="7509"/>
    <cellStyle name="20% - Accent6 2 2 4 3" xfId="5364"/>
    <cellStyle name="20% - Accent6 2 2 5" xfId="1480"/>
    <cellStyle name="20% - Accent6 2 2 5 2" xfId="3710"/>
    <cellStyle name="20% - Accent6 2 2 5 2 2" xfId="7922"/>
    <cellStyle name="20% - Accent6 2 2 5 3" xfId="5777"/>
    <cellStyle name="20% - Accent6 2 2 6" xfId="1894"/>
    <cellStyle name="20% - Accent6 2 2 6 2" xfId="4123"/>
    <cellStyle name="20% - Accent6 2 2 6 2 2" xfId="8335"/>
    <cellStyle name="20% - Accent6 2 2 6 3" xfId="6190"/>
    <cellStyle name="20% - Accent6 2 2 7" xfId="2307"/>
    <cellStyle name="20% - Accent6 2 2 7 2" xfId="6603"/>
    <cellStyle name="20% - Accent6 2 2 8" xfId="4537"/>
    <cellStyle name="20% - Accent6 2 3" xfId="45"/>
    <cellStyle name="20% - Accent6 2 3 2" xfId="615"/>
    <cellStyle name="20% - Accent6 2 3 2 2" xfId="2886"/>
    <cellStyle name="20% - Accent6 2 3 2 2 2" xfId="7098"/>
    <cellStyle name="20% - Accent6 2 3 2 3" xfId="4953"/>
    <cellStyle name="20% - Accent6 2 3 3" xfId="1068"/>
    <cellStyle name="20% - Accent6 2 3 3 2" xfId="3299"/>
    <cellStyle name="20% - Accent6 2 3 3 2 2" xfId="7511"/>
    <cellStyle name="20% - Accent6 2 3 3 3" xfId="5366"/>
    <cellStyle name="20% - Accent6 2 3 4" xfId="1482"/>
    <cellStyle name="20% - Accent6 2 3 4 2" xfId="3712"/>
    <cellStyle name="20% - Accent6 2 3 4 2 2" xfId="7924"/>
    <cellStyle name="20% - Accent6 2 3 4 3" xfId="5779"/>
    <cellStyle name="20% - Accent6 2 3 5" xfId="1896"/>
    <cellStyle name="20% - Accent6 2 3 5 2" xfId="4125"/>
    <cellStyle name="20% - Accent6 2 3 5 2 2" xfId="8337"/>
    <cellStyle name="20% - Accent6 2 3 5 3" xfId="6192"/>
    <cellStyle name="20% - Accent6 2 3 6" xfId="2309"/>
    <cellStyle name="20% - Accent6 2 3 6 2" xfId="6605"/>
    <cellStyle name="20% - Accent6 2 3 7" xfId="4539"/>
    <cellStyle name="20% - Accent6 2 4" xfId="612"/>
    <cellStyle name="20% - Accent6 2 4 2" xfId="2883"/>
    <cellStyle name="20% - Accent6 2 4 2 2" xfId="7095"/>
    <cellStyle name="20% - Accent6 2 4 3" xfId="4950"/>
    <cellStyle name="20% - Accent6 2 5" xfId="1065"/>
    <cellStyle name="20% - Accent6 2 5 2" xfId="3296"/>
    <cellStyle name="20% - Accent6 2 5 2 2" xfId="7508"/>
    <cellStyle name="20% - Accent6 2 5 3" xfId="5363"/>
    <cellStyle name="20% - Accent6 2 6" xfId="1479"/>
    <cellStyle name="20% - Accent6 2 6 2" xfId="3709"/>
    <cellStyle name="20% - Accent6 2 6 2 2" xfId="7921"/>
    <cellStyle name="20% - Accent6 2 6 3" xfId="5776"/>
    <cellStyle name="20% - Accent6 2 7" xfId="1893"/>
    <cellStyle name="20% - Accent6 2 7 2" xfId="4122"/>
    <cellStyle name="20% - Accent6 2 7 2 2" xfId="8334"/>
    <cellStyle name="20% - Accent6 2 7 3" xfId="6189"/>
    <cellStyle name="20% - Accent6 2 8" xfId="2306"/>
    <cellStyle name="20% - Accent6 2 8 2" xfId="6602"/>
    <cellStyle name="20% - Accent6 2 9" xfId="4536"/>
    <cellStyle name="20% - Accent6 3" xfId="46"/>
    <cellStyle name="20% - Accent6 3 2" xfId="47"/>
    <cellStyle name="20% - Accent6 3 2 2" xfId="617"/>
    <cellStyle name="20% - Accent6 3 2 2 2" xfId="2888"/>
    <cellStyle name="20% - Accent6 3 2 2 2 2" xfId="7100"/>
    <cellStyle name="20% - Accent6 3 2 2 3" xfId="4955"/>
    <cellStyle name="20% - Accent6 3 2 3" xfId="1070"/>
    <cellStyle name="20% - Accent6 3 2 3 2" xfId="3301"/>
    <cellStyle name="20% - Accent6 3 2 3 2 2" xfId="7513"/>
    <cellStyle name="20% - Accent6 3 2 3 3" xfId="5368"/>
    <cellStyle name="20% - Accent6 3 2 4" xfId="1484"/>
    <cellStyle name="20% - Accent6 3 2 4 2" xfId="3714"/>
    <cellStyle name="20% - Accent6 3 2 4 2 2" xfId="7926"/>
    <cellStyle name="20% - Accent6 3 2 4 3" xfId="5781"/>
    <cellStyle name="20% - Accent6 3 2 5" xfId="1898"/>
    <cellStyle name="20% - Accent6 3 2 5 2" xfId="4127"/>
    <cellStyle name="20% - Accent6 3 2 5 2 2" xfId="8339"/>
    <cellStyle name="20% - Accent6 3 2 5 3" xfId="6194"/>
    <cellStyle name="20% - Accent6 3 2 6" xfId="2311"/>
    <cellStyle name="20% - Accent6 3 2 6 2" xfId="6607"/>
    <cellStyle name="20% - Accent6 3 2 7" xfId="4541"/>
    <cellStyle name="20% - Accent6 3 3" xfId="616"/>
    <cellStyle name="20% - Accent6 3 3 2" xfId="2887"/>
    <cellStyle name="20% - Accent6 3 3 2 2" xfId="7099"/>
    <cellStyle name="20% - Accent6 3 3 3" xfId="4954"/>
    <cellStyle name="20% - Accent6 3 4" xfId="1069"/>
    <cellStyle name="20% - Accent6 3 4 2" xfId="3300"/>
    <cellStyle name="20% - Accent6 3 4 2 2" xfId="7512"/>
    <cellStyle name="20% - Accent6 3 4 3" xfId="5367"/>
    <cellStyle name="20% - Accent6 3 5" xfId="1483"/>
    <cellStyle name="20% - Accent6 3 5 2" xfId="3713"/>
    <cellStyle name="20% - Accent6 3 5 2 2" xfId="7925"/>
    <cellStyle name="20% - Accent6 3 5 3" xfId="5780"/>
    <cellStyle name="20% - Accent6 3 6" xfId="1897"/>
    <cellStyle name="20% - Accent6 3 6 2" xfId="4126"/>
    <cellStyle name="20% - Accent6 3 6 2 2" xfId="8338"/>
    <cellStyle name="20% - Accent6 3 6 3" xfId="6193"/>
    <cellStyle name="20% - Accent6 3 7" xfId="2310"/>
    <cellStyle name="20% - Accent6 3 7 2" xfId="6606"/>
    <cellStyle name="20% - Accent6 3 8" xfId="4540"/>
    <cellStyle name="20% - Accent6 4" xfId="48"/>
    <cellStyle name="20% - Accent6 4 2" xfId="618"/>
    <cellStyle name="20% - Accent6 4 2 2" xfId="2889"/>
    <cellStyle name="20% - Accent6 4 2 2 2" xfId="7101"/>
    <cellStyle name="20% - Accent6 4 2 3" xfId="4956"/>
    <cellStyle name="20% - Accent6 4 3" xfId="1071"/>
    <cellStyle name="20% - Accent6 4 3 2" xfId="3302"/>
    <cellStyle name="20% - Accent6 4 3 2 2" xfId="7514"/>
    <cellStyle name="20% - Accent6 4 3 3" xfId="5369"/>
    <cellStyle name="20% - Accent6 4 4" xfId="1485"/>
    <cellStyle name="20% - Accent6 4 4 2" xfId="3715"/>
    <cellStyle name="20% - Accent6 4 4 2 2" xfId="7927"/>
    <cellStyle name="20% - Accent6 4 4 3" xfId="5782"/>
    <cellStyle name="20% - Accent6 4 5" xfId="1899"/>
    <cellStyle name="20% - Accent6 4 5 2" xfId="4128"/>
    <cellStyle name="20% - Accent6 4 5 2 2" xfId="8340"/>
    <cellStyle name="20% - Accent6 4 5 3" xfId="6195"/>
    <cellStyle name="20% - Accent6 4 6" xfId="2312"/>
    <cellStyle name="20% - Accent6 4 6 2" xfId="6608"/>
    <cellStyle name="20% - Accent6 4 7" xfId="4542"/>
    <cellStyle name="20% - Accent6 5" xfId="611"/>
    <cellStyle name="20% - Accent6 5 2" xfId="2882"/>
    <cellStyle name="20% - Accent6 5 2 2" xfId="7094"/>
    <cellStyle name="20% - Accent6 5 3" xfId="4949"/>
    <cellStyle name="20% - Accent6 6" xfId="1064"/>
    <cellStyle name="20% - Accent6 6 2" xfId="3295"/>
    <cellStyle name="20% - Accent6 6 2 2" xfId="7507"/>
    <cellStyle name="20% - Accent6 6 3" xfId="5362"/>
    <cellStyle name="20% - Accent6 7" xfId="1478"/>
    <cellStyle name="20% - Accent6 7 2" xfId="3708"/>
    <cellStyle name="20% - Accent6 7 2 2" xfId="7920"/>
    <cellStyle name="20% - Accent6 7 3" xfId="5775"/>
    <cellStyle name="20% - Accent6 8" xfId="1892"/>
    <cellStyle name="20% - Accent6 8 2" xfId="4121"/>
    <cellStyle name="20% - Accent6 8 2 2" xfId="8333"/>
    <cellStyle name="20% - Accent6 8 3" xfId="6188"/>
    <cellStyle name="20% - Accent6 9" xfId="2305"/>
    <cellStyle name="20% - Accent6 9 2" xfId="6601"/>
    <cellStyle name="40% - Accent1" xfId="49" builtinId="31" customBuiltin="1"/>
    <cellStyle name="40% - Accent1 10" xfId="4543"/>
    <cellStyle name="40% - Accent1 2" xfId="50"/>
    <cellStyle name="40% - Accent1 2 2" xfId="51"/>
    <cellStyle name="40% - Accent1 2 2 2" xfId="52"/>
    <cellStyle name="40% - Accent1 2 2 2 2" xfId="622"/>
    <cellStyle name="40% - Accent1 2 2 2 2 2" xfId="2893"/>
    <cellStyle name="40% - Accent1 2 2 2 2 2 2" xfId="7105"/>
    <cellStyle name="40% - Accent1 2 2 2 2 3" xfId="4960"/>
    <cellStyle name="40% - Accent1 2 2 2 3" xfId="1075"/>
    <cellStyle name="40% - Accent1 2 2 2 3 2" xfId="3306"/>
    <cellStyle name="40% - Accent1 2 2 2 3 2 2" xfId="7518"/>
    <cellStyle name="40% - Accent1 2 2 2 3 3" xfId="5373"/>
    <cellStyle name="40% - Accent1 2 2 2 4" xfId="1489"/>
    <cellStyle name="40% - Accent1 2 2 2 4 2" xfId="3719"/>
    <cellStyle name="40% - Accent1 2 2 2 4 2 2" xfId="7931"/>
    <cellStyle name="40% - Accent1 2 2 2 4 3" xfId="5786"/>
    <cellStyle name="40% - Accent1 2 2 2 5" xfId="1903"/>
    <cellStyle name="40% - Accent1 2 2 2 5 2" xfId="4132"/>
    <cellStyle name="40% - Accent1 2 2 2 5 2 2" xfId="8344"/>
    <cellStyle name="40% - Accent1 2 2 2 5 3" xfId="6199"/>
    <cellStyle name="40% - Accent1 2 2 2 6" xfId="2316"/>
    <cellStyle name="40% - Accent1 2 2 2 6 2" xfId="6612"/>
    <cellStyle name="40% - Accent1 2 2 2 7" xfId="4546"/>
    <cellStyle name="40% - Accent1 2 2 3" xfId="621"/>
    <cellStyle name="40% - Accent1 2 2 3 2" xfId="2892"/>
    <cellStyle name="40% - Accent1 2 2 3 2 2" xfId="7104"/>
    <cellStyle name="40% - Accent1 2 2 3 3" xfId="4959"/>
    <cellStyle name="40% - Accent1 2 2 4" xfId="1074"/>
    <cellStyle name="40% - Accent1 2 2 4 2" xfId="3305"/>
    <cellStyle name="40% - Accent1 2 2 4 2 2" xfId="7517"/>
    <cellStyle name="40% - Accent1 2 2 4 3" xfId="5372"/>
    <cellStyle name="40% - Accent1 2 2 5" xfId="1488"/>
    <cellStyle name="40% - Accent1 2 2 5 2" xfId="3718"/>
    <cellStyle name="40% - Accent1 2 2 5 2 2" xfId="7930"/>
    <cellStyle name="40% - Accent1 2 2 5 3" xfId="5785"/>
    <cellStyle name="40% - Accent1 2 2 6" xfId="1902"/>
    <cellStyle name="40% - Accent1 2 2 6 2" xfId="4131"/>
    <cellStyle name="40% - Accent1 2 2 6 2 2" xfId="8343"/>
    <cellStyle name="40% - Accent1 2 2 6 3" xfId="6198"/>
    <cellStyle name="40% - Accent1 2 2 7" xfId="2315"/>
    <cellStyle name="40% - Accent1 2 2 7 2" xfId="6611"/>
    <cellStyle name="40% - Accent1 2 2 8" xfId="4545"/>
    <cellStyle name="40% - Accent1 2 3" xfId="53"/>
    <cellStyle name="40% - Accent1 2 3 2" xfId="623"/>
    <cellStyle name="40% - Accent1 2 3 2 2" xfId="2894"/>
    <cellStyle name="40% - Accent1 2 3 2 2 2" xfId="7106"/>
    <cellStyle name="40% - Accent1 2 3 2 3" xfId="4961"/>
    <cellStyle name="40% - Accent1 2 3 3" xfId="1076"/>
    <cellStyle name="40% - Accent1 2 3 3 2" xfId="3307"/>
    <cellStyle name="40% - Accent1 2 3 3 2 2" xfId="7519"/>
    <cellStyle name="40% - Accent1 2 3 3 3" xfId="5374"/>
    <cellStyle name="40% - Accent1 2 3 4" xfId="1490"/>
    <cellStyle name="40% - Accent1 2 3 4 2" xfId="3720"/>
    <cellStyle name="40% - Accent1 2 3 4 2 2" xfId="7932"/>
    <cellStyle name="40% - Accent1 2 3 4 3" xfId="5787"/>
    <cellStyle name="40% - Accent1 2 3 5" xfId="1904"/>
    <cellStyle name="40% - Accent1 2 3 5 2" xfId="4133"/>
    <cellStyle name="40% - Accent1 2 3 5 2 2" xfId="8345"/>
    <cellStyle name="40% - Accent1 2 3 5 3" xfId="6200"/>
    <cellStyle name="40% - Accent1 2 3 6" xfId="2317"/>
    <cellStyle name="40% - Accent1 2 3 6 2" xfId="6613"/>
    <cellStyle name="40% - Accent1 2 3 7" xfId="4547"/>
    <cellStyle name="40% - Accent1 2 4" xfId="620"/>
    <cellStyle name="40% - Accent1 2 4 2" xfId="2891"/>
    <cellStyle name="40% - Accent1 2 4 2 2" xfId="7103"/>
    <cellStyle name="40% - Accent1 2 4 3" xfId="4958"/>
    <cellStyle name="40% - Accent1 2 5" xfId="1073"/>
    <cellStyle name="40% - Accent1 2 5 2" xfId="3304"/>
    <cellStyle name="40% - Accent1 2 5 2 2" xfId="7516"/>
    <cellStyle name="40% - Accent1 2 5 3" xfId="5371"/>
    <cellStyle name="40% - Accent1 2 6" xfId="1487"/>
    <cellStyle name="40% - Accent1 2 6 2" xfId="3717"/>
    <cellStyle name="40% - Accent1 2 6 2 2" xfId="7929"/>
    <cellStyle name="40% - Accent1 2 6 3" xfId="5784"/>
    <cellStyle name="40% - Accent1 2 7" xfId="1901"/>
    <cellStyle name="40% - Accent1 2 7 2" xfId="4130"/>
    <cellStyle name="40% - Accent1 2 7 2 2" xfId="8342"/>
    <cellStyle name="40% - Accent1 2 7 3" xfId="6197"/>
    <cellStyle name="40% - Accent1 2 8" xfId="2314"/>
    <cellStyle name="40% - Accent1 2 8 2" xfId="6610"/>
    <cellStyle name="40% - Accent1 2 9" xfId="4544"/>
    <cellStyle name="40% - Accent1 3" xfId="54"/>
    <cellStyle name="40% - Accent1 3 2" xfId="55"/>
    <cellStyle name="40% - Accent1 3 2 2" xfId="625"/>
    <cellStyle name="40% - Accent1 3 2 2 2" xfId="2896"/>
    <cellStyle name="40% - Accent1 3 2 2 2 2" xfId="7108"/>
    <cellStyle name="40% - Accent1 3 2 2 3" xfId="4963"/>
    <cellStyle name="40% - Accent1 3 2 3" xfId="1078"/>
    <cellStyle name="40% - Accent1 3 2 3 2" xfId="3309"/>
    <cellStyle name="40% - Accent1 3 2 3 2 2" xfId="7521"/>
    <cellStyle name="40% - Accent1 3 2 3 3" xfId="5376"/>
    <cellStyle name="40% - Accent1 3 2 4" xfId="1492"/>
    <cellStyle name="40% - Accent1 3 2 4 2" xfId="3722"/>
    <cellStyle name="40% - Accent1 3 2 4 2 2" xfId="7934"/>
    <cellStyle name="40% - Accent1 3 2 4 3" xfId="5789"/>
    <cellStyle name="40% - Accent1 3 2 5" xfId="1906"/>
    <cellStyle name="40% - Accent1 3 2 5 2" xfId="4135"/>
    <cellStyle name="40% - Accent1 3 2 5 2 2" xfId="8347"/>
    <cellStyle name="40% - Accent1 3 2 5 3" xfId="6202"/>
    <cellStyle name="40% - Accent1 3 2 6" xfId="2319"/>
    <cellStyle name="40% - Accent1 3 2 6 2" xfId="6615"/>
    <cellStyle name="40% - Accent1 3 2 7" xfId="4549"/>
    <cellStyle name="40% - Accent1 3 3" xfId="624"/>
    <cellStyle name="40% - Accent1 3 3 2" xfId="2895"/>
    <cellStyle name="40% - Accent1 3 3 2 2" xfId="7107"/>
    <cellStyle name="40% - Accent1 3 3 3" xfId="4962"/>
    <cellStyle name="40% - Accent1 3 4" xfId="1077"/>
    <cellStyle name="40% - Accent1 3 4 2" xfId="3308"/>
    <cellStyle name="40% - Accent1 3 4 2 2" xfId="7520"/>
    <cellStyle name="40% - Accent1 3 4 3" xfId="5375"/>
    <cellStyle name="40% - Accent1 3 5" xfId="1491"/>
    <cellStyle name="40% - Accent1 3 5 2" xfId="3721"/>
    <cellStyle name="40% - Accent1 3 5 2 2" xfId="7933"/>
    <cellStyle name="40% - Accent1 3 5 3" xfId="5788"/>
    <cellStyle name="40% - Accent1 3 6" xfId="1905"/>
    <cellStyle name="40% - Accent1 3 6 2" xfId="4134"/>
    <cellStyle name="40% - Accent1 3 6 2 2" xfId="8346"/>
    <cellStyle name="40% - Accent1 3 6 3" xfId="6201"/>
    <cellStyle name="40% - Accent1 3 7" xfId="2318"/>
    <cellStyle name="40% - Accent1 3 7 2" xfId="6614"/>
    <cellStyle name="40% - Accent1 3 8" xfId="4548"/>
    <cellStyle name="40% - Accent1 4" xfId="56"/>
    <cellStyle name="40% - Accent1 4 2" xfId="626"/>
    <cellStyle name="40% - Accent1 4 2 2" xfId="2897"/>
    <cellStyle name="40% - Accent1 4 2 2 2" xfId="7109"/>
    <cellStyle name="40% - Accent1 4 2 3" xfId="4964"/>
    <cellStyle name="40% - Accent1 4 3" xfId="1079"/>
    <cellStyle name="40% - Accent1 4 3 2" xfId="3310"/>
    <cellStyle name="40% - Accent1 4 3 2 2" xfId="7522"/>
    <cellStyle name="40% - Accent1 4 3 3" xfId="5377"/>
    <cellStyle name="40% - Accent1 4 4" xfId="1493"/>
    <cellStyle name="40% - Accent1 4 4 2" xfId="3723"/>
    <cellStyle name="40% - Accent1 4 4 2 2" xfId="7935"/>
    <cellStyle name="40% - Accent1 4 4 3" xfId="5790"/>
    <cellStyle name="40% - Accent1 4 5" xfId="1907"/>
    <cellStyle name="40% - Accent1 4 5 2" xfId="4136"/>
    <cellStyle name="40% - Accent1 4 5 2 2" xfId="8348"/>
    <cellStyle name="40% - Accent1 4 5 3" xfId="6203"/>
    <cellStyle name="40% - Accent1 4 6" xfId="2320"/>
    <cellStyle name="40% - Accent1 4 6 2" xfId="6616"/>
    <cellStyle name="40% - Accent1 4 7" xfId="4550"/>
    <cellStyle name="40% - Accent1 5" xfId="619"/>
    <cellStyle name="40% - Accent1 5 2" xfId="2890"/>
    <cellStyle name="40% - Accent1 5 2 2" xfId="7102"/>
    <cellStyle name="40% - Accent1 5 3" xfId="4957"/>
    <cellStyle name="40% - Accent1 6" xfId="1072"/>
    <cellStyle name="40% - Accent1 6 2" xfId="3303"/>
    <cellStyle name="40% - Accent1 6 2 2" xfId="7515"/>
    <cellStyle name="40% - Accent1 6 3" xfId="5370"/>
    <cellStyle name="40% - Accent1 7" xfId="1486"/>
    <cellStyle name="40% - Accent1 7 2" xfId="3716"/>
    <cellStyle name="40% - Accent1 7 2 2" xfId="7928"/>
    <cellStyle name="40% - Accent1 7 3" xfId="5783"/>
    <cellStyle name="40% - Accent1 8" xfId="1900"/>
    <cellStyle name="40% - Accent1 8 2" xfId="4129"/>
    <cellStyle name="40% - Accent1 8 2 2" xfId="8341"/>
    <cellStyle name="40% - Accent1 8 3" xfId="6196"/>
    <cellStyle name="40% - Accent1 9" xfId="2313"/>
    <cellStyle name="40% - Accent1 9 2" xfId="6609"/>
    <cellStyle name="40% - Accent2" xfId="57" builtinId="35" customBuiltin="1"/>
    <cellStyle name="40% - Accent2 10" xfId="4551"/>
    <cellStyle name="40% - Accent2 2" xfId="58"/>
    <cellStyle name="40% - Accent2 2 2" xfId="59"/>
    <cellStyle name="40% - Accent2 2 2 2" xfId="60"/>
    <cellStyle name="40% - Accent2 2 2 2 2" xfId="630"/>
    <cellStyle name="40% - Accent2 2 2 2 2 2" xfId="2901"/>
    <cellStyle name="40% - Accent2 2 2 2 2 2 2" xfId="7113"/>
    <cellStyle name="40% - Accent2 2 2 2 2 3" xfId="4968"/>
    <cellStyle name="40% - Accent2 2 2 2 3" xfId="1083"/>
    <cellStyle name="40% - Accent2 2 2 2 3 2" xfId="3314"/>
    <cellStyle name="40% - Accent2 2 2 2 3 2 2" xfId="7526"/>
    <cellStyle name="40% - Accent2 2 2 2 3 3" xfId="5381"/>
    <cellStyle name="40% - Accent2 2 2 2 4" xfId="1497"/>
    <cellStyle name="40% - Accent2 2 2 2 4 2" xfId="3727"/>
    <cellStyle name="40% - Accent2 2 2 2 4 2 2" xfId="7939"/>
    <cellStyle name="40% - Accent2 2 2 2 4 3" xfId="5794"/>
    <cellStyle name="40% - Accent2 2 2 2 5" xfId="1911"/>
    <cellStyle name="40% - Accent2 2 2 2 5 2" xfId="4140"/>
    <cellStyle name="40% - Accent2 2 2 2 5 2 2" xfId="8352"/>
    <cellStyle name="40% - Accent2 2 2 2 5 3" xfId="6207"/>
    <cellStyle name="40% - Accent2 2 2 2 6" xfId="2324"/>
    <cellStyle name="40% - Accent2 2 2 2 6 2" xfId="6620"/>
    <cellStyle name="40% - Accent2 2 2 2 7" xfId="4554"/>
    <cellStyle name="40% - Accent2 2 2 3" xfId="629"/>
    <cellStyle name="40% - Accent2 2 2 3 2" xfId="2900"/>
    <cellStyle name="40% - Accent2 2 2 3 2 2" xfId="7112"/>
    <cellStyle name="40% - Accent2 2 2 3 3" xfId="4967"/>
    <cellStyle name="40% - Accent2 2 2 4" xfId="1082"/>
    <cellStyle name="40% - Accent2 2 2 4 2" xfId="3313"/>
    <cellStyle name="40% - Accent2 2 2 4 2 2" xfId="7525"/>
    <cellStyle name="40% - Accent2 2 2 4 3" xfId="5380"/>
    <cellStyle name="40% - Accent2 2 2 5" xfId="1496"/>
    <cellStyle name="40% - Accent2 2 2 5 2" xfId="3726"/>
    <cellStyle name="40% - Accent2 2 2 5 2 2" xfId="7938"/>
    <cellStyle name="40% - Accent2 2 2 5 3" xfId="5793"/>
    <cellStyle name="40% - Accent2 2 2 6" xfId="1910"/>
    <cellStyle name="40% - Accent2 2 2 6 2" xfId="4139"/>
    <cellStyle name="40% - Accent2 2 2 6 2 2" xfId="8351"/>
    <cellStyle name="40% - Accent2 2 2 6 3" xfId="6206"/>
    <cellStyle name="40% - Accent2 2 2 7" xfId="2323"/>
    <cellStyle name="40% - Accent2 2 2 7 2" xfId="6619"/>
    <cellStyle name="40% - Accent2 2 2 8" xfId="4553"/>
    <cellStyle name="40% - Accent2 2 3" xfId="61"/>
    <cellStyle name="40% - Accent2 2 3 2" xfId="631"/>
    <cellStyle name="40% - Accent2 2 3 2 2" xfId="2902"/>
    <cellStyle name="40% - Accent2 2 3 2 2 2" xfId="7114"/>
    <cellStyle name="40% - Accent2 2 3 2 3" xfId="4969"/>
    <cellStyle name="40% - Accent2 2 3 3" xfId="1084"/>
    <cellStyle name="40% - Accent2 2 3 3 2" xfId="3315"/>
    <cellStyle name="40% - Accent2 2 3 3 2 2" xfId="7527"/>
    <cellStyle name="40% - Accent2 2 3 3 3" xfId="5382"/>
    <cellStyle name="40% - Accent2 2 3 4" xfId="1498"/>
    <cellStyle name="40% - Accent2 2 3 4 2" xfId="3728"/>
    <cellStyle name="40% - Accent2 2 3 4 2 2" xfId="7940"/>
    <cellStyle name="40% - Accent2 2 3 4 3" xfId="5795"/>
    <cellStyle name="40% - Accent2 2 3 5" xfId="1912"/>
    <cellStyle name="40% - Accent2 2 3 5 2" xfId="4141"/>
    <cellStyle name="40% - Accent2 2 3 5 2 2" xfId="8353"/>
    <cellStyle name="40% - Accent2 2 3 5 3" xfId="6208"/>
    <cellStyle name="40% - Accent2 2 3 6" xfId="2325"/>
    <cellStyle name="40% - Accent2 2 3 6 2" xfId="6621"/>
    <cellStyle name="40% - Accent2 2 3 7" xfId="4555"/>
    <cellStyle name="40% - Accent2 2 4" xfId="628"/>
    <cellStyle name="40% - Accent2 2 4 2" xfId="2899"/>
    <cellStyle name="40% - Accent2 2 4 2 2" xfId="7111"/>
    <cellStyle name="40% - Accent2 2 4 3" xfId="4966"/>
    <cellStyle name="40% - Accent2 2 5" xfId="1081"/>
    <cellStyle name="40% - Accent2 2 5 2" xfId="3312"/>
    <cellStyle name="40% - Accent2 2 5 2 2" xfId="7524"/>
    <cellStyle name="40% - Accent2 2 5 3" xfId="5379"/>
    <cellStyle name="40% - Accent2 2 6" xfId="1495"/>
    <cellStyle name="40% - Accent2 2 6 2" xfId="3725"/>
    <cellStyle name="40% - Accent2 2 6 2 2" xfId="7937"/>
    <cellStyle name="40% - Accent2 2 6 3" xfId="5792"/>
    <cellStyle name="40% - Accent2 2 7" xfId="1909"/>
    <cellStyle name="40% - Accent2 2 7 2" xfId="4138"/>
    <cellStyle name="40% - Accent2 2 7 2 2" xfId="8350"/>
    <cellStyle name="40% - Accent2 2 7 3" xfId="6205"/>
    <cellStyle name="40% - Accent2 2 8" xfId="2322"/>
    <cellStyle name="40% - Accent2 2 8 2" xfId="6618"/>
    <cellStyle name="40% - Accent2 2 9" xfId="4552"/>
    <cellStyle name="40% - Accent2 3" xfId="62"/>
    <cellStyle name="40% - Accent2 3 2" xfId="63"/>
    <cellStyle name="40% - Accent2 3 2 2" xfId="633"/>
    <cellStyle name="40% - Accent2 3 2 2 2" xfId="2904"/>
    <cellStyle name="40% - Accent2 3 2 2 2 2" xfId="7116"/>
    <cellStyle name="40% - Accent2 3 2 2 3" xfId="4971"/>
    <cellStyle name="40% - Accent2 3 2 3" xfId="1086"/>
    <cellStyle name="40% - Accent2 3 2 3 2" xfId="3317"/>
    <cellStyle name="40% - Accent2 3 2 3 2 2" xfId="7529"/>
    <cellStyle name="40% - Accent2 3 2 3 3" xfId="5384"/>
    <cellStyle name="40% - Accent2 3 2 4" xfId="1500"/>
    <cellStyle name="40% - Accent2 3 2 4 2" xfId="3730"/>
    <cellStyle name="40% - Accent2 3 2 4 2 2" xfId="7942"/>
    <cellStyle name="40% - Accent2 3 2 4 3" xfId="5797"/>
    <cellStyle name="40% - Accent2 3 2 5" xfId="1914"/>
    <cellStyle name="40% - Accent2 3 2 5 2" xfId="4143"/>
    <cellStyle name="40% - Accent2 3 2 5 2 2" xfId="8355"/>
    <cellStyle name="40% - Accent2 3 2 5 3" xfId="6210"/>
    <cellStyle name="40% - Accent2 3 2 6" xfId="2327"/>
    <cellStyle name="40% - Accent2 3 2 6 2" xfId="6623"/>
    <cellStyle name="40% - Accent2 3 2 7" xfId="4557"/>
    <cellStyle name="40% - Accent2 3 3" xfId="632"/>
    <cellStyle name="40% - Accent2 3 3 2" xfId="2903"/>
    <cellStyle name="40% - Accent2 3 3 2 2" xfId="7115"/>
    <cellStyle name="40% - Accent2 3 3 3" xfId="4970"/>
    <cellStyle name="40% - Accent2 3 4" xfId="1085"/>
    <cellStyle name="40% - Accent2 3 4 2" xfId="3316"/>
    <cellStyle name="40% - Accent2 3 4 2 2" xfId="7528"/>
    <cellStyle name="40% - Accent2 3 4 3" xfId="5383"/>
    <cellStyle name="40% - Accent2 3 5" xfId="1499"/>
    <cellStyle name="40% - Accent2 3 5 2" xfId="3729"/>
    <cellStyle name="40% - Accent2 3 5 2 2" xfId="7941"/>
    <cellStyle name="40% - Accent2 3 5 3" xfId="5796"/>
    <cellStyle name="40% - Accent2 3 6" xfId="1913"/>
    <cellStyle name="40% - Accent2 3 6 2" xfId="4142"/>
    <cellStyle name="40% - Accent2 3 6 2 2" xfId="8354"/>
    <cellStyle name="40% - Accent2 3 6 3" xfId="6209"/>
    <cellStyle name="40% - Accent2 3 7" xfId="2326"/>
    <cellStyle name="40% - Accent2 3 7 2" xfId="6622"/>
    <cellStyle name="40% - Accent2 3 8" xfId="4556"/>
    <cellStyle name="40% - Accent2 4" xfId="64"/>
    <cellStyle name="40% - Accent2 4 2" xfId="634"/>
    <cellStyle name="40% - Accent2 4 2 2" xfId="2905"/>
    <cellStyle name="40% - Accent2 4 2 2 2" xfId="7117"/>
    <cellStyle name="40% - Accent2 4 2 3" xfId="4972"/>
    <cellStyle name="40% - Accent2 4 3" xfId="1087"/>
    <cellStyle name="40% - Accent2 4 3 2" xfId="3318"/>
    <cellStyle name="40% - Accent2 4 3 2 2" xfId="7530"/>
    <cellStyle name="40% - Accent2 4 3 3" xfId="5385"/>
    <cellStyle name="40% - Accent2 4 4" xfId="1501"/>
    <cellStyle name="40% - Accent2 4 4 2" xfId="3731"/>
    <cellStyle name="40% - Accent2 4 4 2 2" xfId="7943"/>
    <cellStyle name="40% - Accent2 4 4 3" xfId="5798"/>
    <cellStyle name="40% - Accent2 4 5" xfId="1915"/>
    <cellStyle name="40% - Accent2 4 5 2" xfId="4144"/>
    <cellStyle name="40% - Accent2 4 5 2 2" xfId="8356"/>
    <cellStyle name="40% - Accent2 4 5 3" xfId="6211"/>
    <cellStyle name="40% - Accent2 4 6" xfId="2328"/>
    <cellStyle name="40% - Accent2 4 6 2" xfId="6624"/>
    <cellStyle name="40% - Accent2 4 7" xfId="4558"/>
    <cellStyle name="40% - Accent2 5" xfId="627"/>
    <cellStyle name="40% - Accent2 5 2" xfId="2898"/>
    <cellStyle name="40% - Accent2 5 2 2" xfId="7110"/>
    <cellStyle name="40% - Accent2 5 3" xfId="4965"/>
    <cellStyle name="40% - Accent2 6" xfId="1080"/>
    <cellStyle name="40% - Accent2 6 2" xfId="3311"/>
    <cellStyle name="40% - Accent2 6 2 2" xfId="7523"/>
    <cellStyle name="40% - Accent2 6 3" xfId="5378"/>
    <cellStyle name="40% - Accent2 7" xfId="1494"/>
    <cellStyle name="40% - Accent2 7 2" xfId="3724"/>
    <cellStyle name="40% - Accent2 7 2 2" xfId="7936"/>
    <cellStyle name="40% - Accent2 7 3" xfId="5791"/>
    <cellStyle name="40% - Accent2 8" xfId="1908"/>
    <cellStyle name="40% - Accent2 8 2" xfId="4137"/>
    <cellStyle name="40% - Accent2 8 2 2" xfId="8349"/>
    <cellStyle name="40% - Accent2 8 3" xfId="6204"/>
    <cellStyle name="40% - Accent2 9" xfId="2321"/>
    <cellStyle name="40% - Accent2 9 2" xfId="6617"/>
    <cellStyle name="40% - Accent3" xfId="65" builtinId="39" customBuiltin="1"/>
    <cellStyle name="40% - Accent3 10" xfId="4559"/>
    <cellStyle name="40% - Accent3 2" xfId="66"/>
    <cellStyle name="40% - Accent3 2 2" xfId="67"/>
    <cellStyle name="40% - Accent3 2 2 2" xfId="68"/>
    <cellStyle name="40% - Accent3 2 2 2 2" xfId="638"/>
    <cellStyle name="40% - Accent3 2 2 2 2 2" xfId="2909"/>
    <cellStyle name="40% - Accent3 2 2 2 2 2 2" xfId="7121"/>
    <cellStyle name="40% - Accent3 2 2 2 2 3" xfId="4976"/>
    <cellStyle name="40% - Accent3 2 2 2 3" xfId="1091"/>
    <cellStyle name="40% - Accent3 2 2 2 3 2" xfId="3322"/>
    <cellStyle name="40% - Accent3 2 2 2 3 2 2" xfId="7534"/>
    <cellStyle name="40% - Accent3 2 2 2 3 3" xfId="5389"/>
    <cellStyle name="40% - Accent3 2 2 2 4" xfId="1505"/>
    <cellStyle name="40% - Accent3 2 2 2 4 2" xfId="3735"/>
    <cellStyle name="40% - Accent3 2 2 2 4 2 2" xfId="7947"/>
    <cellStyle name="40% - Accent3 2 2 2 4 3" xfId="5802"/>
    <cellStyle name="40% - Accent3 2 2 2 5" xfId="1919"/>
    <cellStyle name="40% - Accent3 2 2 2 5 2" xfId="4148"/>
    <cellStyle name="40% - Accent3 2 2 2 5 2 2" xfId="8360"/>
    <cellStyle name="40% - Accent3 2 2 2 5 3" xfId="6215"/>
    <cellStyle name="40% - Accent3 2 2 2 6" xfId="2332"/>
    <cellStyle name="40% - Accent3 2 2 2 6 2" xfId="6628"/>
    <cellStyle name="40% - Accent3 2 2 2 7" xfId="4562"/>
    <cellStyle name="40% - Accent3 2 2 3" xfId="637"/>
    <cellStyle name="40% - Accent3 2 2 3 2" xfId="2908"/>
    <cellStyle name="40% - Accent3 2 2 3 2 2" xfId="7120"/>
    <cellStyle name="40% - Accent3 2 2 3 3" xfId="4975"/>
    <cellStyle name="40% - Accent3 2 2 4" xfId="1090"/>
    <cellStyle name="40% - Accent3 2 2 4 2" xfId="3321"/>
    <cellStyle name="40% - Accent3 2 2 4 2 2" xfId="7533"/>
    <cellStyle name="40% - Accent3 2 2 4 3" xfId="5388"/>
    <cellStyle name="40% - Accent3 2 2 5" xfId="1504"/>
    <cellStyle name="40% - Accent3 2 2 5 2" xfId="3734"/>
    <cellStyle name="40% - Accent3 2 2 5 2 2" xfId="7946"/>
    <cellStyle name="40% - Accent3 2 2 5 3" xfId="5801"/>
    <cellStyle name="40% - Accent3 2 2 6" xfId="1918"/>
    <cellStyle name="40% - Accent3 2 2 6 2" xfId="4147"/>
    <cellStyle name="40% - Accent3 2 2 6 2 2" xfId="8359"/>
    <cellStyle name="40% - Accent3 2 2 6 3" xfId="6214"/>
    <cellStyle name="40% - Accent3 2 2 7" xfId="2331"/>
    <cellStyle name="40% - Accent3 2 2 7 2" xfId="6627"/>
    <cellStyle name="40% - Accent3 2 2 8" xfId="4561"/>
    <cellStyle name="40% - Accent3 2 3" xfId="69"/>
    <cellStyle name="40% - Accent3 2 3 2" xfId="639"/>
    <cellStyle name="40% - Accent3 2 3 2 2" xfId="2910"/>
    <cellStyle name="40% - Accent3 2 3 2 2 2" xfId="7122"/>
    <cellStyle name="40% - Accent3 2 3 2 3" xfId="4977"/>
    <cellStyle name="40% - Accent3 2 3 3" xfId="1092"/>
    <cellStyle name="40% - Accent3 2 3 3 2" xfId="3323"/>
    <cellStyle name="40% - Accent3 2 3 3 2 2" xfId="7535"/>
    <cellStyle name="40% - Accent3 2 3 3 3" xfId="5390"/>
    <cellStyle name="40% - Accent3 2 3 4" xfId="1506"/>
    <cellStyle name="40% - Accent3 2 3 4 2" xfId="3736"/>
    <cellStyle name="40% - Accent3 2 3 4 2 2" xfId="7948"/>
    <cellStyle name="40% - Accent3 2 3 4 3" xfId="5803"/>
    <cellStyle name="40% - Accent3 2 3 5" xfId="1920"/>
    <cellStyle name="40% - Accent3 2 3 5 2" xfId="4149"/>
    <cellStyle name="40% - Accent3 2 3 5 2 2" xfId="8361"/>
    <cellStyle name="40% - Accent3 2 3 5 3" xfId="6216"/>
    <cellStyle name="40% - Accent3 2 3 6" xfId="2333"/>
    <cellStyle name="40% - Accent3 2 3 6 2" xfId="6629"/>
    <cellStyle name="40% - Accent3 2 3 7" xfId="4563"/>
    <cellStyle name="40% - Accent3 2 4" xfId="636"/>
    <cellStyle name="40% - Accent3 2 4 2" xfId="2907"/>
    <cellStyle name="40% - Accent3 2 4 2 2" xfId="7119"/>
    <cellStyle name="40% - Accent3 2 4 3" xfId="4974"/>
    <cellStyle name="40% - Accent3 2 5" xfId="1089"/>
    <cellStyle name="40% - Accent3 2 5 2" xfId="3320"/>
    <cellStyle name="40% - Accent3 2 5 2 2" xfId="7532"/>
    <cellStyle name="40% - Accent3 2 5 3" xfId="5387"/>
    <cellStyle name="40% - Accent3 2 6" xfId="1503"/>
    <cellStyle name="40% - Accent3 2 6 2" xfId="3733"/>
    <cellStyle name="40% - Accent3 2 6 2 2" xfId="7945"/>
    <cellStyle name="40% - Accent3 2 6 3" xfId="5800"/>
    <cellStyle name="40% - Accent3 2 7" xfId="1917"/>
    <cellStyle name="40% - Accent3 2 7 2" xfId="4146"/>
    <cellStyle name="40% - Accent3 2 7 2 2" xfId="8358"/>
    <cellStyle name="40% - Accent3 2 7 3" xfId="6213"/>
    <cellStyle name="40% - Accent3 2 8" xfId="2330"/>
    <cellStyle name="40% - Accent3 2 8 2" xfId="6626"/>
    <cellStyle name="40% - Accent3 2 9" xfId="4560"/>
    <cellStyle name="40% - Accent3 3" xfId="70"/>
    <cellStyle name="40% - Accent3 3 2" xfId="71"/>
    <cellStyle name="40% - Accent3 3 2 2" xfId="641"/>
    <cellStyle name="40% - Accent3 3 2 2 2" xfId="2912"/>
    <cellStyle name="40% - Accent3 3 2 2 2 2" xfId="7124"/>
    <cellStyle name="40% - Accent3 3 2 2 3" xfId="4979"/>
    <cellStyle name="40% - Accent3 3 2 3" xfId="1094"/>
    <cellStyle name="40% - Accent3 3 2 3 2" xfId="3325"/>
    <cellStyle name="40% - Accent3 3 2 3 2 2" xfId="7537"/>
    <cellStyle name="40% - Accent3 3 2 3 3" xfId="5392"/>
    <cellStyle name="40% - Accent3 3 2 4" xfId="1508"/>
    <cellStyle name="40% - Accent3 3 2 4 2" xfId="3738"/>
    <cellStyle name="40% - Accent3 3 2 4 2 2" xfId="7950"/>
    <cellStyle name="40% - Accent3 3 2 4 3" xfId="5805"/>
    <cellStyle name="40% - Accent3 3 2 5" xfId="1922"/>
    <cellStyle name="40% - Accent3 3 2 5 2" xfId="4151"/>
    <cellStyle name="40% - Accent3 3 2 5 2 2" xfId="8363"/>
    <cellStyle name="40% - Accent3 3 2 5 3" xfId="6218"/>
    <cellStyle name="40% - Accent3 3 2 6" xfId="2335"/>
    <cellStyle name="40% - Accent3 3 2 6 2" xfId="6631"/>
    <cellStyle name="40% - Accent3 3 2 7" xfId="4565"/>
    <cellStyle name="40% - Accent3 3 3" xfId="640"/>
    <cellStyle name="40% - Accent3 3 3 2" xfId="2911"/>
    <cellStyle name="40% - Accent3 3 3 2 2" xfId="7123"/>
    <cellStyle name="40% - Accent3 3 3 3" xfId="4978"/>
    <cellStyle name="40% - Accent3 3 4" xfId="1093"/>
    <cellStyle name="40% - Accent3 3 4 2" xfId="3324"/>
    <cellStyle name="40% - Accent3 3 4 2 2" xfId="7536"/>
    <cellStyle name="40% - Accent3 3 4 3" xfId="5391"/>
    <cellStyle name="40% - Accent3 3 5" xfId="1507"/>
    <cellStyle name="40% - Accent3 3 5 2" xfId="3737"/>
    <cellStyle name="40% - Accent3 3 5 2 2" xfId="7949"/>
    <cellStyle name="40% - Accent3 3 5 3" xfId="5804"/>
    <cellStyle name="40% - Accent3 3 6" xfId="1921"/>
    <cellStyle name="40% - Accent3 3 6 2" xfId="4150"/>
    <cellStyle name="40% - Accent3 3 6 2 2" xfId="8362"/>
    <cellStyle name="40% - Accent3 3 6 3" xfId="6217"/>
    <cellStyle name="40% - Accent3 3 7" xfId="2334"/>
    <cellStyle name="40% - Accent3 3 7 2" xfId="6630"/>
    <cellStyle name="40% - Accent3 3 8" xfId="4564"/>
    <cellStyle name="40% - Accent3 4" xfId="72"/>
    <cellStyle name="40% - Accent3 4 2" xfId="642"/>
    <cellStyle name="40% - Accent3 4 2 2" xfId="2913"/>
    <cellStyle name="40% - Accent3 4 2 2 2" xfId="7125"/>
    <cellStyle name="40% - Accent3 4 2 3" xfId="4980"/>
    <cellStyle name="40% - Accent3 4 3" xfId="1095"/>
    <cellStyle name="40% - Accent3 4 3 2" xfId="3326"/>
    <cellStyle name="40% - Accent3 4 3 2 2" xfId="7538"/>
    <cellStyle name="40% - Accent3 4 3 3" xfId="5393"/>
    <cellStyle name="40% - Accent3 4 4" xfId="1509"/>
    <cellStyle name="40% - Accent3 4 4 2" xfId="3739"/>
    <cellStyle name="40% - Accent3 4 4 2 2" xfId="7951"/>
    <cellStyle name="40% - Accent3 4 4 3" xfId="5806"/>
    <cellStyle name="40% - Accent3 4 5" xfId="1923"/>
    <cellStyle name="40% - Accent3 4 5 2" xfId="4152"/>
    <cellStyle name="40% - Accent3 4 5 2 2" xfId="8364"/>
    <cellStyle name="40% - Accent3 4 5 3" xfId="6219"/>
    <cellStyle name="40% - Accent3 4 6" xfId="2336"/>
    <cellStyle name="40% - Accent3 4 6 2" xfId="6632"/>
    <cellStyle name="40% - Accent3 4 7" xfId="4566"/>
    <cellStyle name="40% - Accent3 5" xfId="635"/>
    <cellStyle name="40% - Accent3 5 2" xfId="2906"/>
    <cellStyle name="40% - Accent3 5 2 2" xfId="7118"/>
    <cellStyle name="40% - Accent3 5 3" xfId="4973"/>
    <cellStyle name="40% - Accent3 6" xfId="1088"/>
    <cellStyle name="40% - Accent3 6 2" xfId="3319"/>
    <cellStyle name="40% - Accent3 6 2 2" xfId="7531"/>
    <cellStyle name="40% - Accent3 6 3" xfId="5386"/>
    <cellStyle name="40% - Accent3 7" xfId="1502"/>
    <cellStyle name="40% - Accent3 7 2" xfId="3732"/>
    <cellStyle name="40% - Accent3 7 2 2" xfId="7944"/>
    <cellStyle name="40% - Accent3 7 3" xfId="5799"/>
    <cellStyle name="40% - Accent3 8" xfId="1916"/>
    <cellStyle name="40% - Accent3 8 2" xfId="4145"/>
    <cellStyle name="40% - Accent3 8 2 2" xfId="8357"/>
    <cellStyle name="40% - Accent3 8 3" xfId="6212"/>
    <cellStyle name="40% - Accent3 9" xfId="2329"/>
    <cellStyle name="40% - Accent3 9 2" xfId="6625"/>
    <cellStyle name="40% - Accent4" xfId="73" builtinId="43" customBuiltin="1"/>
    <cellStyle name="40% - Accent4 10" xfId="4567"/>
    <cellStyle name="40% - Accent4 2" xfId="74"/>
    <cellStyle name="40% - Accent4 2 2" xfId="75"/>
    <cellStyle name="40% - Accent4 2 2 2" xfId="76"/>
    <cellStyle name="40% - Accent4 2 2 2 2" xfId="646"/>
    <cellStyle name="40% - Accent4 2 2 2 2 2" xfId="2917"/>
    <cellStyle name="40% - Accent4 2 2 2 2 2 2" xfId="7129"/>
    <cellStyle name="40% - Accent4 2 2 2 2 3" xfId="4984"/>
    <cellStyle name="40% - Accent4 2 2 2 3" xfId="1099"/>
    <cellStyle name="40% - Accent4 2 2 2 3 2" xfId="3330"/>
    <cellStyle name="40% - Accent4 2 2 2 3 2 2" xfId="7542"/>
    <cellStyle name="40% - Accent4 2 2 2 3 3" xfId="5397"/>
    <cellStyle name="40% - Accent4 2 2 2 4" xfId="1513"/>
    <cellStyle name="40% - Accent4 2 2 2 4 2" xfId="3743"/>
    <cellStyle name="40% - Accent4 2 2 2 4 2 2" xfId="7955"/>
    <cellStyle name="40% - Accent4 2 2 2 4 3" xfId="5810"/>
    <cellStyle name="40% - Accent4 2 2 2 5" xfId="1927"/>
    <cellStyle name="40% - Accent4 2 2 2 5 2" xfId="4156"/>
    <cellStyle name="40% - Accent4 2 2 2 5 2 2" xfId="8368"/>
    <cellStyle name="40% - Accent4 2 2 2 5 3" xfId="6223"/>
    <cellStyle name="40% - Accent4 2 2 2 6" xfId="2340"/>
    <cellStyle name="40% - Accent4 2 2 2 6 2" xfId="6636"/>
    <cellStyle name="40% - Accent4 2 2 2 7" xfId="4570"/>
    <cellStyle name="40% - Accent4 2 2 3" xfId="645"/>
    <cellStyle name="40% - Accent4 2 2 3 2" xfId="2916"/>
    <cellStyle name="40% - Accent4 2 2 3 2 2" xfId="7128"/>
    <cellStyle name="40% - Accent4 2 2 3 3" xfId="4983"/>
    <cellStyle name="40% - Accent4 2 2 4" xfId="1098"/>
    <cellStyle name="40% - Accent4 2 2 4 2" xfId="3329"/>
    <cellStyle name="40% - Accent4 2 2 4 2 2" xfId="7541"/>
    <cellStyle name="40% - Accent4 2 2 4 3" xfId="5396"/>
    <cellStyle name="40% - Accent4 2 2 5" xfId="1512"/>
    <cellStyle name="40% - Accent4 2 2 5 2" xfId="3742"/>
    <cellStyle name="40% - Accent4 2 2 5 2 2" xfId="7954"/>
    <cellStyle name="40% - Accent4 2 2 5 3" xfId="5809"/>
    <cellStyle name="40% - Accent4 2 2 6" xfId="1926"/>
    <cellStyle name="40% - Accent4 2 2 6 2" xfId="4155"/>
    <cellStyle name="40% - Accent4 2 2 6 2 2" xfId="8367"/>
    <cellStyle name="40% - Accent4 2 2 6 3" xfId="6222"/>
    <cellStyle name="40% - Accent4 2 2 7" xfId="2339"/>
    <cellStyle name="40% - Accent4 2 2 7 2" xfId="6635"/>
    <cellStyle name="40% - Accent4 2 2 8" xfId="4569"/>
    <cellStyle name="40% - Accent4 2 3" xfId="77"/>
    <cellStyle name="40% - Accent4 2 3 2" xfId="647"/>
    <cellStyle name="40% - Accent4 2 3 2 2" xfId="2918"/>
    <cellStyle name="40% - Accent4 2 3 2 2 2" xfId="7130"/>
    <cellStyle name="40% - Accent4 2 3 2 3" xfId="4985"/>
    <cellStyle name="40% - Accent4 2 3 3" xfId="1100"/>
    <cellStyle name="40% - Accent4 2 3 3 2" xfId="3331"/>
    <cellStyle name="40% - Accent4 2 3 3 2 2" xfId="7543"/>
    <cellStyle name="40% - Accent4 2 3 3 3" xfId="5398"/>
    <cellStyle name="40% - Accent4 2 3 4" xfId="1514"/>
    <cellStyle name="40% - Accent4 2 3 4 2" xfId="3744"/>
    <cellStyle name="40% - Accent4 2 3 4 2 2" xfId="7956"/>
    <cellStyle name="40% - Accent4 2 3 4 3" xfId="5811"/>
    <cellStyle name="40% - Accent4 2 3 5" xfId="1928"/>
    <cellStyle name="40% - Accent4 2 3 5 2" xfId="4157"/>
    <cellStyle name="40% - Accent4 2 3 5 2 2" xfId="8369"/>
    <cellStyle name="40% - Accent4 2 3 5 3" xfId="6224"/>
    <cellStyle name="40% - Accent4 2 3 6" xfId="2341"/>
    <cellStyle name="40% - Accent4 2 3 6 2" xfId="6637"/>
    <cellStyle name="40% - Accent4 2 3 7" xfId="4571"/>
    <cellStyle name="40% - Accent4 2 4" xfId="644"/>
    <cellStyle name="40% - Accent4 2 4 2" xfId="2915"/>
    <cellStyle name="40% - Accent4 2 4 2 2" xfId="7127"/>
    <cellStyle name="40% - Accent4 2 4 3" xfId="4982"/>
    <cellStyle name="40% - Accent4 2 5" xfId="1097"/>
    <cellStyle name="40% - Accent4 2 5 2" xfId="3328"/>
    <cellStyle name="40% - Accent4 2 5 2 2" xfId="7540"/>
    <cellStyle name="40% - Accent4 2 5 3" xfId="5395"/>
    <cellStyle name="40% - Accent4 2 6" xfId="1511"/>
    <cellStyle name="40% - Accent4 2 6 2" xfId="3741"/>
    <cellStyle name="40% - Accent4 2 6 2 2" xfId="7953"/>
    <cellStyle name="40% - Accent4 2 6 3" xfId="5808"/>
    <cellStyle name="40% - Accent4 2 7" xfId="1925"/>
    <cellStyle name="40% - Accent4 2 7 2" xfId="4154"/>
    <cellStyle name="40% - Accent4 2 7 2 2" xfId="8366"/>
    <cellStyle name="40% - Accent4 2 7 3" xfId="6221"/>
    <cellStyle name="40% - Accent4 2 8" xfId="2338"/>
    <cellStyle name="40% - Accent4 2 8 2" xfId="6634"/>
    <cellStyle name="40% - Accent4 2 9" xfId="4568"/>
    <cellStyle name="40% - Accent4 3" xfId="78"/>
    <cellStyle name="40% - Accent4 3 2" xfId="79"/>
    <cellStyle name="40% - Accent4 3 2 2" xfId="649"/>
    <cellStyle name="40% - Accent4 3 2 2 2" xfId="2920"/>
    <cellStyle name="40% - Accent4 3 2 2 2 2" xfId="7132"/>
    <cellStyle name="40% - Accent4 3 2 2 3" xfId="4987"/>
    <cellStyle name="40% - Accent4 3 2 3" xfId="1102"/>
    <cellStyle name="40% - Accent4 3 2 3 2" xfId="3333"/>
    <cellStyle name="40% - Accent4 3 2 3 2 2" xfId="7545"/>
    <cellStyle name="40% - Accent4 3 2 3 3" xfId="5400"/>
    <cellStyle name="40% - Accent4 3 2 4" xfId="1516"/>
    <cellStyle name="40% - Accent4 3 2 4 2" xfId="3746"/>
    <cellStyle name="40% - Accent4 3 2 4 2 2" xfId="7958"/>
    <cellStyle name="40% - Accent4 3 2 4 3" xfId="5813"/>
    <cellStyle name="40% - Accent4 3 2 5" xfId="1930"/>
    <cellStyle name="40% - Accent4 3 2 5 2" xfId="4159"/>
    <cellStyle name="40% - Accent4 3 2 5 2 2" xfId="8371"/>
    <cellStyle name="40% - Accent4 3 2 5 3" xfId="6226"/>
    <cellStyle name="40% - Accent4 3 2 6" xfId="2343"/>
    <cellStyle name="40% - Accent4 3 2 6 2" xfId="6639"/>
    <cellStyle name="40% - Accent4 3 2 7" xfId="4573"/>
    <cellStyle name="40% - Accent4 3 3" xfId="648"/>
    <cellStyle name="40% - Accent4 3 3 2" xfId="2919"/>
    <cellStyle name="40% - Accent4 3 3 2 2" xfId="7131"/>
    <cellStyle name="40% - Accent4 3 3 3" xfId="4986"/>
    <cellStyle name="40% - Accent4 3 4" xfId="1101"/>
    <cellStyle name="40% - Accent4 3 4 2" xfId="3332"/>
    <cellStyle name="40% - Accent4 3 4 2 2" xfId="7544"/>
    <cellStyle name="40% - Accent4 3 4 3" xfId="5399"/>
    <cellStyle name="40% - Accent4 3 5" xfId="1515"/>
    <cellStyle name="40% - Accent4 3 5 2" xfId="3745"/>
    <cellStyle name="40% - Accent4 3 5 2 2" xfId="7957"/>
    <cellStyle name="40% - Accent4 3 5 3" xfId="5812"/>
    <cellStyle name="40% - Accent4 3 6" xfId="1929"/>
    <cellStyle name="40% - Accent4 3 6 2" xfId="4158"/>
    <cellStyle name="40% - Accent4 3 6 2 2" xfId="8370"/>
    <cellStyle name="40% - Accent4 3 6 3" xfId="6225"/>
    <cellStyle name="40% - Accent4 3 7" xfId="2342"/>
    <cellStyle name="40% - Accent4 3 7 2" xfId="6638"/>
    <cellStyle name="40% - Accent4 3 8" xfId="4572"/>
    <cellStyle name="40% - Accent4 4" xfId="80"/>
    <cellStyle name="40% - Accent4 4 2" xfId="650"/>
    <cellStyle name="40% - Accent4 4 2 2" xfId="2921"/>
    <cellStyle name="40% - Accent4 4 2 2 2" xfId="7133"/>
    <cellStyle name="40% - Accent4 4 2 3" xfId="4988"/>
    <cellStyle name="40% - Accent4 4 3" xfId="1103"/>
    <cellStyle name="40% - Accent4 4 3 2" xfId="3334"/>
    <cellStyle name="40% - Accent4 4 3 2 2" xfId="7546"/>
    <cellStyle name="40% - Accent4 4 3 3" xfId="5401"/>
    <cellStyle name="40% - Accent4 4 4" xfId="1517"/>
    <cellStyle name="40% - Accent4 4 4 2" xfId="3747"/>
    <cellStyle name="40% - Accent4 4 4 2 2" xfId="7959"/>
    <cellStyle name="40% - Accent4 4 4 3" xfId="5814"/>
    <cellStyle name="40% - Accent4 4 5" xfId="1931"/>
    <cellStyle name="40% - Accent4 4 5 2" xfId="4160"/>
    <cellStyle name="40% - Accent4 4 5 2 2" xfId="8372"/>
    <cellStyle name="40% - Accent4 4 5 3" xfId="6227"/>
    <cellStyle name="40% - Accent4 4 6" xfId="2344"/>
    <cellStyle name="40% - Accent4 4 6 2" xfId="6640"/>
    <cellStyle name="40% - Accent4 4 7" xfId="4574"/>
    <cellStyle name="40% - Accent4 5" xfId="643"/>
    <cellStyle name="40% - Accent4 5 2" xfId="2914"/>
    <cellStyle name="40% - Accent4 5 2 2" xfId="7126"/>
    <cellStyle name="40% - Accent4 5 3" xfId="4981"/>
    <cellStyle name="40% - Accent4 6" xfId="1096"/>
    <cellStyle name="40% - Accent4 6 2" xfId="3327"/>
    <cellStyle name="40% - Accent4 6 2 2" xfId="7539"/>
    <cellStyle name="40% - Accent4 6 3" xfId="5394"/>
    <cellStyle name="40% - Accent4 7" xfId="1510"/>
    <cellStyle name="40% - Accent4 7 2" xfId="3740"/>
    <cellStyle name="40% - Accent4 7 2 2" xfId="7952"/>
    <cellStyle name="40% - Accent4 7 3" xfId="5807"/>
    <cellStyle name="40% - Accent4 8" xfId="1924"/>
    <cellStyle name="40% - Accent4 8 2" xfId="4153"/>
    <cellStyle name="40% - Accent4 8 2 2" xfId="8365"/>
    <cellStyle name="40% - Accent4 8 3" xfId="6220"/>
    <cellStyle name="40% - Accent4 9" xfId="2337"/>
    <cellStyle name="40% - Accent4 9 2" xfId="6633"/>
    <cellStyle name="40% - Accent5" xfId="81" builtinId="47" customBuiltin="1"/>
    <cellStyle name="40% - Accent5 10" xfId="4575"/>
    <cellStyle name="40% - Accent5 2" xfId="82"/>
    <cellStyle name="40% - Accent5 2 2" xfId="83"/>
    <cellStyle name="40% - Accent5 2 2 2" xfId="84"/>
    <cellStyle name="40% - Accent5 2 2 2 2" xfId="654"/>
    <cellStyle name="40% - Accent5 2 2 2 2 2" xfId="2925"/>
    <cellStyle name="40% - Accent5 2 2 2 2 2 2" xfId="7137"/>
    <cellStyle name="40% - Accent5 2 2 2 2 3" xfId="4992"/>
    <cellStyle name="40% - Accent5 2 2 2 3" xfId="1107"/>
    <cellStyle name="40% - Accent5 2 2 2 3 2" xfId="3338"/>
    <cellStyle name="40% - Accent5 2 2 2 3 2 2" xfId="7550"/>
    <cellStyle name="40% - Accent5 2 2 2 3 3" xfId="5405"/>
    <cellStyle name="40% - Accent5 2 2 2 4" xfId="1521"/>
    <cellStyle name="40% - Accent5 2 2 2 4 2" xfId="3751"/>
    <cellStyle name="40% - Accent5 2 2 2 4 2 2" xfId="7963"/>
    <cellStyle name="40% - Accent5 2 2 2 4 3" xfId="5818"/>
    <cellStyle name="40% - Accent5 2 2 2 5" xfId="1935"/>
    <cellStyle name="40% - Accent5 2 2 2 5 2" xfId="4164"/>
    <cellStyle name="40% - Accent5 2 2 2 5 2 2" xfId="8376"/>
    <cellStyle name="40% - Accent5 2 2 2 5 3" xfId="6231"/>
    <cellStyle name="40% - Accent5 2 2 2 6" xfId="2348"/>
    <cellStyle name="40% - Accent5 2 2 2 6 2" xfId="6644"/>
    <cellStyle name="40% - Accent5 2 2 2 7" xfId="4578"/>
    <cellStyle name="40% - Accent5 2 2 3" xfId="653"/>
    <cellStyle name="40% - Accent5 2 2 3 2" xfId="2924"/>
    <cellStyle name="40% - Accent5 2 2 3 2 2" xfId="7136"/>
    <cellStyle name="40% - Accent5 2 2 3 3" xfId="4991"/>
    <cellStyle name="40% - Accent5 2 2 4" xfId="1106"/>
    <cellStyle name="40% - Accent5 2 2 4 2" xfId="3337"/>
    <cellStyle name="40% - Accent5 2 2 4 2 2" xfId="7549"/>
    <cellStyle name="40% - Accent5 2 2 4 3" xfId="5404"/>
    <cellStyle name="40% - Accent5 2 2 5" xfId="1520"/>
    <cellStyle name="40% - Accent5 2 2 5 2" xfId="3750"/>
    <cellStyle name="40% - Accent5 2 2 5 2 2" xfId="7962"/>
    <cellStyle name="40% - Accent5 2 2 5 3" xfId="5817"/>
    <cellStyle name="40% - Accent5 2 2 6" xfId="1934"/>
    <cellStyle name="40% - Accent5 2 2 6 2" xfId="4163"/>
    <cellStyle name="40% - Accent5 2 2 6 2 2" xfId="8375"/>
    <cellStyle name="40% - Accent5 2 2 6 3" xfId="6230"/>
    <cellStyle name="40% - Accent5 2 2 7" xfId="2347"/>
    <cellStyle name="40% - Accent5 2 2 7 2" xfId="6643"/>
    <cellStyle name="40% - Accent5 2 2 8" xfId="4577"/>
    <cellStyle name="40% - Accent5 2 3" xfId="85"/>
    <cellStyle name="40% - Accent5 2 3 2" xfId="655"/>
    <cellStyle name="40% - Accent5 2 3 2 2" xfId="2926"/>
    <cellStyle name="40% - Accent5 2 3 2 2 2" xfId="7138"/>
    <cellStyle name="40% - Accent5 2 3 2 3" xfId="4993"/>
    <cellStyle name="40% - Accent5 2 3 3" xfId="1108"/>
    <cellStyle name="40% - Accent5 2 3 3 2" xfId="3339"/>
    <cellStyle name="40% - Accent5 2 3 3 2 2" xfId="7551"/>
    <cellStyle name="40% - Accent5 2 3 3 3" xfId="5406"/>
    <cellStyle name="40% - Accent5 2 3 4" xfId="1522"/>
    <cellStyle name="40% - Accent5 2 3 4 2" xfId="3752"/>
    <cellStyle name="40% - Accent5 2 3 4 2 2" xfId="7964"/>
    <cellStyle name="40% - Accent5 2 3 4 3" xfId="5819"/>
    <cellStyle name="40% - Accent5 2 3 5" xfId="1936"/>
    <cellStyle name="40% - Accent5 2 3 5 2" xfId="4165"/>
    <cellStyle name="40% - Accent5 2 3 5 2 2" xfId="8377"/>
    <cellStyle name="40% - Accent5 2 3 5 3" xfId="6232"/>
    <cellStyle name="40% - Accent5 2 3 6" xfId="2349"/>
    <cellStyle name="40% - Accent5 2 3 6 2" xfId="6645"/>
    <cellStyle name="40% - Accent5 2 3 7" xfId="4579"/>
    <cellStyle name="40% - Accent5 2 4" xfId="652"/>
    <cellStyle name="40% - Accent5 2 4 2" xfId="2923"/>
    <cellStyle name="40% - Accent5 2 4 2 2" xfId="7135"/>
    <cellStyle name="40% - Accent5 2 4 3" xfId="4990"/>
    <cellStyle name="40% - Accent5 2 5" xfId="1105"/>
    <cellStyle name="40% - Accent5 2 5 2" xfId="3336"/>
    <cellStyle name="40% - Accent5 2 5 2 2" xfId="7548"/>
    <cellStyle name="40% - Accent5 2 5 3" xfId="5403"/>
    <cellStyle name="40% - Accent5 2 6" xfId="1519"/>
    <cellStyle name="40% - Accent5 2 6 2" xfId="3749"/>
    <cellStyle name="40% - Accent5 2 6 2 2" xfId="7961"/>
    <cellStyle name="40% - Accent5 2 6 3" xfId="5816"/>
    <cellStyle name="40% - Accent5 2 7" xfId="1933"/>
    <cellStyle name="40% - Accent5 2 7 2" xfId="4162"/>
    <cellStyle name="40% - Accent5 2 7 2 2" xfId="8374"/>
    <cellStyle name="40% - Accent5 2 7 3" xfId="6229"/>
    <cellStyle name="40% - Accent5 2 8" xfId="2346"/>
    <cellStyle name="40% - Accent5 2 8 2" xfId="6642"/>
    <cellStyle name="40% - Accent5 2 9" xfId="4576"/>
    <cellStyle name="40% - Accent5 3" xfId="86"/>
    <cellStyle name="40% - Accent5 3 2" xfId="87"/>
    <cellStyle name="40% - Accent5 3 2 2" xfId="657"/>
    <cellStyle name="40% - Accent5 3 2 2 2" xfId="2928"/>
    <cellStyle name="40% - Accent5 3 2 2 2 2" xfId="7140"/>
    <cellStyle name="40% - Accent5 3 2 2 3" xfId="4995"/>
    <cellStyle name="40% - Accent5 3 2 3" xfId="1110"/>
    <cellStyle name="40% - Accent5 3 2 3 2" xfId="3341"/>
    <cellStyle name="40% - Accent5 3 2 3 2 2" xfId="7553"/>
    <cellStyle name="40% - Accent5 3 2 3 3" xfId="5408"/>
    <cellStyle name="40% - Accent5 3 2 4" xfId="1524"/>
    <cellStyle name="40% - Accent5 3 2 4 2" xfId="3754"/>
    <cellStyle name="40% - Accent5 3 2 4 2 2" xfId="7966"/>
    <cellStyle name="40% - Accent5 3 2 4 3" xfId="5821"/>
    <cellStyle name="40% - Accent5 3 2 5" xfId="1938"/>
    <cellStyle name="40% - Accent5 3 2 5 2" xfId="4167"/>
    <cellStyle name="40% - Accent5 3 2 5 2 2" xfId="8379"/>
    <cellStyle name="40% - Accent5 3 2 5 3" xfId="6234"/>
    <cellStyle name="40% - Accent5 3 2 6" xfId="2351"/>
    <cellStyle name="40% - Accent5 3 2 6 2" xfId="6647"/>
    <cellStyle name="40% - Accent5 3 2 7" xfId="4581"/>
    <cellStyle name="40% - Accent5 3 3" xfId="656"/>
    <cellStyle name="40% - Accent5 3 3 2" xfId="2927"/>
    <cellStyle name="40% - Accent5 3 3 2 2" xfId="7139"/>
    <cellStyle name="40% - Accent5 3 3 3" xfId="4994"/>
    <cellStyle name="40% - Accent5 3 4" xfId="1109"/>
    <cellStyle name="40% - Accent5 3 4 2" xfId="3340"/>
    <cellStyle name="40% - Accent5 3 4 2 2" xfId="7552"/>
    <cellStyle name="40% - Accent5 3 4 3" xfId="5407"/>
    <cellStyle name="40% - Accent5 3 5" xfId="1523"/>
    <cellStyle name="40% - Accent5 3 5 2" xfId="3753"/>
    <cellStyle name="40% - Accent5 3 5 2 2" xfId="7965"/>
    <cellStyle name="40% - Accent5 3 5 3" xfId="5820"/>
    <cellStyle name="40% - Accent5 3 6" xfId="1937"/>
    <cellStyle name="40% - Accent5 3 6 2" xfId="4166"/>
    <cellStyle name="40% - Accent5 3 6 2 2" xfId="8378"/>
    <cellStyle name="40% - Accent5 3 6 3" xfId="6233"/>
    <cellStyle name="40% - Accent5 3 7" xfId="2350"/>
    <cellStyle name="40% - Accent5 3 7 2" xfId="6646"/>
    <cellStyle name="40% - Accent5 3 8" xfId="4580"/>
    <cellStyle name="40% - Accent5 4" xfId="88"/>
    <cellStyle name="40% - Accent5 4 2" xfId="658"/>
    <cellStyle name="40% - Accent5 4 2 2" xfId="2929"/>
    <cellStyle name="40% - Accent5 4 2 2 2" xfId="7141"/>
    <cellStyle name="40% - Accent5 4 2 3" xfId="4996"/>
    <cellStyle name="40% - Accent5 4 3" xfId="1111"/>
    <cellStyle name="40% - Accent5 4 3 2" xfId="3342"/>
    <cellStyle name="40% - Accent5 4 3 2 2" xfId="7554"/>
    <cellStyle name="40% - Accent5 4 3 3" xfId="5409"/>
    <cellStyle name="40% - Accent5 4 4" xfId="1525"/>
    <cellStyle name="40% - Accent5 4 4 2" xfId="3755"/>
    <cellStyle name="40% - Accent5 4 4 2 2" xfId="7967"/>
    <cellStyle name="40% - Accent5 4 4 3" xfId="5822"/>
    <cellStyle name="40% - Accent5 4 5" xfId="1939"/>
    <cellStyle name="40% - Accent5 4 5 2" xfId="4168"/>
    <cellStyle name="40% - Accent5 4 5 2 2" xfId="8380"/>
    <cellStyle name="40% - Accent5 4 5 3" xfId="6235"/>
    <cellStyle name="40% - Accent5 4 6" xfId="2352"/>
    <cellStyle name="40% - Accent5 4 6 2" xfId="6648"/>
    <cellStyle name="40% - Accent5 4 7" xfId="4582"/>
    <cellStyle name="40% - Accent5 5" xfId="651"/>
    <cellStyle name="40% - Accent5 5 2" xfId="2922"/>
    <cellStyle name="40% - Accent5 5 2 2" xfId="7134"/>
    <cellStyle name="40% - Accent5 5 3" xfId="4989"/>
    <cellStyle name="40% - Accent5 6" xfId="1104"/>
    <cellStyle name="40% - Accent5 6 2" xfId="3335"/>
    <cellStyle name="40% - Accent5 6 2 2" xfId="7547"/>
    <cellStyle name="40% - Accent5 6 3" xfId="5402"/>
    <cellStyle name="40% - Accent5 7" xfId="1518"/>
    <cellStyle name="40% - Accent5 7 2" xfId="3748"/>
    <cellStyle name="40% - Accent5 7 2 2" xfId="7960"/>
    <cellStyle name="40% - Accent5 7 3" xfId="5815"/>
    <cellStyle name="40% - Accent5 8" xfId="1932"/>
    <cellStyle name="40% - Accent5 8 2" xfId="4161"/>
    <cellStyle name="40% - Accent5 8 2 2" xfId="8373"/>
    <cellStyle name="40% - Accent5 8 3" xfId="6228"/>
    <cellStyle name="40% - Accent5 9" xfId="2345"/>
    <cellStyle name="40% - Accent5 9 2" xfId="6641"/>
    <cellStyle name="40% - Accent6" xfId="89" builtinId="51" customBuiltin="1"/>
    <cellStyle name="40% - Accent6 10" xfId="4583"/>
    <cellStyle name="40% - Accent6 2" xfId="90"/>
    <cellStyle name="40% - Accent6 2 2" xfId="91"/>
    <cellStyle name="40% - Accent6 2 2 2" xfId="92"/>
    <cellStyle name="40% - Accent6 2 2 2 2" xfId="662"/>
    <cellStyle name="40% - Accent6 2 2 2 2 2" xfId="2933"/>
    <cellStyle name="40% - Accent6 2 2 2 2 2 2" xfId="7145"/>
    <cellStyle name="40% - Accent6 2 2 2 2 3" xfId="5000"/>
    <cellStyle name="40% - Accent6 2 2 2 3" xfId="1115"/>
    <cellStyle name="40% - Accent6 2 2 2 3 2" xfId="3346"/>
    <cellStyle name="40% - Accent6 2 2 2 3 2 2" xfId="7558"/>
    <cellStyle name="40% - Accent6 2 2 2 3 3" xfId="5413"/>
    <cellStyle name="40% - Accent6 2 2 2 4" xfId="1529"/>
    <cellStyle name="40% - Accent6 2 2 2 4 2" xfId="3759"/>
    <cellStyle name="40% - Accent6 2 2 2 4 2 2" xfId="7971"/>
    <cellStyle name="40% - Accent6 2 2 2 4 3" xfId="5826"/>
    <cellStyle name="40% - Accent6 2 2 2 5" xfId="1943"/>
    <cellStyle name="40% - Accent6 2 2 2 5 2" xfId="4172"/>
    <cellStyle name="40% - Accent6 2 2 2 5 2 2" xfId="8384"/>
    <cellStyle name="40% - Accent6 2 2 2 5 3" xfId="6239"/>
    <cellStyle name="40% - Accent6 2 2 2 6" xfId="2356"/>
    <cellStyle name="40% - Accent6 2 2 2 6 2" xfId="6652"/>
    <cellStyle name="40% - Accent6 2 2 2 7" xfId="4586"/>
    <cellStyle name="40% - Accent6 2 2 3" xfId="661"/>
    <cellStyle name="40% - Accent6 2 2 3 2" xfId="2932"/>
    <cellStyle name="40% - Accent6 2 2 3 2 2" xfId="7144"/>
    <cellStyle name="40% - Accent6 2 2 3 3" xfId="4999"/>
    <cellStyle name="40% - Accent6 2 2 4" xfId="1114"/>
    <cellStyle name="40% - Accent6 2 2 4 2" xfId="3345"/>
    <cellStyle name="40% - Accent6 2 2 4 2 2" xfId="7557"/>
    <cellStyle name="40% - Accent6 2 2 4 3" xfId="5412"/>
    <cellStyle name="40% - Accent6 2 2 5" xfId="1528"/>
    <cellStyle name="40% - Accent6 2 2 5 2" xfId="3758"/>
    <cellStyle name="40% - Accent6 2 2 5 2 2" xfId="7970"/>
    <cellStyle name="40% - Accent6 2 2 5 3" xfId="5825"/>
    <cellStyle name="40% - Accent6 2 2 6" xfId="1942"/>
    <cellStyle name="40% - Accent6 2 2 6 2" xfId="4171"/>
    <cellStyle name="40% - Accent6 2 2 6 2 2" xfId="8383"/>
    <cellStyle name="40% - Accent6 2 2 6 3" xfId="6238"/>
    <cellStyle name="40% - Accent6 2 2 7" xfId="2355"/>
    <cellStyle name="40% - Accent6 2 2 7 2" xfId="6651"/>
    <cellStyle name="40% - Accent6 2 2 8" xfId="4585"/>
    <cellStyle name="40% - Accent6 2 3" xfId="93"/>
    <cellStyle name="40% - Accent6 2 3 2" xfId="663"/>
    <cellStyle name="40% - Accent6 2 3 2 2" xfId="2934"/>
    <cellStyle name="40% - Accent6 2 3 2 2 2" xfId="7146"/>
    <cellStyle name="40% - Accent6 2 3 2 3" xfId="5001"/>
    <cellStyle name="40% - Accent6 2 3 3" xfId="1116"/>
    <cellStyle name="40% - Accent6 2 3 3 2" xfId="3347"/>
    <cellStyle name="40% - Accent6 2 3 3 2 2" xfId="7559"/>
    <cellStyle name="40% - Accent6 2 3 3 3" xfId="5414"/>
    <cellStyle name="40% - Accent6 2 3 4" xfId="1530"/>
    <cellStyle name="40% - Accent6 2 3 4 2" xfId="3760"/>
    <cellStyle name="40% - Accent6 2 3 4 2 2" xfId="7972"/>
    <cellStyle name="40% - Accent6 2 3 4 3" xfId="5827"/>
    <cellStyle name="40% - Accent6 2 3 5" xfId="1944"/>
    <cellStyle name="40% - Accent6 2 3 5 2" xfId="4173"/>
    <cellStyle name="40% - Accent6 2 3 5 2 2" xfId="8385"/>
    <cellStyle name="40% - Accent6 2 3 5 3" xfId="6240"/>
    <cellStyle name="40% - Accent6 2 3 6" xfId="2357"/>
    <cellStyle name="40% - Accent6 2 3 6 2" xfId="6653"/>
    <cellStyle name="40% - Accent6 2 3 7" xfId="4587"/>
    <cellStyle name="40% - Accent6 2 4" xfId="660"/>
    <cellStyle name="40% - Accent6 2 4 2" xfId="2931"/>
    <cellStyle name="40% - Accent6 2 4 2 2" xfId="7143"/>
    <cellStyle name="40% - Accent6 2 4 3" xfId="4998"/>
    <cellStyle name="40% - Accent6 2 5" xfId="1113"/>
    <cellStyle name="40% - Accent6 2 5 2" xfId="3344"/>
    <cellStyle name="40% - Accent6 2 5 2 2" xfId="7556"/>
    <cellStyle name="40% - Accent6 2 5 3" xfId="5411"/>
    <cellStyle name="40% - Accent6 2 6" xfId="1527"/>
    <cellStyle name="40% - Accent6 2 6 2" xfId="3757"/>
    <cellStyle name="40% - Accent6 2 6 2 2" xfId="7969"/>
    <cellStyle name="40% - Accent6 2 6 3" xfId="5824"/>
    <cellStyle name="40% - Accent6 2 7" xfId="1941"/>
    <cellStyle name="40% - Accent6 2 7 2" xfId="4170"/>
    <cellStyle name="40% - Accent6 2 7 2 2" xfId="8382"/>
    <cellStyle name="40% - Accent6 2 7 3" xfId="6237"/>
    <cellStyle name="40% - Accent6 2 8" xfId="2354"/>
    <cellStyle name="40% - Accent6 2 8 2" xfId="6650"/>
    <cellStyle name="40% - Accent6 2 9" xfId="4584"/>
    <cellStyle name="40% - Accent6 3" xfId="94"/>
    <cellStyle name="40% - Accent6 3 2" xfId="95"/>
    <cellStyle name="40% - Accent6 3 2 2" xfId="665"/>
    <cellStyle name="40% - Accent6 3 2 2 2" xfId="2936"/>
    <cellStyle name="40% - Accent6 3 2 2 2 2" xfId="7148"/>
    <cellStyle name="40% - Accent6 3 2 2 3" xfId="5003"/>
    <cellStyle name="40% - Accent6 3 2 3" xfId="1118"/>
    <cellStyle name="40% - Accent6 3 2 3 2" xfId="3349"/>
    <cellStyle name="40% - Accent6 3 2 3 2 2" xfId="7561"/>
    <cellStyle name="40% - Accent6 3 2 3 3" xfId="5416"/>
    <cellStyle name="40% - Accent6 3 2 4" xfId="1532"/>
    <cellStyle name="40% - Accent6 3 2 4 2" xfId="3762"/>
    <cellStyle name="40% - Accent6 3 2 4 2 2" xfId="7974"/>
    <cellStyle name="40% - Accent6 3 2 4 3" xfId="5829"/>
    <cellStyle name="40% - Accent6 3 2 5" xfId="1946"/>
    <cellStyle name="40% - Accent6 3 2 5 2" xfId="4175"/>
    <cellStyle name="40% - Accent6 3 2 5 2 2" xfId="8387"/>
    <cellStyle name="40% - Accent6 3 2 5 3" xfId="6242"/>
    <cellStyle name="40% - Accent6 3 2 6" xfId="2359"/>
    <cellStyle name="40% - Accent6 3 2 6 2" xfId="6655"/>
    <cellStyle name="40% - Accent6 3 2 7" xfId="4589"/>
    <cellStyle name="40% - Accent6 3 3" xfId="664"/>
    <cellStyle name="40% - Accent6 3 3 2" xfId="2935"/>
    <cellStyle name="40% - Accent6 3 3 2 2" xfId="7147"/>
    <cellStyle name="40% - Accent6 3 3 3" xfId="5002"/>
    <cellStyle name="40% - Accent6 3 4" xfId="1117"/>
    <cellStyle name="40% - Accent6 3 4 2" xfId="3348"/>
    <cellStyle name="40% - Accent6 3 4 2 2" xfId="7560"/>
    <cellStyle name="40% - Accent6 3 4 3" xfId="5415"/>
    <cellStyle name="40% - Accent6 3 5" xfId="1531"/>
    <cellStyle name="40% - Accent6 3 5 2" xfId="3761"/>
    <cellStyle name="40% - Accent6 3 5 2 2" xfId="7973"/>
    <cellStyle name="40% - Accent6 3 5 3" xfId="5828"/>
    <cellStyle name="40% - Accent6 3 6" xfId="1945"/>
    <cellStyle name="40% - Accent6 3 6 2" xfId="4174"/>
    <cellStyle name="40% - Accent6 3 6 2 2" xfId="8386"/>
    <cellStyle name="40% - Accent6 3 6 3" xfId="6241"/>
    <cellStyle name="40% - Accent6 3 7" xfId="2358"/>
    <cellStyle name="40% - Accent6 3 7 2" xfId="6654"/>
    <cellStyle name="40% - Accent6 3 8" xfId="4588"/>
    <cellStyle name="40% - Accent6 4" xfId="96"/>
    <cellStyle name="40% - Accent6 4 2" xfId="666"/>
    <cellStyle name="40% - Accent6 4 2 2" xfId="2937"/>
    <cellStyle name="40% - Accent6 4 2 2 2" xfId="7149"/>
    <cellStyle name="40% - Accent6 4 2 3" xfId="5004"/>
    <cellStyle name="40% - Accent6 4 3" xfId="1119"/>
    <cellStyle name="40% - Accent6 4 3 2" xfId="3350"/>
    <cellStyle name="40% - Accent6 4 3 2 2" xfId="7562"/>
    <cellStyle name="40% - Accent6 4 3 3" xfId="5417"/>
    <cellStyle name="40% - Accent6 4 4" xfId="1533"/>
    <cellStyle name="40% - Accent6 4 4 2" xfId="3763"/>
    <cellStyle name="40% - Accent6 4 4 2 2" xfId="7975"/>
    <cellStyle name="40% - Accent6 4 4 3" xfId="5830"/>
    <cellStyle name="40% - Accent6 4 5" xfId="1947"/>
    <cellStyle name="40% - Accent6 4 5 2" xfId="4176"/>
    <cellStyle name="40% - Accent6 4 5 2 2" xfId="8388"/>
    <cellStyle name="40% - Accent6 4 5 3" xfId="6243"/>
    <cellStyle name="40% - Accent6 4 6" xfId="2360"/>
    <cellStyle name="40% - Accent6 4 6 2" xfId="6656"/>
    <cellStyle name="40% - Accent6 4 7" xfId="4590"/>
    <cellStyle name="40% - Accent6 5" xfId="659"/>
    <cellStyle name="40% - Accent6 5 2" xfId="2930"/>
    <cellStyle name="40% - Accent6 5 2 2" xfId="7142"/>
    <cellStyle name="40% - Accent6 5 3" xfId="4997"/>
    <cellStyle name="40% - Accent6 6" xfId="1112"/>
    <cellStyle name="40% - Accent6 6 2" xfId="3343"/>
    <cellStyle name="40% - Accent6 6 2 2" xfId="7555"/>
    <cellStyle name="40% - Accent6 6 3" xfId="5410"/>
    <cellStyle name="40% - Accent6 7" xfId="1526"/>
    <cellStyle name="40% - Accent6 7 2" xfId="3756"/>
    <cellStyle name="40% - Accent6 7 2 2" xfId="7968"/>
    <cellStyle name="40% - Accent6 7 3" xfId="5823"/>
    <cellStyle name="40% - Accent6 8" xfId="1940"/>
    <cellStyle name="40% - Accent6 8 2" xfId="4169"/>
    <cellStyle name="40% - Accent6 8 2 2" xfId="8381"/>
    <cellStyle name="40% - Accent6 8 3" xfId="6236"/>
    <cellStyle name="40% - Accent6 9" xfId="2353"/>
    <cellStyle name="40% - Accent6 9 2" xfId="664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74"/>
    <cellStyle name="Comma 4 2 2 2 11" xfId="4591"/>
    <cellStyle name="Comma 4 2 2 2 2" xfId="129"/>
    <cellStyle name="Comma 4 2 2 2 2 10" xfId="4592"/>
    <cellStyle name="Comma 4 2 2 2 2 2" xfId="130"/>
    <cellStyle name="Comma 4 2 2 2 2 2 2" xfId="669"/>
    <cellStyle name="Comma 4 2 2 2 2 2 2 2" xfId="2940"/>
    <cellStyle name="Comma 4 2 2 2 2 2 2 2 2" xfId="7152"/>
    <cellStyle name="Comma 4 2 2 2 2 2 2 3" xfId="5007"/>
    <cellStyle name="Comma 4 2 2 2 2 2 3" xfId="1122"/>
    <cellStyle name="Comma 4 2 2 2 2 2 3 2" xfId="3353"/>
    <cellStyle name="Comma 4 2 2 2 2 2 3 2 2" xfId="7565"/>
    <cellStyle name="Comma 4 2 2 2 2 2 3 3" xfId="5420"/>
    <cellStyle name="Comma 4 2 2 2 2 2 4" xfId="1536"/>
    <cellStyle name="Comma 4 2 2 2 2 2 4 2" xfId="3766"/>
    <cellStyle name="Comma 4 2 2 2 2 2 4 2 2" xfId="7978"/>
    <cellStyle name="Comma 4 2 2 2 2 2 4 3" xfId="5833"/>
    <cellStyle name="Comma 4 2 2 2 2 2 5" xfId="1950"/>
    <cellStyle name="Comma 4 2 2 2 2 2 5 2" xfId="4179"/>
    <cellStyle name="Comma 4 2 2 2 2 2 5 2 2" xfId="8391"/>
    <cellStyle name="Comma 4 2 2 2 2 2 5 3" xfId="6246"/>
    <cellStyle name="Comma 4 2 2 2 2 2 6" xfId="2385"/>
    <cellStyle name="Comma 4 2 2 2 2 2 6 2" xfId="6659"/>
    <cellStyle name="Comma 4 2 2 2 2 2 7" xfId="2380"/>
    <cellStyle name="Comma 4 2 2 2 2 2 8" xfId="2763"/>
    <cellStyle name="Comma 4 2 2 2 2 2 8 2" xfId="6976"/>
    <cellStyle name="Comma 4 2 2 2 2 2 9" xfId="4593"/>
    <cellStyle name="Comma 4 2 2 2 2 3" xfId="668"/>
    <cellStyle name="Comma 4 2 2 2 2 3 2" xfId="2939"/>
    <cellStyle name="Comma 4 2 2 2 2 3 2 2" xfId="7151"/>
    <cellStyle name="Comma 4 2 2 2 2 3 3" xfId="5006"/>
    <cellStyle name="Comma 4 2 2 2 2 4" xfId="1121"/>
    <cellStyle name="Comma 4 2 2 2 2 4 2" xfId="3352"/>
    <cellStyle name="Comma 4 2 2 2 2 4 2 2" xfId="7564"/>
    <cellStyle name="Comma 4 2 2 2 2 4 3" xfId="5419"/>
    <cellStyle name="Comma 4 2 2 2 2 5" xfId="1535"/>
    <cellStyle name="Comma 4 2 2 2 2 5 2" xfId="3765"/>
    <cellStyle name="Comma 4 2 2 2 2 5 2 2" xfId="7977"/>
    <cellStyle name="Comma 4 2 2 2 2 5 3" xfId="5832"/>
    <cellStyle name="Comma 4 2 2 2 2 6" xfId="1949"/>
    <cellStyle name="Comma 4 2 2 2 2 6 2" xfId="4178"/>
    <cellStyle name="Comma 4 2 2 2 2 6 2 2" xfId="8390"/>
    <cellStyle name="Comma 4 2 2 2 2 6 3" xfId="6245"/>
    <cellStyle name="Comma 4 2 2 2 2 7" xfId="2384"/>
    <cellStyle name="Comma 4 2 2 2 2 7 2" xfId="6658"/>
    <cellStyle name="Comma 4 2 2 2 2 8" xfId="2381"/>
    <cellStyle name="Comma 4 2 2 2 2 9" xfId="2762"/>
    <cellStyle name="Comma 4 2 2 2 2 9 2" xfId="6975"/>
    <cellStyle name="Comma 4 2 2 2 3" xfId="131"/>
    <cellStyle name="Comma 4 2 2 2 3 2" xfId="670"/>
    <cellStyle name="Comma 4 2 2 2 3 2 2" xfId="2941"/>
    <cellStyle name="Comma 4 2 2 2 3 2 2 2" xfId="7153"/>
    <cellStyle name="Comma 4 2 2 2 3 2 3" xfId="5008"/>
    <cellStyle name="Comma 4 2 2 2 3 3" xfId="1123"/>
    <cellStyle name="Comma 4 2 2 2 3 3 2" xfId="3354"/>
    <cellStyle name="Comma 4 2 2 2 3 3 2 2" xfId="7566"/>
    <cellStyle name="Comma 4 2 2 2 3 3 3" xfId="5421"/>
    <cellStyle name="Comma 4 2 2 2 3 4" xfId="1537"/>
    <cellStyle name="Comma 4 2 2 2 3 4 2" xfId="3767"/>
    <cellStyle name="Comma 4 2 2 2 3 4 2 2" xfId="7979"/>
    <cellStyle name="Comma 4 2 2 2 3 4 3" xfId="5834"/>
    <cellStyle name="Comma 4 2 2 2 3 5" xfId="1951"/>
    <cellStyle name="Comma 4 2 2 2 3 5 2" xfId="4180"/>
    <cellStyle name="Comma 4 2 2 2 3 5 2 2" xfId="8392"/>
    <cellStyle name="Comma 4 2 2 2 3 5 3" xfId="6247"/>
    <cellStyle name="Comma 4 2 2 2 3 6" xfId="2386"/>
    <cellStyle name="Comma 4 2 2 2 3 6 2" xfId="6660"/>
    <cellStyle name="Comma 4 2 2 2 3 7" xfId="2379"/>
    <cellStyle name="Comma 4 2 2 2 3 8" xfId="2764"/>
    <cellStyle name="Comma 4 2 2 2 3 8 2" xfId="6977"/>
    <cellStyle name="Comma 4 2 2 2 3 9" xfId="4594"/>
    <cellStyle name="Comma 4 2 2 2 4" xfId="667"/>
    <cellStyle name="Comma 4 2 2 2 4 2" xfId="2938"/>
    <cellStyle name="Comma 4 2 2 2 4 2 2" xfId="7150"/>
    <cellStyle name="Comma 4 2 2 2 4 3" xfId="5005"/>
    <cellStyle name="Comma 4 2 2 2 5" xfId="1120"/>
    <cellStyle name="Comma 4 2 2 2 5 2" xfId="3351"/>
    <cellStyle name="Comma 4 2 2 2 5 2 2" xfId="7563"/>
    <cellStyle name="Comma 4 2 2 2 5 3" xfId="5418"/>
    <cellStyle name="Comma 4 2 2 2 6" xfId="1534"/>
    <cellStyle name="Comma 4 2 2 2 6 2" xfId="3764"/>
    <cellStyle name="Comma 4 2 2 2 6 2 2" xfId="7976"/>
    <cellStyle name="Comma 4 2 2 2 6 3" xfId="5831"/>
    <cellStyle name="Comma 4 2 2 2 7" xfId="1948"/>
    <cellStyle name="Comma 4 2 2 2 7 2" xfId="4177"/>
    <cellStyle name="Comma 4 2 2 2 7 2 2" xfId="8389"/>
    <cellStyle name="Comma 4 2 2 2 7 3" xfId="6244"/>
    <cellStyle name="Comma 4 2 2 2 8" xfId="2383"/>
    <cellStyle name="Comma 4 2 2 2 8 2" xfId="6657"/>
    <cellStyle name="Comma 4 2 2 2 9" xfId="2382"/>
    <cellStyle name="Comma 4 2 2 3" xfId="132"/>
    <cellStyle name="Comma 4 2 2 3 10" xfId="4595"/>
    <cellStyle name="Comma 4 2 2 3 2" xfId="133"/>
    <cellStyle name="Comma 4 2 2 3 2 2" xfId="672"/>
    <cellStyle name="Comma 4 2 2 3 2 2 2" xfId="2943"/>
    <cellStyle name="Comma 4 2 2 3 2 2 2 2" xfId="7155"/>
    <cellStyle name="Comma 4 2 2 3 2 2 3" xfId="5010"/>
    <cellStyle name="Comma 4 2 2 3 2 3" xfId="1125"/>
    <cellStyle name="Comma 4 2 2 3 2 3 2" xfId="3356"/>
    <cellStyle name="Comma 4 2 2 3 2 3 2 2" xfId="7568"/>
    <cellStyle name="Comma 4 2 2 3 2 3 3" xfId="5423"/>
    <cellStyle name="Comma 4 2 2 3 2 4" xfId="1539"/>
    <cellStyle name="Comma 4 2 2 3 2 4 2" xfId="3769"/>
    <cellStyle name="Comma 4 2 2 3 2 4 2 2" xfId="7981"/>
    <cellStyle name="Comma 4 2 2 3 2 4 3" xfId="5836"/>
    <cellStyle name="Comma 4 2 2 3 2 5" xfId="1953"/>
    <cellStyle name="Comma 4 2 2 3 2 5 2" xfId="4182"/>
    <cellStyle name="Comma 4 2 2 3 2 5 2 2" xfId="8394"/>
    <cellStyle name="Comma 4 2 2 3 2 5 3" xfId="6249"/>
    <cellStyle name="Comma 4 2 2 3 2 6" xfId="2388"/>
    <cellStyle name="Comma 4 2 2 3 2 6 2" xfId="6662"/>
    <cellStyle name="Comma 4 2 2 3 2 7" xfId="2377"/>
    <cellStyle name="Comma 4 2 2 3 2 8" xfId="2766"/>
    <cellStyle name="Comma 4 2 2 3 2 8 2" xfId="6979"/>
    <cellStyle name="Comma 4 2 2 3 2 9" xfId="4596"/>
    <cellStyle name="Comma 4 2 2 3 3" xfId="671"/>
    <cellStyle name="Comma 4 2 2 3 3 2" xfId="2942"/>
    <cellStyle name="Comma 4 2 2 3 3 2 2" xfId="7154"/>
    <cellStyle name="Comma 4 2 2 3 3 3" xfId="5009"/>
    <cellStyle name="Comma 4 2 2 3 4" xfId="1124"/>
    <cellStyle name="Comma 4 2 2 3 4 2" xfId="3355"/>
    <cellStyle name="Comma 4 2 2 3 4 2 2" xfId="7567"/>
    <cellStyle name="Comma 4 2 2 3 4 3" xfId="5422"/>
    <cellStyle name="Comma 4 2 2 3 5" xfId="1538"/>
    <cellStyle name="Comma 4 2 2 3 5 2" xfId="3768"/>
    <cellStyle name="Comma 4 2 2 3 5 2 2" xfId="7980"/>
    <cellStyle name="Comma 4 2 2 3 5 3" xfId="5835"/>
    <cellStyle name="Comma 4 2 2 3 6" xfId="1952"/>
    <cellStyle name="Comma 4 2 2 3 6 2" xfId="4181"/>
    <cellStyle name="Comma 4 2 2 3 6 2 2" xfId="8393"/>
    <cellStyle name="Comma 4 2 2 3 6 3" xfId="6248"/>
    <cellStyle name="Comma 4 2 2 3 7" xfId="2387"/>
    <cellStyle name="Comma 4 2 2 3 7 2" xfId="6661"/>
    <cellStyle name="Comma 4 2 2 3 8" xfId="2378"/>
    <cellStyle name="Comma 4 2 2 3 9" xfId="2765"/>
    <cellStyle name="Comma 4 2 2 3 9 2" xfId="6978"/>
    <cellStyle name="Comma 4 2 2 4" xfId="134"/>
    <cellStyle name="Comma 4 2 2 4 2" xfId="673"/>
    <cellStyle name="Comma 4 2 2 4 2 2" xfId="2944"/>
    <cellStyle name="Comma 4 2 2 4 2 2 2" xfId="7156"/>
    <cellStyle name="Comma 4 2 2 4 2 3" xfId="5011"/>
    <cellStyle name="Comma 4 2 2 4 3" xfId="1126"/>
    <cellStyle name="Comma 4 2 2 4 3 2" xfId="3357"/>
    <cellStyle name="Comma 4 2 2 4 3 2 2" xfId="7569"/>
    <cellStyle name="Comma 4 2 2 4 3 3" xfId="5424"/>
    <cellStyle name="Comma 4 2 2 4 4" xfId="1540"/>
    <cellStyle name="Comma 4 2 2 4 4 2" xfId="3770"/>
    <cellStyle name="Comma 4 2 2 4 4 2 2" xfId="7982"/>
    <cellStyle name="Comma 4 2 2 4 4 3" xfId="5837"/>
    <cellStyle name="Comma 4 2 2 4 5" xfId="1954"/>
    <cellStyle name="Comma 4 2 2 4 5 2" xfId="4183"/>
    <cellStyle name="Comma 4 2 2 4 5 2 2" xfId="8395"/>
    <cellStyle name="Comma 4 2 2 4 5 3" xfId="6250"/>
    <cellStyle name="Comma 4 2 2 4 6" xfId="2389"/>
    <cellStyle name="Comma 4 2 2 4 6 2" xfId="6663"/>
    <cellStyle name="Comma 4 2 2 4 7" xfId="2376"/>
    <cellStyle name="Comma 4 2 2 4 8" xfId="2767"/>
    <cellStyle name="Comma 4 2 2 4 8 2" xfId="6980"/>
    <cellStyle name="Comma 4 2 2 4 9" xfId="4597"/>
    <cellStyle name="Comma 4 2 2 5" xfId="135"/>
    <cellStyle name="Comma 4 2 2 5 2" xfId="674"/>
    <cellStyle name="Comma 4 2 2 5 2 2" xfId="2945"/>
    <cellStyle name="Comma 4 2 2 5 2 2 2" xfId="7157"/>
    <cellStyle name="Comma 4 2 2 5 2 3" xfId="5012"/>
    <cellStyle name="Comma 4 2 2 5 3" xfId="1127"/>
    <cellStyle name="Comma 4 2 2 5 3 2" xfId="3358"/>
    <cellStyle name="Comma 4 2 2 5 3 2 2" xfId="7570"/>
    <cellStyle name="Comma 4 2 2 5 3 3" xfId="5425"/>
    <cellStyle name="Comma 4 2 2 5 4" xfId="1541"/>
    <cellStyle name="Comma 4 2 2 5 4 2" xfId="3771"/>
    <cellStyle name="Comma 4 2 2 5 4 2 2" xfId="7983"/>
    <cellStyle name="Comma 4 2 2 5 4 3" xfId="5838"/>
    <cellStyle name="Comma 4 2 2 5 5" xfId="1955"/>
    <cellStyle name="Comma 4 2 2 5 5 2" xfId="4184"/>
    <cellStyle name="Comma 4 2 2 5 5 2 2" xfId="8396"/>
    <cellStyle name="Comma 4 2 2 5 5 3" xfId="6251"/>
    <cellStyle name="Comma 4 2 2 5 6" xfId="2390"/>
    <cellStyle name="Comma 4 2 2 5 6 2" xfId="6664"/>
    <cellStyle name="Comma 4 2 2 5 7" xfId="2375"/>
    <cellStyle name="Comma 4 2 2 5 8" xfId="2768"/>
    <cellStyle name="Comma 4 2 2 5 8 2" xfId="6981"/>
    <cellStyle name="Comma 4 2 2 5 9" xfId="4598"/>
    <cellStyle name="Comma 4 2 3" xfId="136"/>
    <cellStyle name="Comma 4 2 3 10" xfId="2769"/>
    <cellStyle name="Comma 4 2 3 10 2" xfId="6982"/>
    <cellStyle name="Comma 4 2 3 11" xfId="4599"/>
    <cellStyle name="Comma 4 2 3 2" xfId="137"/>
    <cellStyle name="Comma 4 2 3 2 10" xfId="4600"/>
    <cellStyle name="Comma 4 2 3 2 2" xfId="138"/>
    <cellStyle name="Comma 4 2 3 2 2 2" xfId="677"/>
    <cellStyle name="Comma 4 2 3 2 2 2 2" xfId="2948"/>
    <cellStyle name="Comma 4 2 3 2 2 2 2 2" xfId="7160"/>
    <cellStyle name="Comma 4 2 3 2 2 2 3" xfId="5015"/>
    <cellStyle name="Comma 4 2 3 2 2 3" xfId="1130"/>
    <cellStyle name="Comma 4 2 3 2 2 3 2" xfId="3361"/>
    <cellStyle name="Comma 4 2 3 2 2 3 2 2" xfId="7573"/>
    <cellStyle name="Comma 4 2 3 2 2 3 3" xfId="5428"/>
    <cellStyle name="Comma 4 2 3 2 2 4" xfId="1544"/>
    <cellStyle name="Comma 4 2 3 2 2 4 2" xfId="3774"/>
    <cellStyle name="Comma 4 2 3 2 2 4 2 2" xfId="7986"/>
    <cellStyle name="Comma 4 2 3 2 2 4 3" xfId="5841"/>
    <cellStyle name="Comma 4 2 3 2 2 5" xfId="1958"/>
    <cellStyle name="Comma 4 2 3 2 2 5 2" xfId="4187"/>
    <cellStyle name="Comma 4 2 3 2 2 5 2 2" xfId="8399"/>
    <cellStyle name="Comma 4 2 3 2 2 5 3" xfId="6254"/>
    <cellStyle name="Comma 4 2 3 2 2 6" xfId="2393"/>
    <cellStyle name="Comma 4 2 3 2 2 6 2" xfId="6667"/>
    <cellStyle name="Comma 4 2 3 2 2 7" xfId="2372"/>
    <cellStyle name="Comma 4 2 3 2 2 8" xfId="2771"/>
    <cellStyle name="Comma 4 2 3 2 2 8 2" xfId="6984"/>
    <cellStyle name="Comma 4 2 3 2 2 9" xfId="4601"/>
    <cellStyle name="Comma 4 2 3 2 3" xfId="676"/>
    <cellStyle name="Comma 4 2 3 2 3 2" xfId="2947"/>
    <cellStyle name="Comma 4 2 3 2 3 2 2" xfId="7159"/>
    <cellStyle name="Comma 4 2 3 2 3 3" xfId="5014"/>
    <cellStyle name="Comma 4 2 3 2 4" xfId="1129"/>
    <cellStyle name="Comma 4 2 3 2 4 2" xfId="3360"/>
    <cellStyle name="Comma 4 2 3 2 4 2 2" xfId="7572"/>
    <cellStyle name="Comma 4 2 3 2 4 3" xfId="5427"/>
    <cellStyle name="Comma 4 2 3 2 5" xfId="1543"/>
    <cellStyle name="Comma 4 2 3 2 5 2" xfId="3773"/>
    <cellStyle name="Comma 4 2 3 2 5 2 2" xfId="7985"/>
    <cellStyle name="Comma 4 2 3 2 5 3" xfId="5840"/>
    <cellStyle name="Comma 4 2 3 2 6" xfId="1957"/>
    <cellStyle name="Comma 4 2 3 2 6 2" xfId="4186"/>
    <cellStyle name="Comma 4 2 3 2 6 2 2" xfId="8398"/>
    <cellStyle name="Comma 4 2 3 2 6 3" xfId="6253"/>
    <cellStyle name="Comma 4 2 3 2 7" xfId="2392"/>
    <cellStyle name="Comma 4 2 3 2 7 2" xfId="6666"/>
    <cellStyle name="Comma 4 2 3 2 8" xfId="2373"/>
    <cellStyle name="Comma 4 2 3 2 9" xfId="2770"/>
    <cellStyle name="Comma 4 2 3 2 9 2" xfId="6983"/>
    <cellStyle name="Comma 4 2 3 3" xfId="139"/>
    <cellStyle name="Comma 4 2 3 3 2" xfId="678"/>
    <cellStyle name="Comma 4 2 3 3 2 2" xfId="2949"/>
    <cellStyle name="Comma 4 2 3 3 2 2 2" xfId="7161"/>
    <cellStyle name="Comma 4 2 3 3 2 3" xfId="5016"/>
    <cellStyle name="Comma 4 2 3 3 3" xfId="1131"/>
    <cellStyle name="Comma 4 2 3 3 3 2" xfId="3362"/>
    <cellStyle name="Comma 4 2 3 3 3 2 2" xfId="7574"/>
    <cellStyle name="Comma 4 2 3 3 3 3" xfId="5429"/>
    <cellStyle name="Comma 4 2 3 3 4" xfId="1545"/>
    <cellStyle name="Comma 4 2 3 3 4 2" xfId="3775"/>
    <cellStyle name="Comma 4 2 3 3 4 2 2" xfId="7987"/>
    <cellStyle name="Comma 4 2 3 3 4 3" xfId="5842"/>
    <cellStyle name="Comma 4 2 3 3 5" xfId="1959"/>
    <cellStyle name="Comma 4 2 3 3 5 2" xfId="4188"/>
    <cellStyle name="Comma 4 2 3 3 5 2 2" xfId="8400"/>
    <cellStyle name="Comma 4 2 3 3 5 3" xfId="6255"/>
    <cellStyle name="Comma 4 2 3 3 6" xfId="2394"/>
    <cellStyle name="Comma 4 2 3 3 6 2" xfId="6668"/>
    <cellStyle name="Comma 4 2 3 3 7" xfId="2371"/>
    <cellStyle name="Comma 4 2 3 3 8" xfId="2772"/>
    <cellStyle name="Comma 4 2 3 3 8 2" xfId="6985"/>
    <cellStyle name="Comma 4 2 3 3 9" xfId="4602"/>
    <cellStyle name="Comma 4 2 3 4" xfId="675"/>
    <cellStyle name="Comma 4 2 3 4 2" xfId="2946"/>
    <cellStyle name="Comma 4 2 3 4 2 2" xfId="7158"/>
    <cellStyle name="Comma 4 2 3 4 3" xfId="5013"/>
    <cellStyle name="Comma 4 2 3 5" xfId="1128"/>
    <cellStyle name="Comma 4 2 3 5 2" xfId="3359"/>
    <cellStyle name="Comma 4 2 3 5 2 2" xfId="7571"/>
    <cellStyle name="Comma 4 2 3 5 3" xfId="5426"/>
    <cellStyle name="Comma 4 2 3 6" xfId="1542"/>
    <cellStyle name="Comma 4 2 3 6 2" xfId="3772"/>
    <cellStyle name="Comma 4 2 3 6 2 2" xfId="7984"/>
    <cellStyle name="Comma 4 2 3 6 3" xfId="5839"/>
    <cellStyle name="Comma 4 2 3 7" xfId="1956"/>
    <cellStyle name="Comma 4 2 3 7 2" xfId="4185"/>
    <cellStyle name="Comma 4 2 3 7 2 2" xfId="8397"/>
    <cellStyle name="Comma 4 2 3 7 3" xfId="6252"/>
    <cellStyle name="Comma 4 2 3 8" xfId="2391"/>
    <cellStyle name="Comma 4 2 3 8 2" xfId="6665"/>
    <cellStyle name="Comma 4 2 3 9" xfId="2374"/>
    <cellStyle name="Comma 4 2 4" xfId="140"/>
    <cellStyle name="Comma 4 2 4 10" xfId="4603"/>
    <cellStyle name="Comma 4 2 4 2" xfId="141"/>
    <cellStyle name="Comma 4 2 4 2 2" xfId="680"/>
    <cellStyle name="Comma 4 2 4 2 2 2" xfId="2951"/>
    <cellStyle name="Comma 4 2 4 2 2 2 2" xfId="7163"/>
    <cellStyle name="Comma 4 2 4 2 2 3" xfId="5018"/>
    <cellStyle name="Comma 4 2 4 2 3" xfId="1133"/>
    <cellStyle name="Comma 4 2 4 2 3 2" xfId="3364"/>
    <cellStyle name="Comma 4 2 4 2 3 2 2" xfId="7576"/>
    <cellStyle name="Comma 4 2 4 2 3 3" xfId="5431"/>
    <cellStyle name="Comma 4 2 4 2 4" xfId="1547"/>
    <cellStyle name="Comma 4 2 4 2 4 2" xfId="3777"/>
    <cellStyle name="Comma 4 2 4 2 4 2 2" xfId="7989"/>
    <cellStyle name="Comma 4 2 4 2 4 3" xfId="5844"/>
    <cellStyle name="Comma 4 2 4 2 5" xfId="1961"/>
    <cellStyle name="Comma 4 2 4 2 5 2" xfId="4190"/>
    <cellStyle name="Comma 4 2 4 2 5 2 2" xfId="8402"/>
    <cellStyle name="Comma 4 2 4 2 5 3" xfId="6257"/>
    <cellStyle name="Comma 4 2 4 2 6" xfId="2396"/>
    <cellStyle name="Comma 4 2 4 2 6 2" xfId="6670"/>
    <cellStyle name="Comma 4 2 4 2 7" xfId="2369"/>
    <cellStyle name="Comma 4 2 4 2 8" xfId="2774"/>
    <cellStyle name="Comma 4 2 4 2 8 2" xfId="6987"/>
    <cellStyle name="Comma 4 2 4 2 9" xfId="4604"/>
    <cellStyle name="Comma 4 2 4 3" xfId="679"/>
    <cellStyle name="Comma 4 2 4 3 2" xfId="2950"/>
    <cellStyle name="Comma 4 2 4 3 2 2" xfId="7162"/>
    <cellStyle name="Comma 4 2 4 3 3" xfId="5017"/>
    <cellStyle name="Comma 4 2 4 4" xfId="1132"/>
    <cellStyle name="Comma 4 2 4 4 2" xfId="3363"/>
    <cellStyle name="Comma 4 2 4 4 2 2" xfId="7575"/>
    <cellStyle name="Comma 4 2 4 4 3" xfId="5430"/>
    <cellStyle name="Comma 4 2 4 5" xfId="1546"/>
    <cellStyle name="Comma 4 2 4 5 2" xfId="3776"/>
    <cellStyle name="Comma 4 2 4 5 2 2" xfId="7988"/>
    <cellStyle name="Comma 4 2 4 5 3" xfId="5843"/>
    <cellStyle name="Comma 4 2 4 6" xfId="1960"/>
    <cellStyle name="Comma 4 2 4 6 2" xfId="4189"/>
    <cellStyle name="Comma 4 2 4 6 2 2" xfId="8401"/>
    <cellStyle name="Comma 4 2 4 6 3" xfId="6256"/>
    <cellStyle name="Comma 4 2 4 7" xfId="2395"/>
    <cellStyle name="Comma 4 2 4 7 2" xfId="6669"/>
    <cellStyle name="Comma 4 2 4 8" xfId="2370"/>
    <cellStyle name="Comma 4 2 4 9" xfId="2773"/>
    <cellStyle name="Comma 4 2 4 9 2" xfId="6986"/>
    <cellStyle name="Comma 4 2 5" xfId="142"/>
    <cellStyle name="Comma 4 2 5 2" xfId="681"/>
    <cellStyle name="Comma 4 2 5 2 2" xfId="2952"/>
    <cellStyle name="Comma 4 2 5 2 2 2" xfId="7164"/>
    <cellStyle name="Comma 4 2 5 2 3" xfId="5019"/>
    <cellStyle name="Comma 4 2 5 3" xfId="1134"/>
    <cellStyle name="Comma 4 2 5 3 2" xfId="3365"/>
    <cellStyle name="Comma 4 2 5 3 2 2" xfId="7577"/>
    <cellStyle name="Comma 4 2 5 3 3" xfId="5432"/>
    <cellStyle name="Comma 4 2 5 4" xfId="1548"/>
    <cellStyle name="Comma 4 2 5 4 2" xfId="3778"/>
    <cellStyle name="Comma 4 2 5 4 2 2" xfId="7990"/>
    <cellStyle name="Comma 4 2 5 4 3" xfId="5845"/>
    <cellStyle name="Comma 4 2 5 5" xfId="1962"/>
    <cellStyle name="Comma 4 2 5 5 2" xfId="4191"/>
    <cellStyle name="Comma 4 2 5 5 2 2" xfId="8403"/>
    <cellStyle name="Comma 4 2 5 5 3" xfId="6258"/>
    <cellStyle name="Comma 4 2 5 6" xfId="2397"/>
    <cellStyle name="Comma 4 2 5 6 2" xfId="6671"/>
    <cellStyle name="Comma 4 2 5 7" xfId="2368"/>
    <cellStyle name="Comma 4 2 5 8" xfId="2775"/>
    <cellStyle name="Comma 4 2 5 8 2" xfId="6988"/>
    <cellStyle name="Comma 4 2 5 9" xfId="4605"/>
    <cellStyle name="Comma 4 2 6" xfId="143"/>
    <cellStyle name="Comma 4 2 6 2" xfId="682"/>
    <cellStyle name="Comma 4 2 6 2 2" xfId="2953"/>
    <cellStyle name="Comma 4 2 6 2 2 2" xfId="7165"/>
    <cellStyle name="Comma 4 2 6 2 3" xfId="5020"/>
    <cellStyle name="Comma 4 2 6 3" xfId="1135"/>
    <cellStyle name="Comma 4 2 6 3 2" xfId="3366"/>
    <cellStyle name="Comma 4 2 6 3 2 2" xfId="7578"/>
    <cellStyle name="Comma 4 2 6 3 3" xfId="5433"/>
    <cellStyle name="Comma 4 2 6 4" xfId="1549"/>
    <cellStyle name="Comma 4 2 6 4 2" xfId="3779"/>
    <cellStyle name="Comma 4 2 6 4 2 2" xfId="7991"/>
    <cellStyle name="Comma 4 2 6 4 3" xfId="5846"/>
    <cellStyle name="Comma 4 2 6 5" xfId="1963"/>
    <cellStyle name="Comma 4 2 6 5 2" xfId="4192"/>
    <cellStyle name="Comma 4 2 6 5 2 2" xfId="8404"/>
    <cellStyle name="Comma 4 2 6 5 3" xfId="6259"/>
    <cellStyle name="Comma 4 2 6 6" xfId="2398"/>
    <cellStyle name="Comma 4 2 6 6 2" xfId="6672"/>
    <cellStyle name="Comma 4 2 6 7" xfId="2367"/>
    <cellStyle name="Comma 4 2 6 8" xfId="2776"/>
    <cellStyle name="Comma 4 2 6 8 2" xfId="6989"/>
    <cellStyle name="Comma 4 2 6 9" xfId="4606"/>
    <cellStyle name="Comma 4 3" xfId="144"/>
    <cellStyle name="Comma 4 3 2" xfId="145"/>
    <cellStyle name="Comma 4 3 2 10" xfId="2777"/>
    <cellStyle name="Comma 4 3 2 10 2" xfId="6990"/>
    <cellStyle name="Comma 4 3 2 11" xfId="4607"/>
    <cellStyle name="Comma 4 3 2 2" xfId="146"/>
    <cellStyle name="Comma 4 3 2 2 10" xfId="4608"/>
    <cellStyle name="Comma 4 3 2 2 2" xfId="147"/>
    <cellStyle name="Comma 4 3 2 2 2 2" xfId="685"/>
    <cellStyle name="Comma 4 3 2 2 2 2 2" xfId="2956"/>
    <cellStyle name="Comma 4 3 2 2 2 2 2 2" xfId="7168"/>
    <cellStyle name="Comma 4 3 2 2 2 2 3" xfId="5023"/>
    <cellStyle name="Comma 4 3 2 2 2 3" xfId="1138"/>
    <cellStyle name="Comma 4 3 2 2 2 3 2" xfId="3369"/>
    <cellStyle name="Comma 4 3 2 2 2 3 2 2" xfId="7581"/>
    <cellStyle name="Comma 4 3 2 2 2 3 3" xfId="5436"/>
    <cellStyle name="Comma 4 3 2 2 2 4" xfId="1552"/>
    <cellStyle name="Comma 4 3 2 2 2 4 2" xfId="3782"/>
    <cellStyle name="Comma 4 3 2 2 2 4 2 2" xfId="7994"/>
    <cellStyle name="Comma 4 3 2 2 2 4 3" xfId="5849"/>
    <cellStyle name="Comma 4 3 2 2 2 5" xfId="1966"/>
    <cellStyle name="Comma 4 3 2 2 2 5 2" xfId="4195"/>
    <cellStyle name="Comma 4 3 2 2 2 5 2 2" xfId="8407"/>
    <cellStyle name="Comma 4 3 2 2 2 5 3" xfId="6262"/>
    <cellStyle name="Comma 4 3 2 2 2 6" xfId="2401"/>
    <cellStyle name="Comma 4 3 2 2 2 6 2" xfId="6675"/>
    <cellStyle name="Comma 4 3 2 2 2 7" xfId="2364"/>
    <cellStyle name="Comma 4 3 2 2 2 8" xfId="2779"/>
    <cellStyle name="Comma 4 3 2 2 2 8 2" xfId="6992"/>
    <cellStyle name="Comma 4 3 2 2 2 9" xfId="4609"/>
    <cellStyle name="Comma 4 3 2 2 3" xfId="684"/>
    <cellStyle name="Comma 4 3 2 2 3 2" xfId="2955"/>
    <cellStyle name="Comma 4 3 2 2 3 2 2" xfId="7167"/>
    <cellStyle name="Comma 4 3 2 2 3 3" xfId="5022"/>
    <cellStyle name="Comma 4 3 2 2 4" xfId="1137"/>
    <cellStyle name="Comma 4 3 2 2 4 2" xfId="3368"/>
    <cellStyle name="Comma 4 3 2 2 4 2 2" xfId="7580"/>
    <cellStyle name="Comma 4 3 2 2 4 3" xfId="5435"/>
    <cellStyle name="Comma 4 3 2 2 5" xfId="1551"/>
    <cellStyle name="Comma 4 3 2 2 5 2" xfId="3781"/>
    <cellStyle name="Comma 4 3 2 2 5 2 2" xfId="7993"/>
    <cellStyle name="Comma 4 3 2 2 5 3" xfId="5848"/>
    <cellStyle name="Comma 4 3 2 2 6" xfId="1965"/>
    <cellStyle name="Comma 4 3 2 2 6 2" xfId="4194"/>
    <cellStyle name="Comma 4 3 2 2 6 2 2" xfId="8406"/>
    <cellStyle name="Comma 4 3 2 2 6 3" xfId="6261"/>
    <cellStyle name="Comma 4 3 2 2 7" xfId="2400"/>
    <cellStyle name="Comma 4 3 2 2 7 2" xfId="6674"/>
    <cellStyle name="Comma 4 3 2 2 8" xfId="2365"/>
    <cellStyle name="Comma 4 3 2 2 9" xfId="2778"/>
    <cellStyle name="Comma 4 3 2 2 9 2" xfId="6991"/>
    <cellStyle name="Comma 4 3 2 3" xfId="148"/>
    <cellStyle name="Comma 4 3 2 3 2" xfId="686"/>
    <cellStyle name="Comma 4 3 2 3 2 2" xfId="2957"/>
    <cellStyle name="Comma 4 3 2 3 2 2 2" xfId="7169"/>
    <cellStyle name="Comma 4 3 2 3 2 3" xfId="5024"/>
    <cellStyle name="Comma 4 3 2 3 3" xfId="1139"/>
    <cellStyle name="Comma 4 3 2 3 3 2" xfId="3370"/>
    <cellStyle name="Comma 4 3 2 3 3 2 2" xfId="7582"/>
    <cellStyle name="Comma 4 3 2 3 3 3" xfId="5437"/>
    <cellStyle name="Comma 4 3 2 3 4" xfId="1553"/>
    <cellStyle name="Comma 4 3 2 3 4 2" xfId="3783"/>
    <cellStyle name="Comma 4 3 2 3 4 2 2" xfId="7995"/>
    <cellStyle name="Comma 4 3 2 3 4 3" xfId="5850"/>
    <cellStyle name="Comma 4 3 2 3 5" xfId="1967"/>
    <cellStyle name="Comma 4 3 2 3 5 2" xfId="4196"/>
    <cellStyle name="Comma 4 3 2 3 5 2 2" xfId="8408"/>
    <cellStyle name="Comma 4 3 2 3 5 3" xfId="6263"/>
    <cellStyle name="Comma 4 3 2 3 6" xfId="2402"/>
    <cellStyle name="Comma 4 3 2 3 6 2" xfId="6676"/>
    <cellStyle name="Comma 4 3 2 3 7" xfId="2363"/>
    <cellStyle name="Comma 4 3 2 3 8" xfId="2780"/>
    <cellStyle name="Comma 4 3 2 3 8 2" xfId="6993"/>
    <cellStyle name="Comma 4 3 2 3 9" xfId="4610"/>
    <cellStyle name="Comma 4 3 2 4" xfId="683"/>
    <cellStyle name="Comma 4 3 2 4 2" xfId="2954"/>
    <cellStyle name="Comma 4 3 2 4 2 2" xfId="7166"/>
    <cellStyle name="Comma 4 3 2 4 3" xfId="5021"/>
    <cellStyle name="Comma 4 3 2 5" xfId="1136"/>
    <cellStyle name="Comma 4 3 2 5 2" xfId="3367"/>
    <cellStyle name="Comma 4 3 2 5 2 2" xfId="7579"/>
    <cellStyle name="Comma 4 3 2 5 3" xfId="5434"/>
    <cellStyle name="Comma 4 3 2 6" xfId="1550"/>
    <cellStyle name="Comma 4 3 2 6 2" xfId="3780"/>
    <cellStyle name="Comma 4 3 2 6 2 2" xfId="7992"/>
    <cellStyle name="Comma 4 3 2 6 3" xfId="5847"/>
    <cellStyle name="Comma 4 3 2 7" xfId="1964"/>
    <cellStyle name="Comma 4 3 2 7 2" xfId="4193"/>
    <cellStyle name="Comma 4 3 2 7 2 2" xfId="8405"/>
    <cellStyle name="Comma 4 3 2 7 3" xfId="6260"/>
    <cellStyle name="Comma 4 3 2 8" xfId="2399"/>
    <cellStyle name="Comma 4 3 2 8 2" xfId="6673"/>
    <cellStyle name="Comma 4 3 2 9" xfId="2366"/>
    <cellStyle name="Comma 4 3 3" xfId="149"/>
    <cellStyle name="Comma 4 3 3 10" xfId="4611"/>
    <cellStyle name="Comma 4 3 3 2" xfId="150"/>
    <cellStyle name="Comma 4 3 3 2 2" xfId="688"/>
    <cellStyle name="Comma 4 3 3 2 2 2" xfId="2959"/>
    <cellStyle name="Comma 4 3 3 2 2 2 2" xfId="7171"/>
    <cellStyle name="Comma 4 3 3 2 2 3" xfId="5026"/>
    <cellStyle name="Comma 4 3 3 2 3" xfId="1141"/>
    <cellStyle name="Comma 4 3 3 2 3 2" xfId="3372"/>
    <cellStyle name="Comma 4 3 3 2 3 2 2" xfId="7584"/>
    <cellStyle name="Comma 4 3 3 2 3 3" xfId="5439"/>
    <cellStyle name="Comma 4 3 3 2 4" xfId="1555"/>
    <cellStyle name="Comma 4 3 3 2 4 2" xfId="3785"/>
    <cellStyle name="Comma 4 3 3 2 4 2 2" xfId="7997"/>
    <cellStyle name="Comma 4 3 3 2 4 3" xfId="5852"/>
    <cellStyle name="Comma 4 3 3 2 5" xfId="1969"/>
    <cellStyle name="Comma 4 3 3 2 5 2" xfId="4198"/>
    <cellStyle name="Comma 4 3 3 2 5 2 2" xfId="8410"/>
    <cellStyle name="Comma 4 3 3 2 5 3" xfId="6265"/>
    <cellStyle name="Comma 4 3 3 2 6" xfId="2404"/>
    <cellStyle name="Comma 4 3 3 2 6 2" xfId="6678"/>
    <cellStyle name="Comma 4 3 3 2 7" xfId="2361"/>
    <cellStyle name="Comma 4 3 3 2 8" xfId="2782"/>
    <cellStyle name="Comma 4 3 3 2 8 2" xfId="6995"/>
    <cellStyle name="Comma 4 3 3 2 9" xfId="4612"/>
    <cellStyle name="Comma 4 3 3 3" xfId="687"/>
    <cellStyle name="Comma 4 3 3 3 2" xfId="2958"/>
    <cellStyle name="Comma 4 3 3 3 2 2" xfId="7170"/>
    <cellStyle name="Comma 4 3 3 3 3" xfId="5025"/>
    <cellStyle name="Comma 4 3 3 4" xfId="1140"/>
    <cellStyle name="Comma 4 3 3 4 2" xfId="3371"/>
    <cellStyle name="Comma 4 3 3 4 2 2" xfId="7583"/>
    <cellStyle name="Comma 4 3 3 4 3" xfId="5438"/>
    <cellStyle name="Comma 4 3 3 5" xfId="1554"/>
    <cellStyle name="Comma 4 3 3 5 2" xfId="3784"/>
    <cellStyle name="Comma 4 3 3 5 2 2" xfId="7996"/>
    <cellStyle name="Comma 4 3 3 5 3" xfId="5851"/>
    <cellStyle name="Comma 4 3 3 6" xfId="1968"/>
    <cellStyle name="Comma 4 3 3 6 2" xfId="4197"/>
    <cellStyle name="Comma 4 3 3 6 2 2" xfId="8409"/>
    <cellStyle name="Comma 4 3 3 6 3" xfId="6264"/>
    <cellStyle name="Comma 4 3 3 7" xfId="2403"/>
    <cellStyle name="Comma 4 3 3 7 2" xfId="6677"/>
    <cellStyle name="Comma 4 3 3 8" xfId="2362"/>
    <cellStyle name="Comma 4 3 3 9" xfId="2781"/>
    <cellStyle name="Comma 4 3 3 9 2" xfId="6994"/>
    <cellStyle name="Comma 4 3 4" xfId="151"/>
    <cellStyle name="Comma 4 3 4 2" xfId="689"/>
    <cellStyle name="Comma 4 3 4 2 2" xfId="2960"/>
    <cellStyle name="Comma 4 3 4 2 2 2" xfId="7172"/>
    <cellStyle name="Comma 4 3 4 2 3" xfId="5027"/>
    <cellStyle name="Comma 4 3 4 3" xfId="1142"/>
    <cellStyle name="Comma 4 3 4 3 2" xfId="3373"/>
    <cellStyle name="Comma 4 3 4 3 2 2" xfId="7585"/>
    <cellStyle name="Comma 4 3 4 3 3" xfId="5440"/>
    <cellStyle name="Comma 4 3 4 4" xfId="1556"/>
    <cellStyle name="Comma 4 3 4 4 2" xfId="3786"/>
    <cellStyle name="Comma 4 3 4 4 2 2" xfId="7998"/>
    <cellStyle name="Comma 4 3 4 4 3" xfId="5853"/>
    <cellStyle name="Comma 4 3 4 5" xfId="1970"/>
    <cellStyle name="Comma 4 3 4 5 2" xfId="4199"/>
    <cellStyle name="Comma 4 3 4 5 2 2" xfId="8411"/>
    <cellStyle name="Comma 4 3 4 5 3" xfId="6266"/>
    <cellStyle name="Comma 4 3 4 6" xfId="2405"/>
    <cellStyle name="Comma 4 3 4 6 2" xfId="6679"/>
    <cellStyle name="Comma 4 3 4 7" xfId="2701"/>
    <cellStyle name="Comma 4 3 4 8" xfId="2783"/>
    <cellStyle name="Comma 4 3 4 8 2" xfId="6996"/>
    <cellStyle name="Comma 4 3 4 9" xfId="4613"/>
    <cellStyle name="Comma 4 3 5" xfId="152"/>
    <cellStyle name="Comma 4 3 5 2" xfId="690"/>
    <cellStyle name="Comma 4 3 5 2 2" xfId="2961"/>
    <cellStyle name="Comma 4 3 5 2 2 2" xfId="7173"/>
    <cellStyle name="Comma 4 3 5 2 3" xfId="5028"/>
    <cellStyle name="Comma 4 3 5 3" xfId="1143"/>
    <cellStyle name="Comma 4 3 5 3 2" xfId="3374"/>
    <cellStyle name="Comma 4 3 5 3 2 2" xfId="7586"/>
    <cellStyle name="Comma 4 3 5 3 3" xfId="5441"/>
    <cellStyle name="Comma 4 3 5 4" xfId="1557"/>
    <cellStyle name="Comma 4 3 5 4 2" xfId="3787"/>
    <cellStyle name="Comma 4 3 5 4 2 2" xfId="7999"/>
    <cellStyle name="Comma 4 3 5 4 3" xfId="5854"/>
    <cellStyle name="Comma 4 3 5 5" xfId="1971"/>
    <cellStyle name="Comma 4 3 5 5 2" xfId="4200"/>
    <cellStyle name="Comma 4 3 5 5 2 2" xfId="8412"/>
    <cellStyle name="Comma 4 3 5 5 3" xfId="6267"/>
    <cellStyle name="Comma 4 3 5 6" xfId="2406"/>
    <cellStyle name="Comma 4 3 5 6 2" xfId="6680"/>
    <cellStyle name="Comma 4 3 5 7" xfId="2702"/>
    <cellStyle name="Comma 4 3 5 8" xfId="2784"/>
    <cellStyle name="Comma 4 3 5 8 2" xfId="6997"/>
    <cellStyle name="Comma 4 3 5 9" xfId="4614"/>
    <cellStyle name="Comma 4 4" xfId="153"/>
    <cellStyle name="Comma 4 4 10" xfId="2785"/>
    <cellStyle name="Comma 4 4 10 2" xfId="6998"/>
    <cellStyle name="Comma 4 4 11" xfId="4615"/>
    <cellStyle name="Comma 4 4 2" xfId="154"/>
    <cellStyle name="Comma 4 4 2 10" xfId="4616"/>
    <cellStyle name="Comma 4 4 2 2" xfId="155"/>
    <cellStyle name="Comma 4 4 2 2 2" xfId="693"/>
    <cellStyle name="Comma 4 4 2 2 2 2" xfId="2964"/>
    <cellStyle name="Comma 4 4 2 2 2 2 2" xfId="7176"/>
    <cellStyle name="Comma 4 4 2 2 2 3" xfId="5031"/>
    <cellStyle name="Comma 4 4 2 2 3" xfId="1146"/>
    <cellStyle name="Comma 4 4 2 2 3 2" xfId="3377"/>
    <cellStyle name="Comma 4 4 2 2 3 2 2" xfId="7589"/>
    <cellStyle name="Comma 4 4 2 2 3 3" xfId="5444"/>
    <cellStyle name="Comma 4 4 2 2 4" xfId="1560"/>
    <cellStyle name="Comma 4 4 2 2 4 2" xfId="3790"/>
    <cellStyle name="Comma 4 4 2 2 4 2 2" xfId="8002"/>
    <cellStyle name="Comma 4 4 2 2 4 3" xfId="5857"/>
    <cellStyle name="Comma 4 4 2 2 5" xfId="1974"/>
    <cellStyle name="Comma 4 4 2 2 5 2" xfId="4203"/>
    <cellStyle name="Comma 4 4 2 2 5 2 2" xfId="8415"/>
    <cellStyle name="Comma 4 4 2 2 5 3" xfId="6270"/>
    <cellStyle name="Comma 4 4 2 2 6" xfId="2409"/>
    <cellStyle name="Comma 4 4 2 2 6 2" xfId="6683"/>
    <cellStyle name="Comma 4 4 2 2 7" xfId="2705"/>
    <cellStyle name="Comma 4 4 2 2 8" xfId="2787"/>
    <cellStyle name="Comma 4 4 2 2 8 2" xfId="7000"/>
    <cellStyle name="Comma 4 4 2 2 9" xfId="4617"/>
    <cellStyle name="Comma 4 4 2 3" xfId="692"/>
    <cellStyle name="Comma 4 4 2 3 2" xfId="2963"/>
    <cellStyle name="Comma 4 4 2 3 2 2" xfId="7175"/>
    <cellStyle name="Comma 4 4 2 3 3" xfId="5030"/>
    <cellStyle name="Comma 4 4 2 4" xfId="1145"/>
    <cellStyle name="Comma 4 4 2 4 2" xfId="3376"/>
    <cellStyle name="Comma 4 4 2 4 2 2" xfId="7588"/>
    <cellStyle name="Comma 4 4 2 4 3" xfId="5443"/>
    <cellStyle name="Comma 4 4 2 5" xfId="1559"/>
    <cellStyle name="Comma 4 4 2 5 2" xfId="3789"/>
    <cellStyle name="Comma 4 4 2 5 2 2" xfId="8001"/>
    <cellStyle name="Comma 4 4 2 5 3" xfId="5856"/>
    <cellStyle name="Comma 4 4 2 6" xfId="1973"/>
    <cellStyle name="Comma 4 4 2 6 2" xfId="4202"/>
    <cellStyle name="Comma 4 4 2 6 2 2" xfId="8414"/>
    <cellStyle name="Comma 4 4 2 6 3" xfId="6269"/>
    <cellStyle name="Comma 4 4 2 7" xfId="2408"/>
    <cellStyle name="Comma 4 4 2 7 2" xfId="6682"/>
    <cellStyle name="Comma 4 4 2 8" xfId="2704"/>
    <cellStyle name="Comma 4 4 2 9" xfId="2786"/>
    <cellStyle name="Comma 4 4 2 9 2" xfId="6999"/>
    <cellStyle name="Comma 4 4 3" xfId="156"/>
    <cellStyle name="Comma 4 4 3 2" xfId="694"/>
    <cellStyle name="Comma 4 4 3 2 2" xfId="2965"/>
    <cellStyle name="Comma 4 4 3 2 2 2" xfId="7177"/>
    <cellStyle name="Comma 4 4 3 2 3" xfId="5032"/>
    <cellStyle name="Comma 4 4 3 3" xfId="1147"/>
    <cellStyle name="Comma 4 4 3 3 2" xfId="3378"/>
    <cellStyle name="Comma 4 4 3 3 2 2" xfId="7590"/>
    <cellStyle name="Comma 4 4 3 3 3" xfId="5445"/>
    <cellStyle name="Comma 4 4 3 4" xfId="1561"/>
    <cellStyle name="Comma 4 4 3 4 2" xfId="3791"/>
    <cellStyle name="Comma 4 4 3 4 2 2" xfId="8003"/>
    <cellStyle name="Comma 4 4 3 4 3" xfId="5858"/>
    <cellStyle name="Comma 4 4 3 5" xfId="1975"/>
    <cellStyle name="Comma 4 4 3 5 2" xfId="4204"/>
    <cellStyle name="Comma 4 4 3 5 2 2" xfId="8416"/>
    <cellStyle name="Comma 4 4 3 5 3" xfId="6271"/>
    <cellStyle name="Comma 4 4 3 6" xfId="2410"/>
    <cellStyle name="Comma 4 4 3 6 2" xfId="6684"/>
    <cellStyle name="Comma 4 4 3 7" xfId="2706"/>
    <cellStyle name="Comma 4 4 3 8" xfId="2788"/>
    <cellStyle name="Comma 4 4 3 8 2" xfId="7001"/>
    <cellStyle name="Comma 4 4 3 9" xfId="4618"/>
    <cellStyle name="Comma 4 4 4" xfId="691"/>
    <cellStyle name="Comma 4 4 4 2" xfId="2962"/>
    <cellStyle name="Comma 4 4 4 2 2" xfId="7174"/>
    <cellStyle name="Comma 4 4 4 3" xfId="5029"/>
    <cellStyle name="Comma 4 4 5" xfId="1144"/>
    <cellStyle name="Comma 4 4 5 2" xfId="3375"/>
    <cellStyle name="Comma 4 4 5 2 2" xfId="7587"/>
    <cellStyle name="Comma 4 4 5 3" xfId="5442"/>
    <cellStyle name="Comma 4 4 6" xfId="1558"/>
    <cellStyle name="Comma 4 4 6 2" xfId="3788"/>
    <cellStyle name="Comma 4 4 6 2 2" xfId="8000"/>
    <cellStyle name="Comma 4 4 6 3" xfId="5855"/>
    <cellStyle name="Comma 4 4 7" xfId="1972"/>
    <cellStyle name="Comma 4 4 7 2" xfId="4201"/>
    <cellStyle name="Comma 4 4 7 2 2" xfId="8413"/>
    <cellStyle name="Comma 4 4 7 3" xfId="6268"/>
    <cellStyle name="Comma 4 4 8" xfId="2407"/>
    <cellStyle name="Comma 4 4 8 2" xfId="6681"/>
    <cellStyle name="Comma 4 4 9" xfId="2703"/>
    <cellStyle name="Comma 4 5" xfId="157"/>
    <cellStyle name="Comma 4 5 10" xfId="4619"/>
    <cellStyle name="Comma 4 5 2" xfId="158"/>
    <cellStyle name="Comma 4 5 2 2" xfId="696"/>
    <cellStyle name="Comma 4 5 2 2 2" xfId="2967"/>
    <cellStyle name="Comma 4 5 2 2 2 2" xfId="7179"/>
    <cellStyle name="Comma 4 5 2 2 3" xfId="5034"/>
    <cellStyle name="Comma 4 5 2 3" xfId="1149"/>
    <cellStyle name="Comma 4 5 2 3 2" xfId="3380"/>
    <cellStyle name="Comma 4 5 2 3 2 2" xfId="7592"/>
    <cellStyle name="Comma 4 5 2 3 3" xfId="5447"/>
    <cellStyle name="Comma 4 5 2 4" xfId="1563"/>
    <cellStyle name="Comma 4 5 2 4 2" xfId="3793"/>
    <cellStyle name="Comma 4 5 2 4 2 2" xfId="8005"/>
    <cellStyle name="Comma 4 5 2 4 3" xfId="5860"/>
    <cellStyle name="Comma 4 5 2 5" xfId="1977"/>
    <cellStyle name="Comma 4 5 2 5 2" xfId="4206"/>
    <cellStyle name="Comma 4 5 2 5 2 2" xfId="8418"/>
    <cellStyle name="Comma 4 5 2 5 3" xfId="6273"/>
    <cellStyle name="Comma 4 5 2 6" xfId="2412"/>
    <cellStyle name="Comma 4 5 2 6 2" xfId="6686"/>
    <cellStyle name="Comma 4 5 2 7" xfId="2708"/>
    <cellStyle name="Comma 4 5 2 8" xfId="2790"/>
    <cellStyle name="Comma 4 5 2 8 2" xfId="7003"/>
    <cellStyle name="Comma 4 5 2 9" xfId="4620"/>
    <cellStyle name="Comma 4 5 3" xfId="695"/>
    <cellStyle name="Comma 4 5 3 2" xfId="2966"/>
    <cellStyle name="Comma 4 5 3 2 2" xfId="7178"/>
    <cellStyle name="Comma 4 5 3 3" xfId="5033"/>
    <cellStyle name="Comma 4 5 4" xfId="1148"/>
    <cellStyle name="Comma 4 5 4 2" xfId="3379"/>
    <cellStyle name="Comma 4 5 4 2 2" xfId="7591"/>
    <cellStyle name="Comma 4 5 4 3" xfId="5446"/>
    <cellStyle name="Comma 4 5 5" xfId="1562"/>
    <cellStyle name="Comma 4 5 5 2" xfId="3792"/>
    <cellStyle name="Comma 4 5 5 2 2" xfId="8004"/>
    <cellStyle name="Comma 4 5 5 3" xfId="5859"/>
    <cellStyle name="Comma 4 5 6" xfId="1976"/>
    <cellStyle name="Comma 4 5 6 2" xfId="4205"/>
    <cellStyle name="Comma 4 5 6 2 2" xfId="8417"/>
    <cellStyle name="Comma 4 5 6 3" xfId="6272"/>
    <cellStyle name="Comma 4 5 7" xfId="2411"/>
    <cellStyle name="Comma 4 5 7 2" xfId="6685"/>
    <cellStyle name="Comma 4 5 8" xfId="2707"/>
    <cellStyle name="Comma 4 5 9" xfId="2789"/>
    <cellStyle name="Comma 4 5 9 2" xfId="7002"/>
    <cellStyle name="Comma 4 6" xfId="159"/>
    <cellStyle name="Comma 4 6 2" xfId="697"/>
    <cellStyle name="Comma 4 6 2 2" xfId="2968"/>
    <cellStyle name="Comma 4 6 2 2 2" xfId="7180"/>
    <cellStyle name="Comma 4 6 2 3" xfId="5035"/>
    <cellStyle name="Comma 4 6 3" xfId="1150"/>
    <cellStyle name="Comma 4 6 3 2" xfId="3381"/>
    <cellStyle name="Comma 4 6 3 2 2" xfId="7593"/>
    <cellStyle name="Comma 4 6 3 3" xfId="5448"/>
    <cellStyle name="Comma 4 6 4" xfId="1564"/>
    <cellStyle name="Comma 4 6 4 2" xfId="3794"/>
    <cellStyle name="Comma 4 6 4 2 2" xfId="8006"/>
    <cellStyle name="Comma 4 6 4 3" xfId="5861"/>
    <cellStyle name="Comma 4 6 5" xfId="1978"/>
    <cellStyle name="Comma 4 6 5 2" xfId="4207"/>
    <cellStyle name="Comma 4 6 5 2 2" xfId="8419"/>
    <cellStyle name="Comma 4 6 5 3" xfId="6274"/>
    <cellStyle name="Comma 4 6 6" xfId="2413"/>
    <cellStyle name="Comma 4 6 6 2" xfId="6687"/>
    <cellStyle name="Comma 4 6 7" xfId="2709"/>
    <cellStyle name="Comma 4 6 8" xfId="2791"/>
    <cellStyle name="Comma 4 6 8 2" xfId="7004"/>
    <cellStyle name="Comma 4 6 9" xfId="4621"/>
    <cellStyle name="Comma 4 7" xfId="160"/>
    <cellStyle name="Comma 4 7 2" xfId="698"/>
    <cellStyle name="Comma 4 7 2 2" xfId="2969"/>
    <cellStyle name="Comma 4 7 2 2 2" xfId="7181"/>
    <cellStyle name="Comma 4 7 2 3" xfId="5036"/>
    <cellStyle name="Comma 4 7 3" xfId="1151"/>
    <cellStyle name="Comma 4 7 3 2" xfId="3382"/>
    <cellStyle name="Comma 4 7 3 2 2" xfId="7594"/>
    <cellStyle name="Comma 4 7 3 3" xfId="5449"/>
    <cellStyle name="Comma 4 7 4" xfId="1565"/>
    <cellStyle name="Comma 4 7 4 2" xfId="3795"/>
    <cellStyle name="Comma 4 7 4 2 2" xfId="8007"/>
    <cellStyle name="Comma 4 7 4 3" xfId="5862"/>
    <cellStyle name="Comma 4 7 5" xfId="1979"/>
    <cellStyle name="Comma 4 7 5 2" xfId="4208"/>
    <cellStyle name="Comma 4 7 5 2 2" xfId="8420"/>
    <cellStyle name="Comma 4 7 5 3" xfId="6275"/>
    <cellStyle name="Comma 4 7 6" xfId="2414"/>
    <cellStyle name="Comma 4 7 6 2" xfId="6688"/>
    <cellStyle name="Comma 4 7 7" xfId="2710"/>
    <cellStyle name="Comma 4 7 8" xfId="2792"/>
    <cellStyle name="Comma 4 7 8 2" xfId="7005"/>
    <cellStyle name="Comma 4 7 9" xfId="462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06"/>
    <cellStyle name="Currency 3 2 2 11" xfId="4623"/>
    <cellStyle name="Currency 3 2 2 2" xfId="179"/>
    <cellStyle name="Currency 3 2 2 2 10" xfId="4624"/>
    <cellStyle name="Currency 3 2 2 2 2" xfId="180"/>
    <cellStyle name="Currency 3 2 2 2 2 2" xfId="711"/>
    <cellStyle name="Currency 3 2 2 2 2 2 2" xfId="2972"/>
    <cellStyle name="Currency 3 2 2 2 2 2 2 2" xfId="7184"/>
    <cellStyle name="Currency 3 2 2 2 2 2 3" xfId="5039"/>
    <cellStyle name="Currency 3 2 2 2 2 3" xfId="1154"/>
    <cellStyle name="Currency 3 2 2 2 2 3 2" xfId="3385"/>
    <cellStyle name="Currency 3 2 2 2 2 3 2 2" xfId="7597"/>
    <cellStyle name="Currency 3 2 2 2 2 3 3" xfId="5452"/>
    <cellStyle name="Currency 3 2 2 2 2 4" xfId="1568"/>
    <cellStyle name="Currency 3 2 2 2 2 4 2" xfId="3798"/>
    <cellStyle name="Currency 3 2 2 2 2 4 2 2" xfId="8010"/>
    <cellStyle name="Currency 3 2 2 2 2 4 3" xfId="5865"/>
    <cellStyle name="Currency 3 2 2 2 2 5" xfId="1982"/>
    <cellStyle name="Currency 3 2 2 2 2 5 2" xfId="4211"/>
    <cellStyle name="Currency 3 2 2 2 2 5 2 2" xfId="8423"/>
    <cellStyle name="Currency 3 2 2 2 2 5 3" xfId="6278"/>
    <cellStyle name="Currency 3 2 2 2 2 6" xfId="2417"/>
    <cellStyle name="Currency 3 2 2 2 2 6 2" xfId="6691"/>
    <cellStyle name="Currency 3 2 2 2 2 7" xfId="2714"/>
    <cellStyle name="Currency 3 2 2 2 2 8" xfId="2795"/>
    <cellStyle name="Currency 3 2 2 2 2 8 2" xfId="7008"/>
    <cellStyle name="Currency 3 2 2 2 2 9" xfId="4625"/>
    <cellStyle name="Currency 3 2 2 2 3" xfId="710"/>
    <cellStyle name="Currency 3 2 2 2 3 2" xfId="2971"/>
    <cellStyle name="Currency 3 2 2 2 3 2 2" xfId="7183"/>
    <cellStyle name="Currency 3 2 2 2 3 3" xfId="5038"/>
    <cellStyle name="Currency 3 2 2 2 4" xfId="1153"/>
    <cellStyle name="Currency 3 2 2 2 4 2" xfId="3384"/>
    <cellStyle name="Currency 3 2 2 2 4 2 2" xfId="7596"/>
    <cellStyle name="Currency 3 2 2 2 4 3" xfId="5451"/>
    <cellStyle name="Currency 3 2 2 2 5" xfId="1567"/>
    <cellStyle name="Currency 3 2 2 2 5 2" xfId="3797"/>
    <cellStyle name="Currency 3 2 2 2 5 2 2" xfId="8009"/>
    <cellStyle name="Currency 3 2 2 2 5 3" xfId="5864"/>
    <cellStyle name="Currency 3 2 2 2 6" xfId="1981"/>
    <cellStyle name="Currency 3 2 2 2 6 2" xfId="4210"/>
    <cellStyle name="Currency 3 2 2 2 6 2 2" xfId="8422"/>
    <cellStyle name="Currency 3 2 2 2 6 3" xfId="6277"/>
    <cellStyle name="Currency 3 2 2 2 7" xfId="2416"/>
    <cellStyle name="Currency 3 2 2 2 7 2" xfId="6690"/>
    <cellStyle name="Currency 3 2 2 2 8" xfId="2713"/>
    <cellStyle name="Currency 3 2 2 2 9" xfId="2794"/>
    <cellStyle name="Currency 3 2 2 2 9 2" xfId="7007"/>
    <cellStyle name="Currency 3 2 2 3" xfId="181"/>
    <cellStyle name="Currency 3 2 2 3 2" xfId="712"/>
    <cellStyle name="Currency 3 2 2 3 2 2" xfId="2973"/>
    <cellStyle name="Currency 3 2 2 3 2 2 2" xfId="7185"/>
    <cellStyle name="Currency 3 2 2 3 2 3" xfId="5040"/>
    <cellStyle name="Currency 3 2 2 3 3" xfId="1155"/>
    <cellStyle name="Currency 3 2 2 3 3 2" xfId="3386"/>
    <cellStyle name="Currency 3 2 2 3 3 2 2" xfId="7598"/>
    <cellStyle name="Currency 3 2 2 3 3 3" xfId="5453"/>
    <cellStyle name="Currency 3 2 2 3 4" xfId="1569"/>
    <cellStyle name="Currency 3 2 2 3 4 2" xfId="3799"/>
    <cellStyle name="Currency 3 2 2 3 4 2 2" xfId="8011"/>
    <cellStyle name="Currency 3 2 2 3 4 3" xfId="5866"/>
    <cellStyle name="Currency 3 2 2 3 5" xfId="1983"/>
    <cellStyle name="Currency 3 2 2 3 5 2" xfId="4212"/>
    <cellStyle name="Currency 3 2 2 3 5 2 2" xfId="8424"/>
    <cellStyle name="Currency 3 2 2 3 5 3" xfId="6279"/>
    <cellStyle name="Currency 3 2 2 3 6" xfId="2418"/>
    <cellStyle name="Currency 3 2 2 3 6 2" xfId="6692"/>
    <cellStyle name="Currency 3 2 2 3 7" xfId="2715"/>
    <cellStyle name="Currency 3 2 2 3 8" xfId="2796"/>
    <cellStyle name="Currency 3 2 2 3 8 2" xfId="7009"/>
    <cellStyle name="Currency 3 2 2 3 9" xfId="4626"/>
    <cellStyle name="Currency 3 2 2 4" xfId="709"/>
    <cellStyle name="Currency 3 2 2 4 2" xfId="2970"/>
    <cellStyle name="Currency 3 2 2 4 2 2" xfId="7182"/>
    <cellStyle name="Currency 3 2 2 4 3" xfId="5037"/>
    <cellStyle name="Currency 3 2 2 5" xfId="1152"/>
    <cellStyle name="Currency 3 2 2 5 2" xfId="3383"/>
    <cellStyle name="Currency 3 2 2 5 2 2" xfId="7595"/>
    <cellStyle name="Currency 3 2 2 5 3" xfId="5450"/>
    <cellStyle name="Currency 3 2 2 6" xfId="1566"/>
    <cellStyle name="Currency 3 2 2 6 2" xfId="3796"/>
    <cellStyle name="Currency 3 2 2 6 2 2" xfId="8008"/>
    <cellStyle name="Currency 3 2 2 6 3" xfId="5863"/>
    <cellStyle name="Currency 3 2 2 7" xfId="1980"/>
    <cellStyle name="Currency 3 2 2 7 2" xfId="4209"/>
    <cellStyle name="Currency 3 2 2 7 2 2" xfId="8421"/>
    <cellStyle name="Currency 3 2 2 7 3" xfId="6276"/>
    <cellStyle name="Currency 3 2 2 8" xfId="2415"/>
    <cellStyle name="Currency 3 2 2 8 2" xfId="6689"/>
    <cellStyle name="Currency 3 2 2 9" xfId="2712"/>
    <cellStyle name="Currency 3 2 3" xfId="182"/>
    <cellStyle name="Currency 3 2 3 10" xfId="4627"/>
    <cellStyle name="Currency 3 2 3 2" xfId="183"/>
    <cellStyle name="Currency 3 2 3 2 2" xfId="714"/>
    <cellStyle name="Currency 3 2 3 2 2 2" xfId="2975"/>
    <cellStyle name="Currency 3 2 3 2 2 2 2" xfId="7187"/>
    <cellStyle name="Currency 3 2 3 2 2 3" xfId="5042"/>
    <cellStyle name="Currency 3 2 3 2 3" xfId="1157"/>
    <cellStyle name="Currency 3 2 3 2 3 2" xfId="3388"/>
    <cellStyle name="Currency 3 2 3 2 3 2 2" xfId="7600"/>
    <cellStyle name="Currency 3 2 3 2 3 3" xfId="5455"/>
    <cellStyle name="Currency 3 2 3 2 4" xfId="1571"/>
    <cellStyle name="Currency 3 2 3 2 4 2" xfId="3801"/>
    <cellStyle name="Currency 3 2 3 2 4 2 2" xfId="8013"/>
    <cellStyle name="Currency 3 2 3 2 4 3" xfId="5868"/>
    <cellStyle name="Currency 3 2 3 2 5" xfId="1985"/>
    <cellStyle name="Currency 3 2 3 2 5 2" xfId="4214"/>
    <cellStyle name="Currency 3 2 3 2 5 2 2" xfId="8426"/>
    <cellStyle name="Currency 3 2 3 2 5 3" xfId="6281"/>
    <cellStyle name="Currency 3 2 3 2 6" xfId="2420"/>
    <cellStyle name="Currency 3 2 3 2 6 2" xfId="6694"/>
    <cellStyle name="Currency 3 2 3 2 7" xfId="2717"/>
    <cellStyle name="Currency 3 2 3 2 8" xfId="2798"/>
    <cellStyle name="Currency 3 2 3 2 8 2" xfId="7011"/>
    <cellStyle name="Currency 3 2 3 2 9" xfId="4628"/>
    <cellStyle name="Currency 3 2 3 3" xfId="713"/>
    <cellStyle name="Currency 3 2 3 3 2" xfId="2974"/>
    <cellStyle name="Currency 3 2 3 3 2 2" xfId="7186"/>
    <cellStyle name="Currency 3 2 3 3 3" xfId="5041"/>
    <cellStyle name="Currency 3 2 3 4" xfId="1156"/>
    <cellStyle name="Currency 3 2 3 4 2" xfId="3387"/>
    <cellStyle name="Currency 3 2 3 4 2 2" xfId="7599"/>
    <cellStyle name="Currency 3 2 3 4 3" xfId="5454"/>
    <cellStyle name="Currency 3 2 3 5" xfId="1570"/>
    <cellStyle name="Currency 3 2 3 5 2" xfId="3800"/>
    <cellStyle name="Currency 3 2 3 5 2 2" xfId="8012"/>
    <cellStyle name="Currency 3 2 3 5 3" xfId="5867"/>
    <cellStyle name="Currency 3 2 3 6" xfId="1984"/>
    <cellStyle name="Currency 3 2 3 6 2" xfId="4213"/>
    <cellStyle name="Currency 3 2 3 6 2 2" xfId="8425"/>
    <cellStyle name="Currency 3 2 3 6 3" xfId="6280"/>
    <cellStyle name="Currency 3 2 3 7" xfId="2419"/>
    <cellStyle name="Currency 3 2 3 7 2" xfId="6693"/>
    <cellStyle name="Currency 3 2 3 8" xfId="2716"/>
    <cellStyle name="Currency 3 2 3 9" xfId="2797"/>
    <cellStyle name="Currency 3 2 3 9 2" xfId="7010"/>
    <cellStyle name="Currency 3 2 4" xfId="184"/>
    <cellStyle name="Currency 3 2 4 2" xfId="715"/>
    <cellStyle name="Currency 3 2 4 2 2" xfId="2976"/>
    <cellStyle name="Currency 3 2 4 2 2 2" xfId="7188"/>
    <cellStyle name="Currency 3 2 4 2 3" xfId="5043"/>
    <cellStyle name="Currency 3 2 4 3" xfId="1158"/>
    <cellStyle name="Currency 3 2 4 3 2" xfId="3389"/>
    <cellStyle name="Currency 3 2 4 3 2 2" xfId="7601"/>
    <cellStyle name="Currency 3 2 4 3 3" xfId="5456"/>
    <cellStyle name="Currency 3 2 4 4" xfId="1572"/>
    <cellStyle name="Currency 3 2 4 4 2" xfId="3802"/>
    <cellStyle name="Currency 3 2 4 4 2 2" xfId="8014"/>
    <cellStyle name="Currency 3 2 4 4 3" xfId="5869"/>
    <cellStyle name="Currency 3 2 4 5" xfId="1986"/>
    <cellStyle name="Currency 3 2 4 5 2" xfId="4215"/>
    <cellStyle name="Currency 3 2 4 5 2 2" xfId="8427"/>
    <cellStyle name="Currency 3 2 4 5 3" xfId="6282"/>
    <cellStyle name="Currency 3 2 4 6" xfId="2421"/>
    <cellStyle name="Currency 3 2 4 6 2" xfId="6695"/>
    <cellStyle name="Currency 3 2 4 7" xfId="2718"/>
    <cellStyle name="Currency 3 2 4 8" xfId="2799"/>
    <cellStyle name="Currency 3 2 4 8 2" xfId="7012"/>
    <cellStyle name="Currency 3 2 4 9" xfId="4629"/>
    <cellStyle name="Currency 3 2 5" xfId="185"/>
    <cellStyle name="Currency 3 2 5 2" xfId="716"/>
    <cellStyle name="Currency 3 2 5 2 2" xfId="2977"/>
    <cellStyle name="Currency 3 2 5 2 2 2" xfId="7189"/>
    <cellStyle name="Currency 3 2 5 2 3" xfId="5044"/>
    <cellStyle name="Currency 3 2 5 3" xfId="1159"/>
    <cellStyle name="Currency 3 2 5 3 2" xfId="3390"/>
    <cellStyle name="Currency 3 2 5 3 2 2" xfId="7602"/>
    <cellStyle name="Currency 3 2 5 3 3" xfId="5457"/>
    <cellStyle name="Currency 3 2 5 4" xfId="1573"/>
    <cellStyle name="Currency 3 2 5 4 2" xfId="3803"/>
    <cellStyle name="Currency 3 2 5 4 2 2" xfId="8015"/>
    <cellStyle name="Currency 3 2 5 4 3" xfId="5870"/>
    <cellStyle name="Currency 3 2 5 5" xfId="1987"/>
    <cellStyle name="Currency 3 2 5 5 2" xfId="4216"/>
    <cellStyle name="Currency 3 2 5 5 2 2" xfId="8428"/>
    <cellStyle name="Currency 3 2 5 5 3" xfId="6283"/>
    <cellStyle name="Currency 3 2 5 6" xfId="2422"/>
    <cellStyle name="Currency 3 2 5 6 2" xfId="6696"/>
    <cellStyle name="Currency 3 2 5 7" xfId="2719"/>
    <cellStyle name="Currency 3 2 5 8" xfId="2800"/>
    <cellStyle name="Currency 3 2 5 8 2" xfId="7013"/>
    <cellStyle name="Currency 3 2 5 9" xfId="463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14"/>
    <cellStyle name="Currency 5 2 2 2 11" xfId="4631"/>
    <cellStyle name="Currency 5 2 2 2 2" xfId="197"/>
    <cellStyle name="Currency 5 2 2 2 2 10" xfId="4632"/>
    <cellStyle name="Currency 5 2 2 2 2 2" xfId="198"/>
    <cellStyle name="Currency 5 2 2 2 2 2 2" xfId="726"/>
    <cellStyle name="Currency 5 2 2 2 2 2 2 2" xfId="2980"/>
    <cellStyle name="Currency 5 2 2 2 2 2 2 2 2" xfId="7192"/>
    <cellStyle name="Currency 5 2 2 2 2 2 2 3" xfId="5047"/>
    <cellStyle name="Currency 5 2 2 2 2 2 3" xfId="1162"/>
    <cellStyle name="Currency 5 2 2 2 2 2 3 2" xfId="3393"/>
    <cellStyle name="Currency 5 2 2 2 2 2 3 2 2" xfId="7605"/>
    <cellStyle name="Currency 5 2 2 2 2 2 3 3" xfId="5460"/>
    <cellStyle name="Currency 5 2 2 2 2 2 4" xfId="1576"/>
    <cellStyle name="Currency 5 2 2 2 2 2 4 2" xfId="3806"/>
    <cellStyle name="Currency 5 2 2 2 2 2 4 2 2" xfId="8018"/>
    <cellStyle name="Currency 5 2 2 2 2 2 4 3" xfId="5873"/>
    <cellStyle name="Currency 5 2 2 2 2 2 5" xfId="1990"/>
    <cellStyle name="Currency 5 2 2 2 2 2 5 2" xfId="4219"/>
    <cellStyle name="Currency 5 2 2 2 2 2 5 2 2" xfId="8431"/>
    <cellStyle name="Currency 5 2 2 2 2 2 5 3" xfId="6286"/>
    <cellStyle name="Currency 5 2 2 2 2 2 6" xfId="2425"/>
    <cellStyle name="Currency 5 2 2 2 2 2 6 2" xfId="6699"/>
    <cellStyle name="Currency 5 2 2 2 2 2 7" xfId="2722"/>
    <cellStyle name="Currency 5 2 2 2 2 2 8" xfId="2803"/>
    <cellStyle name="Currency 5 2 2 2 2 2 8 2" xfId="7016"/>
    <cellStyle name="Currency 5 2 2 2 2 2 9" xfId="4633"/>
    <cellStyle name="Currency 5 2 2 2 2 3" xfId="725"/>
    <cellStyle name="Currency 5 2 2 2 2 3 2" xfId="2979"/>
    <cellStyle name="Currency 5 2 2 2 2 3 2 2" xfId="7191"/>
    <cellStyle name="Currency 5 2 2 2 2 3 3" xfId="5046"/>
    <cellStyle name="Currency 5 2 2 2 2 4" xfId="1161"/>
    <cellStyle name="Currency 5 2 2 2 2 4 2" xfId="3392"/>
    <cellStyle name="Currency 5 2 2 2 2 4 2 2" xfId="7604"/>
    <cellStyle name="Currency 5 2 2 2 2 4 3" xfId="5459"/>
    <cellStyle name="Currency 5 2 2 2 2 5" xfId="1575"/>
    <cellStyle name="Currency 5 2 2 2 2 5 2" xfId="3805"/>
    <cellStyle name="Currency 5 2 2 2 2 5 2 2" xfId="8017"/>
    <cellStyle name="Currency 5 2 2 2 2 5 3" xfId="5872"/>
    <cellStyle name="Currency 5 2 2 2 2 6" xfId="1989"/>
    <cellStyle name="Currency 5 2 2 2 2 6 2" xfId="4218"/>
    <cellStyle name="Currency 5 2 2 2 2 6 2 2" xfId="8430"/>
    <cellStyle name="Currency 5 2 2 2 2 6 3" xfId="6285"/>
    <cellStyle name="Currency 5 2 2 2 2 7" xfId="2424"/>
    <cellStyle name="Currency 5 2 2 2 2 7 2" xfId="6698"/>
    <cellStyle name="Currency 5 2 2 2 2 8" xfId="2721"/>
    <cellStyle name="Currency 5 2 2 2 2 9" xfId="2802"/>
    <cellStyle name="Currency 5 2 2 2 2 9 2" xfId="7015"/>
    <cellStyle name="Currency 5 2 2 2 3" xfId="199"/>
    <cellStyle name="Currency 5 2 2 2 3 2" xfId="727"/>
    <cellStyle name="Currency 5 2 2 2 3 2 2" xfId="2981"/>
    <cellStyle name="Currency 5 2 2 2 3 2 2 2" xfId="7193"/>
    <cellStyle name="Currency 5 2 2 2 3 2 3" xfId="5048"/>
    <cellStyle name="Currency 5 2 2 2 3 3" xfId="1163"/>
    <cellStyle name="Currency 5 2 2 2 3 3 2" xfId="3394"/>
    <cellStyle name="Currency 5 2 2 2 3 3 2 2" xfId="7606"/>
    <cellStyle name="Currency 5 2 2 2 3 3 3" xfId="5461"/>
    <cellStyle name="Currency 5 2 2 2 3 4" xfId="1577"/>
    <cellStyle name="Currency 5 2 2 2 3 4 2" xfId="3807"/>
    <cellStyle name="Currency 5 2 2 2 3 4 2 2" xfId="8019"/>
    <cellStyle name="Currency 5 2 2 2 3 4 3" xfId="5874"/>
    <cellStyle name="Currency 5 2 2 2 3 5" xfId="1991"/>
    <cellStyle name="Currency 5 2 2 2 3 5 2" xfId="4220"/>
    <cellStyle name="Currency 5 2 2 2 3 5 2 2" xfId="8432"/>
    <cellStyle name="Currency 5 2 2 2 3 5 3" xfId="6287"/>
    <cellStyle name="Currency 5 2 2 2 3 6" xfId="2426"/>
    <cellStyle name="Currency 5 2 2 2 3 6 2" xfId="6700"/>
    <cellStyle name="Currency 5 2 2 2 3 7" xfId="2723"/>
    <cellStyle name="Currency 5 2 2 2 3 8" xfId="2804"/>
    <cellStyle name="Currency 5 2 2 2 3 8 2" xfId="7017"/>
    <cellStyle name="Currency 5 2 2 2 3 9" xfId="4634"/>
    <cellStyle name="Currency 5 2 2 2 4" xfId="724"/>
    <cellStyle name="Currency 5 2 2 2 4 2" xfId="2978"/>
    <cellStyle name="Currency 5 2 2 2 4 2 2" xfId="7190"/>
    <cellStyle name="Currency 5 2 2 2 4 3" xfId="5045"/>
    <cellStyle name="Currency 5 2 2 2 5" xfId="1160"/>
    <cellStyle name="Currency 5 2 2 2 5 2" xfId="3391"/>
    <cellStyle name="Currency 5 2 2 2 5 2 2" xfId="7603"/>
    <cellStyle name="Currency 5 2 2 2 5 3" xfId="5458"/>
    <cellStyle name="Currency 5 2 2 2 6" xfId="1574"/>
    <cellStyle name="Currency 5 2 2 2 6 2" xfId="3804"/>
    <cellStyle name="Currency 5 2 2 2 6 2 2" xfId="8016"/>
    <cellStyle name="Currency 5 2 2 2 6 3" xfId="5871"/>
    <cellStyle name="Currency 5 2 2 2 7" xfId="1988"/>
    <cellStyle name="Currency 5 2 2 2 7 2" xfId="4217"/>
    <cellStyle name="Currency 5 2 2 2 7 2 2" xfId="8429"/>
    <cellStyle name="Currency 5 2 2 2 7 3" xfId="6284"/>
    <cellStyle name="Currency 5 2 2 2 8" xfId="2423"/>
    <cellStyle name="Currency 5 2 2 2 8 2" xfId="6697"/>
    <cellStyle name="Currency 5 2 2 2 9" xfId="2720"/>
    <cellStyle name="Currency 5 2 2 3" xfId="200"/>
    <cellStyle name="Currency 5 2 2 3 10" xfId="4635"/>
    <cellStyle name="Currency 5 2 2 3 2" xfId="201"/>
    <cellStyle name="Currency 5 2 2 3 2 2" xfId="729"/>
    <cellStyle name="Currency 5 2 2 3 2 2 2" xfId="2983"/>
    <cellStyle name="Currency 5 2 2 3 2 2 2 2" xfId="7195"/>
    <cellStyle name="Currency 5 2 2 3 2 2 3" xfId="5050"/>
    <cellStyle name="Currency 5 2 2 3 2 3" xfId="1165"/>
    <cellStyle name="Currency 5 2 2 3 2 3 2" xfId="3396"/>
    <cellStyle name="Currency 5 2 2 3 2 3 2 2" xfId="7608"/>
    <cellStyle name="Currency 5 2 2 3 2 3 3" xfId="5463"/>
    <cellStyle name="Currency 5 2 2 3 2 4" xfId="1579"/>
    <cellStyle name="Currency 5 2 2 3 2 4 2" xfId="3809"/>
    <cellStyle name="Currency 5 2 2 3 2 4 2 2" xfId="8021"/>
    <cellStyle name="Currency 5 2 2 3 2 4 3" xfId="5876"/>
    <cellStyle name="Currency 5 2 2 3 2 5" xfId="1993"/>
    <cellStyle name="Currency 5 2 2 3 2 5 2" xfId="4222"/>
    <cellStyle name="Currency 5 2 2 3 2 5 2 2" xfId="8434"/>
    <cellStyle name="Currency 5 2 2 3 2 5 3" xfId="6289"/>
    <cellStyle name="Currency 5 2 2 3 2 6" xfId="2428"/>
    <cellStyle name="Currency 5 2 2 3 2 6 2" xfId="6702"/>
    <cellStyle name="Currency 5 2 2 3 2 7" xfId="2725"/>
    <cellStyle name="Currency 5 2 2 3 2 8" xfId="2806"/>
    <cellStyle name="Currency 5 2 2 3 2 8 2" xfId="7019"/>
    <cellStyle name="Currency 5 2 2 3 2 9" xfId="4636"/>
    <cellStyle name="Currency 5 2 2 3 3" xfId="728"/>
    <cellStyle name="Currency 5 2 2 3 3 2" xfId="2982"/>
    <cellStyle name="Currency 5 2 2 3 3 2 2" xfId="7194"/>
    <cellStyle name="Currency 5 2 2 3 3 3" xfId="5049"/>
    <cellStyle name="Currency 5 2 2 3 4" xfId="1164"/>
    <cellStyle name="Currency 5 2 2 3 4 2" xfId="3395"/>
    <cellStyle name="Currency 5 2 2 3 4 2 2" xfId="7607"/>
    <cellStyle name="Currency 5 2 2 3 4 3" xfId="5462"/>
    <cellStyle name="Currency 5 2 2 3 5" xfId="1578"/>
    <cellStyle name="Currency 5 2 2 3 5 2" xfId="3808"/>
    <cellStyle name="Currency 5 2 2 3 5 2 2" xfId="8020"/>
    <cellStyle name="Currency 5 2 2 3 5 3" xfId="5875"/>
    <cellStyle name="Currency 5 2 2 3 6" xfId="1992"/>
    <cellStyle name="Currency 5 2 2 3 6 2" xfId="4221"/>
    <cellStyle name="Currency 5 2 2 3 6 2 2" xfId="8433"/>
    <cellStyle name="Currency 5 2 2 3 6 3" xfId="6288"/>
    <cellStyle name="Currency 5 2 2 3 7" xfId="2427"/>
    <cellStyle name="Currency 5 2 2 3 7 2" xfId="6701"/>
    <cellStyle name="Currency 5 2 2 3 8" xfId="2724"/>
    <cellStyle name="Currency 5 2 2 3 9" xfId="2805"/>
    <cellStyle name="Currency 5 2 2 3 9 2" xfId="7018"/>
    <cellStyle name="Currency 5 2 2 4" xfId="202"/>
    <cellStyle name="Currency 5 2 2 4 2" xfId="730"/>
    <cellStyle name="Currency 5 2 2 4 2 2" xfId="2984"/>
    <cellStyle name="Currency 5 2 2 4 2 2 2" xfId="7196"/>
    <cellStyle name="Currency 5 2 2 4 2 3" xfId="5051"/>
    <cellStyle name="Currency 5 2 2 4 3" xfId="1166"/>
    <cellStyle name="Currency 5 2 2 4 3 2" xfId="3397"/>
    <cellStyle name="Currency 5 2 2 4 3 2 2" xfId="7609"/>
    <cellStyle name="Currency 5 2 2 4 3 3" xfId="5464"/>
    <cellStyle name="Currency 5 2 2 4 4" xfId="1580"/>
    <cellStyle name="Currency 5 2 2 4 4 2" xfId="3810"/>
    <cellStyle name="Currency 5 2 2 4 4 2 2" xfId="8022"/>
    <cellStyle name="Currency 5 2 2 4 4 3" xfId="5877"/>
    <cellStyle name="Currency 5 2 2 4 5" xfId="1994"/>
    <cellStyle name="Currency 5 2 2 4 5 2" xfId="4223"/>
    <cellStyle name="Currency 5 2 2 4 5 2 2" xfId="8435"/>
    <cellStyle name="Currency 5 2 2 4 5 3" xfId="6290"/>
    <cellStyle name="Currency 5 2 2 4 6" xfId="2429"/>
    <cellStyle name="Currency 5 2 2 4 6 2" xfId="6703"/>
    <cellStyle name="Currency 5 2 2 4 7" xfId="2726"/>
    <cellStyle name="Currency 5 2 2 4 8" xfId="2807"/>
    <cellStyle name="Currency 5 2 2 4 8 2" xfId="7020"/>
    <cellStyle name="Currency 5 2 2 4 9" xfId="4637"/>
    <cellStyle name="Currency 5 2 2 5" xfId="203"/>
    <cellStyle name="Currency 5 2 2 5 2" xfId="731"/>
    <cellStyle name="Currency 5 2 2 5 2 2" xfId="2985"/>
    <cellStyle name="Currency 5 2 2 5 2 2 2" xfId="7197"/>
    <cellStyle name="Currency 5 2 2 5 2 3" xfId="5052"/>
    <cellStyle name="Currency 5 2 2 5 3" xfId="1167"/>
    <cellStyle name="Currency 5 2 2 5 3 2" xfId="3398"/>
    <cellStyle name="Currency 5 2 2 5 3 2 2" xfId="7610"/>
    <cellStyle name="Currency 5 2 2 5 3 3" xfId="5465"/>
    <cellStyle name="Currency 5 2 2 5 4" xfId="1581"/>
    <cellStyle name="Currency 5 2 2 5 4 2" xfId="3811"/>
    <cellStyle name="Currency 5 2 2 5 4 2 2" xfId="8023"/>
    <cellStyle name="Currency 5 2 2 5 4 3" xfId="5878"/>
    <cellStyle name="Currency 5 2 2 5 5" xfId="1995"/>
    <cellStyle name="Currency 5 2 2 5 5 2" xfId="4224"/>
    <cellStyle name="Currency 5 2 2 5 5 2 2" xfId="8436"/>
    <cellStyle name="Currency 5 2 2 5 5 3" xfId="6291"/>
    <cellStyle name="Currency 5 2 2 5 6" xfId="2430"/>
    <cellStyle name="Currency 5 2 2 5 6 2" xfId="6704"/>
    <cellStyle name="Currency 5 2 2 5 7" xfId="2727"/>
    <cellStyle name="Currency 5 2 2 5 8" xfId="2808"/>
    <cellStyle name="Currency 5 2 2 5 8 2" xfId="7021"/>
    <cellStyle name="Currency 5 2 2 5 9" xfId="4638"/>
    <cellStyle name="Currency 5 2 3" xfId="204"/>
    <cellStyle name="Currency 5 2 3 2" xfId="732"/>
    <cellStyle name="Currency 5 2 4" xfId="205"/>
    <cellStyle name="Currency 5 2 4 10" xfId="4639"/>
    <cellStyle name="Currency 5 2 4 2" xfId="206"/>
    <cellStyle name="Currency 5 2 4 2 2" xfId="734"/>
    <cellStyle name="Currency 5 2 4 2 2 2" xfId="2987"/>
    <cellStyle name="Currency 5 2 4 2 2 2 2" xfId="7199"/>
    <cellStyle name="Currency 5 2 4 2 2 3" xfId="5054"/>
    <cellStyle name="Currency 5 2 4 2 3" xfId="1169"/>
    <cellStyle name="Currency 5 2 4 2 3 2" xfId="3400"/>
    <cellStyle name="Currency 5 2 4 2 3 2 2" xfId="7612"/>
    <cellStyle name="Currency 5 2 4 2 3 3" xfId="5467"/>
    <cellStyle name="Currency 5 2 4 2 4" xfId="1583"/>
    <cellStyle name="Currency 5 2 4 2 4 2" xfId="3813"/>
    <cellStyle name="Currency 5 2 4 2 4 2 2" xfId="8025"/>
    <cellStyle name="Currency 5 2 4 2 4 3" xfId="5880"/>
    <cellStyle name="Currency 5 2 4 2 5" xfId="1997"/>
    <cellStyle name="Currency 5 2 4 2 5 2" xfId="4226"/>
    <cellStyle name="Currency 5 2 4 2 5 2 2" xfId="8438"/>
    <cellStyle name="Currency 5 2 4 2 5 3" xfId="6293"/>
    <cellStyle name="Currency 5 2 4 2 6" xfId="2432"/>
    <cellStyle name="Currency 5 2 4 2 6 2" xfId="6706"/>
    <cellStyle name="Currency 5 2 4 2 7" xfId="2729"/>
    <cellStyle name="Currency 5 2 4 2 8" xfId="2810"/>
    <cellStyle name="Currency 5 2 4 2 8 2" xfId="7023"/>
    <cellStyle name="Currency 5 2 4 2 9" xfId="4640"/>
    <cellStyle name="Currency 5 2 4 3" xfId="733"/>
    <cellStyle name="Currency 5 2 4 3 2" xfId="2986"/>
    <cellStyle name="Currency 5 2 4 3 2 2" xfId="7198"/>
    <cellStyle name="Currency 5 2 4 3 3" xfId="5053"/>
    <cellStyle name="Currency 5 2 4 4" xfId="1168"/>
    <cellStyle name="Currency 5 2 4 4 2" xfId="3399"/>
    <cellStyle name="Currency 5 2 4 4 2 2" xfId="7611"/>
    <cellStyle name="Currency 5 2 4 4 3" xfId="5466"/>
    <cellStyle name="Currency 5 2 4 5" xfId="1582"/>
    <cellStyle name="Currency 5 2 4 5 2" xfId="3812"/>
    <cellStyle name="Currency 5 2 4 5 2 2" xfId="8024"/>
    <cellStyle name="Currency 5 2 4 5 3" xfId="5879"/>
    <cellStyle name="Currency 5 2 4 6" xfId="1996"/>
    <cellStyle name="Currency 5 2 4 6 2" xfId="4225"/>
    <cellStyle name="Currency 5 2 4 6 2 2" xfId="8437"/>
    <cellStyle name="Currency 5 2 4 6 3" xfId="6292"/>
    <cellStyle name="Currency 5 2 4 7" xfId="2431"/>
    <cellStyle name="Currency 5 2 4 7 2" xfId="6705"/>
    <cellStyle name="Currency 5 2 4 8" xfId="2728"/>
    <cellStyle name="Currency 5 2 4 9" xfId="2809"/>
    <cellStyle name="Currency 5 2 4 9 2" xfId="7022"/>
    <cellStyle name="Currency 5 2 5" xfId="207"/>
    <cellStyle name="Currency 5 2 5 2" xfId="735"/>
    <cellStyle name="Currency 5 2 5 2 2" xfId="2988"/>
    <cellStyle name="Currency 5 2 5 2 2 2" xfId="7200"/>
    <cellStyle name="Currency 5 2 5 2 3" xfId="5055"/>
    <cellStyle name="Currency 5 2 5 3" xfId="1170"/>
    <cellStyle name="Currency 5 2 5 3 2" xfId="3401"/>
    <cellStyle name="Currency 5 2 5 3 2 2" xfId="7613"/>
    <cellStyle name="Currency 5 2 5 3 3" xfId="5468"/>
    <cellStyle name="Currency 5 2 5 4" xfId="1584"/>
    <cellStyle name="Currency 5 2 5 4 2" xfId="3814"/>
    <cellStyle name="Currency 5 2 5 4 2 2" xfId="8026"/>
    <cellStyle name="Currency 5 2 5 4 3" xfId="5881"/>
    <cellStyle name="Currency 5 2 5 5" xfId="1998"/>
    <cellStyle name="Currency 5 2 5 5 2" xfId="4227"/>
    <cellStyle name="Currency 5 2 5 5 2 2" xfId="8439"/>
    <cellStyle name="Currency 5 2 5 5 3" xfId="6294"/>
    <cellStyle name="Currency 5 2 5 6" xfId="2433"/>
    <cellStyle name="Currency 5 2 5 6 2" xfId="6707"/>
    <cellStyle name="Currency 5 2 5 7" xfId="2730"/>
    <cellStyle name="Currency 5 2 5 8" xfId="2811"/>
    <cellStyle name="Currency 5 2 5 8 2" xfId="7024"/>
    <cellStyle name="Currency 5 2 5 9" xfId="4641"/>
    <cellStyle name="Currency 5 2 6" xfId="208"/>
    <cellStyle name="Currency 5 2 6 2" xfId="736"/>
    <cellStyle name="Currency 5 2 6 2 2" xfId="2989"/>
    <cellStyle name="Currency 5 2 6 2 2 2" xfId="7201"/>
    <cellStyle name="Currency 5 2 6 2 3" xfId="5056"/>
    <cellStyle name="Currency 5 2 6 3" xfId="1171"/>
    <cellStyle name="Currency 5 2 6 3 2" xfId="3402"/>
    <cellStyle name="Currency 5 2 6 3 2 2" xfId="7614"/>
    <cellStyle name="Currency 5 2 6 3 3" xfId="5469"/>
    <cellStyle name="Currency 5 2 6 4" xfId="1585"/>
    <cellStyle name="Currency 5 2 6 4 2" xfId="3815"/>
    <cellStyle name="Currency 5 2 6 4 2 2" xfId="8027"/>
    <cellStyle name="Currency 5 2 6 4 3" xfId="5882"/>
    <cellStyle name="Currency 5 2 6 5" xfId="1999"/>
    <cellStyle name="Currency 5 2 6 5 2" xfId="4228"/>
    <cellStyle name="Currency 5 2 6 5 2 2" xfId="8440"/>
    <cellStyle name="Currency 5 2 6 5 3" xfId="6295"/>
    <cellStyle name="Currency 5 2 6 6" xfId="2434"/>
    <cellStyle name="Currency 5 2 6 6 2" xfId="6708"/>
    <cellStyle name="Currency 5 2 6 7" xfId="2731"/>
    <cellStyle name="Currency 5 2 6 8" xfId="2812"/>
    <cellStyle name="Currency 5 2 6 8 2" xfId="7025"/>
    <cellStyle name="Currency 5 2 6 9" xfId="4642"/>
    <cellStyle name="Currency 5 2 7" xfId="723"/>
    <cellStyle name="Currency 5 3" xfId="209"/>
    <cellStyle name="Currency 5 3 2" xfId="210"/>
    <cellStyle name="Currency 5 3 2 10" xfId="2813"/>
    <cellStyle name="Currency 5 3 2 10 2" xfId="7026"/>
    <cellStyle name="Currency 5 3 2 11" xfId="4643"/>
    <cellStyle name="Currency 5 3 2 2" xfId="211"/>
    <cellStyle name="Currency 5 3 2 2 10" xfId="4644"/>
    <cellStyle name="Currency 5 3 2 2 2" xfId="212"/>
    <cellStyle name="Currency 5 3 2 2 2 2" xfId="739"/>
    <cellStyle name="Currency 5 3 2 2 2 2 2" xfId="2992"/>
    <cellStyle name="Currency 5 3 2 2 2 2 2 2" xfId="7204"/>
    <cellStyle name="Currency 5 3 2 2 2 2 3" xfId="5059"/>
    <cellStyle name="Currency 5 3 2 2 2 3" xfId="1174"/>
    <cellStyle name="Currency 5 3 2 2 2 3 2" xfId="3405"/>
    <cellStyle name="Currency 5 3 2 2 2 3 2 2" xfId="7617"/>
    <cellStyle name="Currency 5 3 2 2 2 3 3" xfId="5472"/>
    <cellStyle name="Currency 5 3 2 2 2 4" xfId="1588"/>
    <cellStyle name="Currency 5 3 2 2 2 4 2" xfId="3818"/>
    <cellStyle name="Currency 5 3 2 2 2 4 2 2" xfId="8030"/>
    <cellStyle name="Currency 5 3 2 2 2 4 3" xfId="5885"/>
    <cellStyle name="Currency 5 3 2 2 2 5" xfId="2002"/>
    <cellStyle name="Currency 5 3 2 2 2 5 2" xfId="4231"/>
    <cellStyle name="Currency 5 3 2 2 2 5 2 2" xfId="8443"/>
    <cellStyle name="Currency 5 3 2 2 2 5 3" xfId="6298"/>
    <cellStyle name="Currency 5 3 2 2 2 6" xfId="2437"/>
    <cellStyle name="Currency 5 3 2 2 2 6 2" xfId="6711"/>
    <cellStyle name="Currency 5 3 2 2 2 7" xfId="2734"/>
    <cellStyle name="Currency 5 3 2 2 2 8" xfId="2815"/>
    <cellStyle name="Currency 5 3 2 2 2 8 2" xfId="7028"/>
    <cellStyle name="Currency 5 3 2 2 2 9" xfId="4645"/>
    <cellStyle name="Currency 5 3 2 2 3" xfId="738"/>
    <cellStyle name="Currency 5 3 2 2 3 2" xfId="2991"/>
    <cellStyle name="Currency 5 3 2 2 3 2 2" xfId="7203"/>
    <cellStyle name="Currency 5 3 2 2 3 3" xfId="5058"/>
    <cellStyle name="Currency 5 3 2 2 4" xfId="1173"/>
    <cellStyle name="Currency 5 3 2 2 4 2" xfId="3404"/>
    <cellStyle name="Currency 5 3 2 2 4 2 2" xfId="7616"/>
    <cellStyle name="Currency 5 3 2 2 4 3" xfId="5471"/>
    <cellStyle name="Currency 5 3 2 2 5" xfId="1587"/>
    <cellStyle name="Currency 5 3 2 2 5 2" xfId="3817"/>
    <cellStyle name="Currency 5 3 2 2 5 2 2" xfId="8029"/>
    <cellStyle name="Currency 5 3 2 2 5 3" xfId="5884"/>
    <cellStyle name="Currency 5 3 2 2 6" xfId="2001"/>
    <cellStyle name="Currency 5 3 2 2 6 2" xfId="4230"/>
    <cellStyle name="Currency 5 3 2 2 6 2 2" xfId="8442"/>
    <cellStyle name="Currency 5 3 2 2 6 3" xfId="6297"/>
    <cellStyle name="Currency 5 3 2 2 7" xfId="2436"/>
    <cellStyle name="Currency 5 3 2 2 7 2" xfId="6710"/>
    <cellStyle name="Currency 5 3 2 2 8" xfId="2733"/>
    <cellStyle name="Currency 5 3 2 2 9" xfId="2814"/>
    <cellStyle name="Currency 5 3 2 2 9 2" xfId="7027"/>
    <cellStyle name="Currency 5 3 2 3" xfId="213"/>
    <cellStyle name="Currency 5 3 2 3 2" xfId="740"/>
    <cellStyle name="Currency 5 3 2 3 2 2" xfId="2993"/>
    <cellStyle name="Currency 5 3 2 3 2 2 2" xfId="7205"/>
    <cellStyle name="Currency 5 3 2 3 2 3" xfId="5060"/>
    <cellStyle name="Currency 5 3 2 3 3" xfId="1175"/>
    <cellStyle name="Currency 5 3 2 3 3 2" xfId="3406"/>
    <cellStyle name="Currency 5 3 2 3 3 2 2" xfId="7618"/>
    <cellStyle name="Currency 5 3 2 3 3 3" xfId="5473"/>
    <cellStyle name="Currency 5 3 2 3 4" xfId="1589"/>
    <cellStyle name="Currency 5 3 2 3 4 2" xfId="3819"/>
    <cellStyle name="Currency 5 3 2 3 4 2 2" xfId="8031"/>
    <cellStyle name="Currency 5 3 2 3 4 3" xfId="5886"/>
    <cellStyle name="Currency 5 3 2 3 5" xfId="2003"/>
    <cellStyle name="Currency 5 3 2 3 5 2" xfId="4232"/>
    <cellStyle name="Currency 5 3 2 3 5 2 2" xfId="8444"/>
    <cellStyle name="Currency 5 3 2 3 5 3" xfId="6299"/>
    <cellStyle name="Currency 5 3 2 3 6" xfId="2438"/>
    <cellStyle name="Currency 5 3 2 3 6 2" xfId="6712"/>
    <cellStyle name="Currency 5 3 2 3 7" xfId="2735"/>
    <cellStyle name="Currency 5 3 2 3 8" xfId="2816"/>
    <cellStyle name="Currency 5 3 2 3 8 2" xfId="7029"/>
    <cellStyle name="Currency 5 3 2 3 9" xfId="4646"/>
    <cellStyle name="Currency 5 3 2 4" xfId="737"/>
    <cellStyle name="Currency 5 3 2 4 2" xfId="2990"/>
    <cellStyle name="Currency 5 3 2 4 2 2" xfId="7202"/>
    <cellStyle name="Currency 5 3 2 4 3" xfId="5057"/>
    <cellStyle name="Currency 5 3 2 5" xfId="1172"/>
    <cellStyle name="Currency 5 3 2 5 2" xfId="3403"/>
    <cellStyle name="Currency 5 3 2 5 2 2" xfId="7615"/>
    <cellStyle name="Currency 5 3 2 5 3" xfId="5470"/>
    <cellStyle name="Currency 5 3 2 6" xfId="1586"/>
    <cellStyle name="Currency 5 3 2 6 2" xfId="3816"/>
    <cellStyle name="Currency 5 3 2 6 2 2" xfId="8028"/>
    <cellStyle name="Currency 5 3 2 6 3" xfId="5883"/>
    <cellStyle name="Currency 5 3 2 7" xfId="2000"/>
    <cellStyle name="Currency 5 3 2 7 2" xfId="4229"/>
    <cellStyle name="Currency 5 3 2 7 2 2" xfId="8441"/>
    <cellStyle name="Currency 5 3 2 7 3" xfId="6296"/>
    <cellStyle name="Currency 5 3 2 8" xfId="2435"/>
    <cellStyle name="Currency 5 3 2 8 2" xfId="6709"/>
    <cellStyle name="Currency 5 3 2 9" xfId="2732"/>
    <cellStyle name="Currency 5 3 3" xfId="214"/>
    <cellStyle name="Currency 5 3 3 10" xfId="4647"/>
    <cellStyle name="Currency 5 3 3 2" xfId="215"/>
    <cellStyle name="Currency 5 3 3 2 2" xfId="742"/>
    <cellStyle name="Currency 5 3 3 2 2 2" xfId="2995"/>
    <cellStyle name="Currency 5 3 3 2 2 2 2" xfId="7207"/>
    <cellStyle name="Currency 5 3 3 2 2 3" xfId="5062"/>
    <cellStyle name="Currency 5 3 3 2 3" xfId="1177"/>
    <cellStyle name="Currency 5 3 3 2 3 2" xfId="3408"/>
    <cellStyle name="Currency 5 3 3 2 3 2 2" xfId="7620"/>
    <cellStyle name="Currency 5 3 3 2 3 3" xfId="5475"/>
    <cellStyle name="Currency 5 3 3 2 4" xfId="1591"/>
    <cellStyle name="Currency 5 3 3 2 4 2" xfId="3821"/>
    <cellStyle name="Currency 5 3 3 2 4 2 2" xfId="8033"/>
    <cellStyle name="Currency 5 3 3 2 4 3" xfId="5888"/>
    <cellStyle name="Currency 5 3 3 2 5" xfId="2005"/>
    <cellStyle name="Currency 5 3 3 2 5 2" xfId="4234"/>
    <cellStyle name="Currency 5 3 3 2 5 2 2" xfId="8446"/>
    <cellStyle name="Currency 5 3 3 2 5 3" xfId="6301"/>
    <cellStyle name="Currency 5 3 3 2 6" xfId="2440"/>
    <cellStyle name="Currency 5 3 3 2 6 2" xfId="6714"/>
    <cellStyle name="Currency 5 3 3 2 7" xfId="2737"/>
    <cellStyle name="Currency 5 3 3 2 8" xfId="2818"/>
    <cellStyle name="Currency 5 3 3 2 8 2" xfId="7031"/>
    <cellStyle name="Currency 5 3 3 2 9" xfId="4648"/>
    <cellStyle name="Currency 5 3 3 3" xfId="741"/>
    <cellStyle name="Currency 5 3 3 3 2" xfId="2994"/>
    <cellStyle name="Currency 5 3 3 3 2 2" xfId="7206"/>
    <cellStyle name="Currency 5 3 3 3 3" xfId="5061"/>
    <cellStyle name="Currency 5 3 3 4" xfId="1176"/>
    <cellStyle name="Currency 5 3 3 4 2" xfId="3407"/>
    <cellStyle name="Currency 5 3 3 4 2 2" xfId="7619"/>
    <cellStyle name="Currency 5 3 3 4 3" xfId="5474"/>
    <cellStyle name="Currency 5 3 3 5" xfId="1590"/>
    <cellStyle name="Currency 5 3 3 5 2" xfId="3820"/>
    <cellStyle name="Currency 5 3 3 5 2 2" xfId="8032"/>
    <cellStyle name="Currency 5 3 3 5 3" xfId="5887"/>
    <cellStyle name="Currency 5 3 3 6" xfId="2004"/>
    <cellStyle name="Currency 5 3 3 6 2" xfId="4233"/>
    <cellStyle name="Currency 5 3 3 6 2 2" xfId="8445"/>
    <cellStyle name="Currency 5 3 3 6 3" xfId="6300"/>
    <cellStyle name="Currency 5 3 3 7" xfId="2439"/>
    <cellStyle name="Currency 5 3 3 7 2" xfId="6713"/>
    <cellStyle name="Currency 5 3 3 8" xfId="2736"/>
    <cellStyle name="Currency 5 3 3 9" xfId="2817"/>
    <cellStyle name="Currency 5 3 3 9 2" xfId="7030"/>
    <cellStyle name="Currency 5 3 4" xfId="216"/>
    <cellStyle name="Currency 5 3 4 2" xfId="743"/>
    <cellStyle name="Currency 5 3 4 2 2" xfId="2996"/>
    <cellStyle name="Currency 5 3 4 2 2 2" xfId="7208"/>
    <cellStyle name="Currency 5 3 4 2 3" xfId="5063"/>
    <cellStyle name="Currency 5 3 4 3" xfId="1178"/>
    <cellStyle name="Currency 5 3 4 3 2" xfId="3409"/>
    <cellStyle name="Currency 5 3 4 3 2 2" xfId="7621"/>
    <cellStyle name="Currency 5 3 4 3 3" xfId="5476"/>
    <cellStyle name="Currency 5 3 4 4" xfId="1592"/>
    <cellStyle name="Currency 5 3 4 4 2" xfId="3822"/>
    <cellStyle name="Currency 5 3 4 4 2 2" xfId="8034"/>
    <cellStyle name="Currency 5 3 4 4 3" xfId="5889"/>
    <cellStyle name="Currency 5 3 4 5" xfId="2006"/>
    <cellStyle name="Currency 5 3 4 5 2" xfId="4235"/>
    <cellStyle name="Currency 5 3 4 5 2 2" xfId="8447"/>
    <cellStyle name="Currency 5 3 4 5 3" xfId="6302"/>
    <cellStyle name="Currency 5 3 4 6" xfId="2441"/>
    <cellStyle name="Currency 5 3 4 6 2" xfId="6715"/>
    <cellStyle name="Currency 5 3 4 7" xfId="2738"/>
    <cellStyle name="Currency 5 3 4 8" xfId="2819"/>
    <cellStyle name="Currency 5 3 4 8 2" xfId="7032"/>
    <cellStyle name="Currency 5 3 4 9" xfId="4649"/>
    <cellStyle name="Currency 5 3 5" xfId="217"/>
    <cellStyle name="Currency 5 3 5 2" xfId="744"/>
    <cellStyle name="Currency 5 3 5 2 2" xfId="2997"/>
    <cellStyle name="Currency 5 3 5 2 2 2" xfId="7209"/>
    <cellStyle name="Currency 5 3 5 2 3" xfId="5064"/>
    <cellStyle name="Currency 5 3 5 3" xfId="1179"/>
    <cellStyle name="Currency 5 3 5 3 2" xfId="3410"/>
    <cellStyle name="Currency 5 3 5 3 2 2" xfId="7622"/>
    <cellStyle name="Currency 5 3 5 3 3" xfId="5477"/>
    <cellStyle name="Currency 5 3 5 4" xfId="1593"/>
    <cellStyle name="Currency 5 3 5 4 2" xfId="3823"/>
    <cellStyle name="Currency 5 3 5 4 2 2" xfId="8035"/>
    <cellStyle name="Currency 5 3 5 4 3" xfId="5890"/>
    <cellStyle name="Currency 5 3 5 5" xfId="2007"/>
    <cellStyle name="Currency 5 3 5 5 2" xfId="4236"/>
    <cellStyle name="Currency 5 3 5 5 2 2" xfId="8448"/>
    <cellStyle name="Currency 5 3 5 5 3" xfId="6303"/>
    <cellStyle name="Currency 5 3 5 6" xfId="2442"/>
    <cellStyle name="Currency 5 3 5 6 2" xfId="6716"/>
    <cellStyle name="Currency 5 3 5 7" xfId="2739"/>
    <cellStyle name="Currency 5 3 5 8" xfId="2820"/>
    <cellStyle name="Currency 5 3 5 8 2" xfId="7033"/>
    <cellStyle name="Currency 5 3 5 9" xfId="4650"/>
    <cellStyle name="Currency 5 4" xfId="218"/>
    <cellStyle name="Currency 5 4 2" xfId="745"/>
    <cellStyle name="Currency 5 5" xfId="219"/>
    <cellStyle name="Currency 5 5 10" xfId="4651"/>
    <cellStyle name="Currency 5 5 2" xfId="220"/>
    <cellStyle name="Currency 5 5 2 2" xfId="747"/>
    <cellStyle name="Currency 5 5 2 2 2" xfId="2999"/>
    <cellStyle name="Currency 5 5 2 2 2 2" xfId="7211"/>
    <cellStyle name="Currency 5 5 2 2 3" xfId="5066"/>
    <cellStyle name="Currency 5 5 2 3" xfId="1181"/>
    <cellStyle name="Currency 5 5 2 3 2" xfId="3412"/>
    <cellStyle name="Currency 5 5 2 3 2 2" xfId="7624"/>
    <cellStyle name="Currency 5 5 2 3 3" xfId="5479"/>
    <cellStyle name="Currency 5 5 2 4" xfId="1595"/>
    <cellStyle name="Currency 5 5 2 4 2" xfId="3825"/>
    <cellStyle name="Currency 5 5 2 4 2 2" xfId="8037"/>
    <cellStyle name="Currency 5 5 2 4 3" xfId="5892"/>
    <cellStyle name="Currency 5 5 2 5" xfId="2009"/>
    <cellStyle name="Currency 5 5 2 5 2" xfId="4238"/>
    <cellStyle name="Currency 5 5 2 5 2 2" xfId="8450"/>
    <cellStyle name="Currency 5 5 2 5 3" xfId="6305"/>
    <cellStyle name="Currency 5 5 2 6" xfId="2444"/>
    <cellStyle name="Currency 5 5 2 6 2" xfId="6718"/>
    <cellStyle name="Currency 5 5 2 7" xfId="2741"/>
    <cellStyle name="Currency 5 5 2 8" xfId="2822"/>
    <cellStyle name="Currency 5 5 2 8 2" xfId="7035"/>
    <cellStyle name="Currency 5 5 2 9" xfId="4652"/>
    <cellStyle name="Currency 5 5 3" xfId="746"/>
    <cellStyle name="Currency 5 5 3 2" xfId="2998"/>
    <cellStyle name="Currency 5 5 3 2 2" xfId="7210"/>
    <cellStyle name="Currency 5 5 3 3" xfId="5065"/>
    <cellStyle name="Currency 5 5 4" xfId="1180"/>
    <cellStyle name="Currency 5 5 4 2" xfId="3411"/>
    <cellStyle name="Currency 5 5 4 2 2" xfId="7623"/>
    <cellStyle name="Currency 5 5 4 3" xfId="5478"/>
    <cellStyle name="Currency 5 5 5" xfId="1594"/>
    <cellStyle name="Currency 5 5 5 2" xfId="3824"/>
    <cellStyle name="Currency 5 5 5 2 2" xfId="8036"/>
    <cellStyle name="Currency 5 5 5 3" xfId="5891"/>
    <cellStyle name="Currency 5 5 6" xfId="2008"/>
    <cellStyle name="Currency 5 5 6 2" xfId="4237"/>
    <cellStyle name="Currency 5 5 6 2 2" xfId="8449"/>
    <cellStyle name="Currency 5 5 6 3" xfId="6304"/>
    <cellStyle name="Currency 5 5 7" xfId="2443"/>
    <cellStyle name="Currency 5 5 7 2" xfId="6717"/>
    <cellStyle name="Currency 5 5 8" xfId="2740"/>
    <cellStyle name="Currency 5 5 9" xfId="2821"/>
    <cellStyle name="Currency 5 5 9 2" xfId="7034"/>
    <cellStyle name="Currency 5 6" xfId="221"/>
    <cellStyle name="Currency 5 6 2" xfId="748"/>
    <cellStyle name="Currency 5 6 2 2" xfId="3000"/>
    <cellStyle name="Currency 5 6 2 2 2" xfId="7212"/>
    <cellStyle name="Currency 5 6 2 3" xfId="5067"/>
    <cellStyle name="Currency 5 6 3" xfId="1182"/>
    <cellStyle name="Currency 5 6 3 2" xfId="3413"/>
    <cellStyle name="Currency 5 6 3 2 2" xfId="7625"/>
    <cellStyle name="Currency 5 6 3 3" xfId="5480"/>
    <cellStyle name="Currency 5 6 4" xfId="1596"/>
    <cellStyle name="Currency 5 6 4 2" xfId="3826"/>
    <cellStyle name="Currency 5 6 4 2 2" xfId="8038"/>
    <cellStyle name="Currency 5 6 4 3" xfId="5893"/>
    <cellStyle name="Currency 5 6 5" xfId="2010"/>
    <cellStyle name="Currency 5 6 5 2" xfId="4239"/>
    <cellStyle name="Currency 5 6 5 2 2" xfId="8451"/>
    <cellStyle name="Currency 5 6 5 3" xfId="6306"/>
    <cellStyle name="Currency 5 6 6" xfId="2445"/>
    <cellStyle name="Currency 5 6 6 2" xfId="6719"/>
    <cellStyle name="Currency 5 6 7" xfId="2742"/>
    <cellStyle name="Currency 5 6 8" xfId="2823"/>
    <cellStyle name="Currency 5 6 8 2" xfId="7036"/>
    <cellStyle name="Currency 5 6 9" xfId="4653"/>
    <cellStyle name="Currency 5 7" xfId="222"/>
    <cellStyle name="Currency 5 7 2" xfId="749"/>
    <cellStyle name="Currency 5 7 2 2" xfId="3001"/>
    <cellStyle name="Currency 5 7 2 2 2" xfId="7213"/>
    <cellStyle name="Currency 5 7 2 3" xfId="5068"/>
    <cellStyle name="Currency 5 7 3" xfId="1183"/>
    <cellStyle name="Currency 5 7 3 2" xfId="3414"/>
    <cellStyle name="Currency 5 7 3 2 2" xfId="7626"/>
    <cellStyle name="Currency 5 7 3 3" xfId="5481"/>
    <cellStyle name="Currency 5 7 4" xfId="1597"/>
    <cellStyle name="Currency 5 7 4 2" xfId="3827"/>
    <cellStyle name="Currency 5 7 4 2 2" xfId="8039"/>
    <cellStyle name="Currency 5 7 4 3" xfId="5894"/>
    <cellStyle name="Currency 5 7 5" xfId="2011"/>
    <cellStyle name="Currency 5 7 5 2" xfId="4240"/>
    <cellStyle name="Currency 5 7 5 2 2" xfId="8452"/>
    <cellStyle name="Currency 5 7 5 3" xfId="6307"/>
    <cellStyle name="Currency 5 7 6" xfId="2446"/>
    <cellStyle name="Currency 5 7 6 2" xfId="6720"/>
    <cellStyle name="Currency 5 7 7" xfId="2743"/>
    <cellStyle name="Currency 5 7 8" xfId="2824"/>
    <cellStyle name="Currency 5 7 8 2" xfId="7037"/>
    <cellStyle name="Currency 5 7 9" xfId="465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21"/>
    <cellStyle name="Normal 12 11" xfId="4655"/>
    <cellStyle name="Normal 12 2" xfId="260"/>
    <cellStyle name="Normal 12 2 2" xfId="261"/>
    <cellStyle name="Normal 12 2 2 2" xfId="262"/>
    <cellStyle name="Normal 12 2 2 2 2" xfId="764"/>
    <cellStyle name="Normal 12 2 2 2 2 2" xfId="3005"/>
    <cellStyle name="Normal 12 2 2 2 2 2 2" xfId="7217"/>
    <cellStyle name="Normal 12 2 2 2 2 3" xfId="5072"/>
    <cellStyle name="Normal 12 2 2 2 3" xfId="1187"/>
    <cellStyle name="Normal 12 2 2 2 3 2" xfId="3418"/>
    <cellStyle name="Normal 12 2 2 2 3 2 2" xfId="7630"/>
    <cellStyle name="Normal 12 2 2 2 3 3" xfId="5485"/>
    <cellStyle name="Normal 12 2 2 2 4" xfId="1601"/>
    <cellStyle name="Normal 12 2 2 2 4 2" xfId="3831"/>
    <cellStyle name="Normal 12 2 2 2 4 2 2" xfId="8043"/>
    <cellStyle name="Normal 12 2 2 2 4 3" xfId="5898"/>
    <cellStyle name="Normal 12 2 2 2 5" xfId="2015"/>
    <cellStyle name="Normal 12 2 2 2 5 2" xfId="4244"/>
    <cellStyle name="Normal 12 2 2 2 5 2 2" xfId="8456"/>
    <cellStyle name="Normal 12 2 2 2 5 3" xfId="6311"/>
    <cellStyle name="Normal 12 2 2 2 6" xfId="2451"/>
    <cellStyle name="Normal 12 2 2 2 6 2" xfId="6724"/>
    <cellStyle name="Normal 12 2 2 2 7" xfId="4658"/>
    <cellStyle name="Normal 12 2 2 3" xfId="763"/>
    <cellStyle name="Normal 12 2 2 3 2" xfId="3004"/>
    <cellStyle name="Normal 12 2 2 3 2 2" xfId="7216"/>
    <cellStyle name="Normal 12 2 2 3 3" xfId="5071"/>
    <cellStyle name="Normal 12 2 2 4" xfId="1186"/>
    <cellStyle name="Normal 12 2 2 4 2" xfId="3417"/>
    <cellStyle name="Normal 12 2 2 4 2 2" xfId="7629"/>
    <cellStyle name="Normal 12 2 2 4 3" xfId="5484"/>
    <cellStyle name="Normal 12 2 2 5" xfId="1600"/>
    <cellStyle name="Normal 12 2 2 5 2" xfId="3830"/>
    <cellStyle name="Normal 12 2 2 5 2 2" xfId="8042"/>
    <cellStyle name="Normal 12 2 2 5 3" xfId="5897"/>
    <cellStyle name="Normal 12 2 2 6" xfId="2014"/>
    <cellStyle name="Normal 12 2 2 6 2" xfId="4243"/>
    <cellStyle name="Normal 12 2 2 6 2 2" xfId="8455"/>
    <cellStyle name="Normal 12 2 2 6 3" xfId="6310"/>
    <cellStyle name="Normal 12 2 2 7" xfId="2450"/>
    <cellStyle name="Normal 12 2 2 7 2" xfId="6723"/>
    <cellStyle name="Normal 12 2 2 8" xfId="4657"/>
    <cellStyle name="Normal 12 2 3" xfId="263"/>
    <cellStyle name="Normal 12 2 3 2" xfId="765"/>
    <cellStyle name="Normal 12 2 3 2 2" xfId="3006"/>
    <cellStyle name="Normal 12 2 3 2 2 2" xfId="7218"/>
    <cellStyle name="Normal 12 2 3 2 3" xfId="5073"/>
    <cellStyle name="Normal 12 2 3 3" xfId="1188"/>
    <cellStyle name="Normal 12 2 3 3 2" xfId="3419"/>
    <cellStyle name="Normal 12 2 3 3 2 2" xfId="7631"/>
    <cellStyle name="Normal 12 2 3 3 3" xfId="5486"/>
    <cellStyle name="Normal 12 2 3 4" xfId="1602"/>
    <cellStyle name="Normal 12 2 3 4 2" xfId="3832"/>
    <cellStyle name="Normal 12 2 3 4 2 2" xfId="8044"/>
    <cellStyle name="Normal 12 2 3 4 3" xfId="5899"/>
    <cellStyle name="Normal 12 2 3 5" xfId="2016"/>
    <cellStyle name="Normal 12 2 3 5 2" xfId="4245"/>
    <cellStyle name="Normal 12 2 3 5 2 2" xfId="8457"/>
    <cellStyle name="Normal 12 2 3 5 3" xfId="6312"/>
    <cellStyle name="Normal 12 2 3 6" xfId="2452"/>
    <cellStyle name="Normal 12 2 3 6 2" xfId="6725"/>
    <cellStyle name="Normal 12 2 3 7" xfId="4659"/>
    <cellStyle name="Normal 12 2 4" xfId="762"/>
    <cellStyle name="Normal 12 2 4 2" xfId="3003"/>
    <cellStyle name="Normal 12 2 4 2 2" xfId="7215"/>
    <cellStyle name="Normal 12 2 4 3" xfId="5070"/>
    <cellStyle name="Normal 12 2 5" xfId="1185"/>
    <cellStyle name="Normal 12 2 5 2" xfId="3416"/>
    <cellStyle name="Normal 12 2 5 2 2" xfId="7628"/>
    <cellStyle name="Normal 12 2 5 3" xfId="5483"/>
    <cellStyle name="Normal 12 2 6" xfId="1599"/>
    <cellStyle name="Normal 12 2 6 2" xfId="3829"/>
    <cellStyle name="Normal 12 2 6 2 2" xfId="8041"/>
    <cellStyle name="Normal 12 2 6 3" xfId="5896"/>
    <cellStyle name="Normal 12 2 7" xfId="2013"/>
    <cellStyle name="Normal 12 2 7 2" xfId="4242"/>
    <cellStyle name="Normal 12 2 7 2 2" xfId="8454"/>
    <cellStyle name="Normal 12 2 7 3" xfId="6309"/>
    <cellStyle name="Normal 12 2 8" xfId="2449"/>
    <cellStyle name="Normal 12 2 8 2" xfId="6722"/>
    <cellStyle name="Normal 12 2 9" xfId="4656"/>
    <cellStyle name="Normal 12 3" xfId="264"/>
    <cellStyle name="Normal 12 3 2" xfId="265"/>
    <cellStyle name="Normal 12 3 2 2" xfId="767"/>
    <cellStyle name="Normal 12 3 2 2 2" xfId="3008"/>
    <cellStyle name="Normal 12 3 2 2 2 2" xfId="7220"/>
    <cellStyle name="Normal 12 3 2 2 3" xfId="5075"/>
    <cellStyle name="Normal 12 3 2 3" xfId="1190"/>
    <cellStyle name="Normal 12 3 2 3 2" xfId="3421"/>
    <cellStyle name="Normal 12 3 2 3 2 2" xfId="7633"/>
    <cellStyle name="Normal 12 3 2 3 3" xfId="5488"/>
    <cellStyle name="Normal 12 3 2 4" xfId="1604"/>
    <cellStyle name="Normal 12 3 2 4 2" xfId="3834"/>
    <cellStyle name="Normal 12 3 2 4 2 2" xfId="8046"/>
    <cellStyle name="Normal 12 3 2 4 3" xfId="5901"/>
    <cellStyle name="Normal 12 3 2 5" xfId="2018"/>
    <cellStyle name="Normal 12 3 2 5 2" xfId="4247"/>
    <cellStyle name="Normal 12 3 2 5 2 2" xfId="8459"/>
    <cellStyle name="Normal 12 3 2 5 3" xfId="6314"/>
    <cellStyle name="Normal 12 3 2 6" xfId="2454"/>
    <cellStyle name="Normal 12 3 2 6 2" xfId="6727"/>
    <cellStyle name="Normal 12 3 2 7" xfId="4661"/>
    <cellStyle name="Normal 12 3 3" xfId="766"/>
    <cellStyle name="Normal 12 3 3 2" xfId="3007"/>
    <cellStyle name="Normal 12 3 3 2 2" xfId="7219"/>
    <cellStyle name="Normal 12 3 3 3" xfId="5074"/>
    <cellStyle name="Normal 12 3 4" xfId="1189"/>
    <cellStyle name="Normal 12 3 4 2" xfId="3420"/>
    <cellStyle name="Normal 12 3 4 2 2" xfId="7632"/>
    <cellStyle name="Normal 12 3 4 3" xfId="5487"/>
    <cellStyle name="Normal 12 3 5" xfId="1603"/>
    <cellStyle name="Normal 12 3 5 2" xfId="3833"/>
    <cellStyle name="Normal 12 3 5 2 2" xfId="8045"/>
    <cellStyle name="Normal 12 3 5 3" xfId="5900"/>
    <cellStyle name="Normal 12 3 6" xfId="2017"/>
    <cellStyle name="Normal 12 3 6 2" xfId="4246"/>
    <cellStyle name="Normal 12 3 6 2 2" xfId="8458"/>
    <cellStyle name="Normal 12 3 6 3" xfId="6313"/>
    <cellStyle name="Normal 12 3 7" xfId="2453"/>
    <cellStyle name="Normal 12 3 7 2" xfId="6726"/>
    <cellStyle name="Normal 12 3 8" xfId="4660"/>
    <cellStyle name="Normal 12 4" xfId="266"/>
    <cellStyle name="Normal 12 4 2" xfId="768"/>
    <cellStyle name="Normal 12 4 2 2" xfId="3009"/>
    <cellStyle name="Normal 12 4 2 2 2" xfId="7221"/>
    <cellStyle name="Normal 12 4 2 3" xfId="5076"/>
    <cellStyle name="Normal 12 4 3" xfId="1191"/>
    <cellStyle name="Normal 12 4 3 2" xfId="3422"/>
    <cellStyle name="Normal 12 4 3 2 2" xfId="7634"/>
    <cellStyle name="Normal 12 4 3 3" xfId="5489"/>
    <cellStyle name="Normal 12 4 4" xfId="1605"/>
    <cellStyle name="Normal 12 4 4 2" xfId="3835"/>
    <cellStyle name="Normal 12 4 4 2 2" xfId="8047"/>
    <cellStyle name="Normal 12 4 4 3" xfId="5902"/>
    <cellStyle name="Normal 12 4 5" xfId="2019"/>
    <cellStyle name="Normal 12 4 5 2" xfId="4248"/>
    <cellStyle name="Normal 12 4 5 2 2" xfId="8460"/>
    <cellStyle name="Normal 12 4 5 3" xfId="6315"/>
    <cellStyle name="Normal 12 4 6" xfId="2455"/>
    <cellStyle name="Normal 12 4 6 2" xfId="6728"/>
    <cellStyle name="Normal 12 4 7" xfId="4662"/>
    <cellStyle name="Normal 12 5" xfId="267"/>
    <cellStyle name="Normal 12 6" xfId="761"/>
    <cellStyle name="Normal 12 6 2" xfId="3002"/>
    <cellStyle name="Normal 12 6 2 2" xfId="7214"/>
    <cellStyle name="Normal 12 6 3" xfId="5069"/>
    <cellStyle name="Normal 12 7" xfId="1184"/>
    <cellStyle name="Normal 12 7 2" xfId="3415"/>
    <cellStyle name="Normal 12 7 2 2" xfId="7627"/>
    <cellStyle name="Normal 12 7 3" xfId="5482"/>
    <cellStyle name="Normal 12 8" xfId="1598"/>
    <cellStyle name="Normal 12 8 2" xfId="3828"/>
    <cellStyle name="Normal 12 8 2 2" xfId="8040"/>
    <cellStyle name="Normal 12 8 3" xfId="5895"/>
    <cellStyle name="Normal 12 9" xfId="2012"/>
    <cellStyle name="Normal 12 9 2" xfId="4241"/>
    <cellStyle name="Normal 12 9 2 2" xfId="8453"/>
    <cellStyle name="Normal 12 9 3" xfId="6308"/>
    <cellStyle name="Normal 13" xfId="268"/>
    <cellStyle name="Normal 13 2" xfId="269"/>
    <cellStyle name="Normal 14" xfId="270"/>
    <cellStyle name="Normal 14 2" xfId="769"/>
    <cellStyle name="Normal 14 2 2" xfId="3010"/>
    <cellStyle name="Normal 14 2 2 2" xfId="7222"/>
    <cellStyle name="Normal 14 2 3" xfId="5077"/>
    <cellStyle name="Normal 14 3" xfId="1192"/>
    <cellStyle name="Normal 14 3 2" xfId="3423"/>
    <cellStyle name="Normal 14 3 2 2" xfId="7635"/>
    <cellStyle name="Normal 14 3 3" xfId="5490"/>
    <cellStyle name="Normal 14 4" xfId="1606"/>
    <cellStyle name="Normal 14 4 2" xfId="3836"/>
    <cellStyle name="Normal 14 4 2 2" xfId="8048"/>
    <cellStyle name="Normal 14 4 3" xfId="5903"/>
    <cellStyle name="Normal 14 5" xfId="2020"/>
    <cellStyle name="Normal 14 5 2" xfId="4249"/>
    <cellStyle name="Normal 14 5 2 2" xfId="8461"/>
    <cellStyle name="Normal 14 5 3" xfId="6316"/>
    <cellStyle name="Normal 14 6" xfId="2456"/>
    <cellStyle name="Normal 14 6 2" xfId="6729"/>
    <cellStyle name="Normal 14 7" xfId="4663"/>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62"/>
    <cellStyle name="Normal 2 4 2 10 3" xfId="6317"/>
    <cellStyle name="Normal 2 4 2 11" xfId="2457"/>
    <cellStyle name="Normal 2 4 2 11 2" xfId="6730"/>
    <cellStyle name="Normal 2 4 2 12" xfId="4664"/>
    <cellStyle name="Normal 2 4 2 2" xfId="280"/>
    <cellStyle name="Normal 2 4 2 3" xfId="281"/>
    <cellStyle name="Normal 2 4 2 3 10" xfId="4665"/>
    <cellStyle name="Normal 2 4 2 3 2" xfId="282"/>
    <cellStyle name="Normal 2 4 2 3 2 2" xfId="283"/>
    <cellStyle name="Normal 2 4 2 3 2 2 2" xfId="284"/>
    <cellStyle name="Normal 2 4 2 3 2 2 2 2" xfId="776"/>
    <cellStyle name="Normal 2 4 2 3 2 2 2 2 2" xfId="3015"/>
    <cellStyle name="Normal 2 4 2 3 2 2 2 2 2 2" xfId="7227"/>
    <cellStyle name="Normal 2 4 2 3 2 2 2 2 3" xfId="5082"/>
    <cellStyle name="Normal 2 4 2 3 2 2 2 3" xfId="1198"/>
    <cellStyle name="Normal 2 4 2 3 2 2 2 3 2" xfId="3428"/>
    <cellStyle name="Normal 2 4 2 3 2 2 2 3 2 2" xfId="7640"/>
    <cellStyle name="Normal 2 4 2 3 2 2 2 3 3" xfId="5495"/>
    <cellStyle name="Normal 2 4 2 3 2 2 2 4" xfId="1611"/>
    <cellStyle name="Normal 2 4 2 3 2 2 2 4 2" xfId="3841"/>
    <cellStyle name="Normal 2 4 2 3 2 2 2 4 2 2" xfId="8053"/>
    <cellStyle name="Normal 2 4 2 3 2 2 2 4 3" xfId="5908"/>
    <cellStyle name="Normal 2 4 2 3 2 2 2 5" xfId="2025"/>
    <cellStyle name="Normal 2 4 2 3 2 2 2 5 2" xfId="4254"/>
    <cellStyle name="Normal 2 4 2 3 2 2 2 5 2 2" xfId="8466"/>
    <cellStyle name="Normal 2 4 2 3 2 2 2 5 3" xfId="6321"/>
    <cellStyle name="Normal 2 4 2 3 2 2 2 6" xfId="2461"/>
    <cellStyle name="Normal 2 4 2 3 2 2 2 6 2" xfId="6734"/>
    <cellStyle name="Normal 2 4 2 3 2 2 2 7" xfId="4668"/>
    <cellStyle name="Normal 2 4 2 3 2 2 3" xfId="775"/>
    <cellStyle name="Normal 2 4 2 3 2 2 3 2" xfId="3014"/>
    <cellStyle name="Normal 2 4 2 3 2 2 3 2 2" xfId="7226"/>
    <cellStyle name="Normal 2 4 2 3 2 2 3 3" xfId="5081"/>
    <cellStyle name="Normal 2 4 2 3 2 2 4" xfId="1197"/>
    <cellStyle name="Normal 2 4 2 3 2 2 4 2" xfId="3427"/>
    <cellStyle name="Normal 2 4 2 3 2 2 4 2 2" xfId="7639"/>
    <cellStyle name="Normal 2 4 2 3 2 2 4 3" xfId="5494"/>
    <cellStyle name="Normal 2 4 2 3 2 2 5" xfId="1610"/>
    <cellStyle name="Normal 2 4 2 3 2 2 5 2" xfId="3840"/>
    <cellStyle name="Normal 2 4 2 3 2 2 5 2 2" xfId="8052"/>
    <cellStyle name="Normal 2 4 2 3 2 2 5 3" xfId="5907"/>
    <cellStyle name="Normal 2 4 2 3 2 2 6" xfId="2024"/>
    <cellStyle name="Normal 2 4 2 3 2 2 6 2" xfId="4253"/>
    <cellStyle name="Normal 2 4 2 3 2 2 6 2 2" xfId="8465"/>
    <cellStyle name="Normal 2 4 2 3 2 2 6 3" xfId="6320"/>
    <cellStyle name="Normal 2 4 2 3 2 2 7" xfId="2460"/>
    <cellStyle name="Normal 2 4 2 3 2 2 7 2" xfId="6733"/>
    <cellStyle name="Normal 2 4 2 3 2 2 8" xfId="4667"/>
    <cellStyle name="Normal 2 4 2 3 2 3" xfId="285"/>
    <cellStyle name="Normal 2 4 2 3 2 3 2" xfId="777"/>
    <cellStyle name="Normal 2 4 2 3 2 3 2 2" xfId="3016"/>
    <cellStyle name="Normal 2 4 2 3 2 3 2 2 2" xfId="7228"/>
    <cellStyle name="Normal 2 4 2 3 2 3 2 3" xfId="5083"/>
    <cellStyle name="Normal 2 4 2 3 2 3 3" xfId="1199"/>
    <cellStyle name="Normal 2 4 2 3 2 3 3 2" xfId="3429"/>
    <cellStyle name="Normal 2 4 2 3 2 3 3 2 2" xfId="7641"/>
    <cellStyle name="Normal 2 4 2 3 2 3 3 3" xfId="5496"/>
    <cellStyle name="Normal 2 4 2 3 2 3 4" xfId="1612"/>
    <cellStyle name="Normal 2 4 2 3 2 3 4 2" xfId="3842"/>
    <cellStyle name="Normal 2 4 2 3 2 3 4 2 2" xfId="8054"/>
    <cellStyle name="Normal 2 4 2 3 2 3 4 3" xfId="5909"/>
    <cellStyle name="Normal 2 4 2 3 2 3 5" xfId="2026"/>
    <cellStyle name="Normal 2 4 2 3 2 3 5 2" xfId="4255"/>
    <cellStyle name="Normal 2 4 2 3 2 3 5 2 2" xfId="8467"/>
    <cellStyle name="Normal 2 4 2 3 2 3 5 3" xfId="6322"/>
    <cellStyle name="Normal 2 4 2 3 2 3 6" xfId="2462"/>
    <cellStyle name="Normal 2 4 2 3 2 3 6 2" xfId="6735"/>
    <cellStyle name="Normal 2 4 2 3 2 3 7" xfId="4669"/>
    <cellStyle name="Normal 2 4 2 3 2 4" xfId="774"/>
    <cellStyle name="Normal 2 4 2 3 2 4 2" xfId="3013"/>
    <cellStyle name="Normal 2 4 2 3 2 4 2 2" xfId="7225"/>
    <cellStyle name="Normal 2 4 2 3 2 4 3" xfId="5080"/>
    <cellStyle name="Normal 2 4 2 3 2 5" xfId="1196"/>
    <cellStyle name="Normal 2 4 2 3 2 5 2" xfId="3426"/>
    <cellStyle name="Normal 2 4 2 3 2 5 2 2" xfId="7638"/>
    <cellStyle name="Normal 2 4 2 3 2 5 3" xfId="5493"/>
    <cellStyle name="Normal 2 4 2 3 2 6" xfId="1609"/>
    <cellStyle name="Normal 2 4 2 3 2 6 2" xfId="3839"/>
    <cellStyle name="Normal 2 4 2 3 2 6 2 2" xfId="8051"/>
    <cellStyle name="Normal 2 4 2 3 2 6 3" xfId="5906"/>
    <cellStyle name="Normal 2 4 2 3 2 7" xfId="2023"/>
    <cellStyle name="Normal 2 4 2 3 2 7 2" xfId="4252"/>
    <cellStyle name="Normal 2 4 2 3 2 7 2 2" xfId="8464"/>
    <cellStyle name="Normal 2 4 2 3 2 7 3" xfId="6319"/>
    <cellStyle name="Normal 2 4 2 3 2 8" xfId="2459"/>
    <cellStyle name="Normal 2 4 2 3 2 8 2" xfId="6732"/>
    <cellStyle name="Normal 2 4 2 3 2 9" xfId="4666"/>
    <cellStyle name="Normal 2 4 2 3 3" xfId="286"/>
    <cellStyle name="Normal 2 4 2 3 3 2" xfId="287"/>
    <cellStyle name="Normal 2 4 2 3 3 2 2" xfId="779"/>
    <cellStyle name="Normal 2 4 2 3 3 2 2 2" xfId="3018"/>
    <cellStyle name="Normal 2 4 2 3 3 2 2 2 2" xfId="7230"/>
    <cellStyle name="Normal 2 4 2 3 3 2 2 3" xfId="5085"/>
    <cellStyle name="Normal 2 4 2 3 3 2 3" xfId="1201"/>
    <cellStyle name="Normal 2 4 2 3 3 2 3 2" xfId="3431"/>
    <cellStyle name="Normal 2 4 2 3 3 2 3 2 2" xfId="7643"/>
    <cellStyle name="Normal 2 4 2 3 3 2 3 3" xfId="5498"/>
    <cellStyle name="Normal 2 4 2 3 3 2 4" xfId="1614"/>
    <cellStyle name="Normal 2 4 2 3 3 2 4 2" xfId="3844"/>
    <cellStyle name="Normal 2 4 2 3 3 2 4 2 2" xfId="8056"/>
    <cellStyle name="Normal 2 4 2 3 3 2 4 3" xfId="5911"/>
    <cellStyle name="Normal 2 4 2 3 3 2 5" xfId="2028"/>
    <cellStyle name="Normal 2 4 2 3 3 2 5 2" xfId="4257"/>
    <cellStyle name="Normal 2 4 2 3 3 2 5 2 2" xfId="8469"/>
    <cellStyle name="Normal 2 4 2 3 3 2 5 3" xfId="6324"/>
    <cellStyle name="Normal 2 4 2 3 3 2 6" xfId="2464"/>
    <cellStyle name="Normal 2 4 2 3 3 2 6 2" xfId="6737"/>
    <cellStyle name="Normal 2 4 2 3 3 2 7" xfId="4671"/>
    <cellStyle name="Normal 2 4 2 3 3 3" xfId="778"/>
    <cellStyle name="Normal 2 4 2 3 3 3 2" xfId="3017"/>
    <cellStyle name="Normal 2 4 2 3 3 3 2 2" xfId="7229"/>
    <cellStyle name="Normal 2 4 2 3 3 3 3" xfId="5084"/>
    <cellStyle name="Normal 2 4 2 3 3 4" xfId="1200"/>
    <cellStyle name="Normal 2 4 2 3 3 4 2" xfId="3430"/>
    <cellStyle name="Normal 2 4 2 3 3 4 2 2" xfId="7642"/>
    <cellStyle name="Normal 2 4 2 3 3 4 3" xfId="5497"/>
    <cellStyle name="Normal 2 4 2 3 3 5" xfId="1613"/>
    <cellStyle name="Normal 2 4 2 3 3 5 2" xfId="3843"/>
    <cellStyle name="Normal 2 4 2 3 3 5 2 2" xfId="8055"/>
    <cellStyle name="Normal 2 4 2 3 3 5 3" xfId="5910"/>
    <cellStyle name="Normal 2 4 2 3 3 6" xfId="2027"/>
    <cellStyle name="Normal 2 4 2 3 3 6 2" xfId="4256"/>
    <cellStyle name="Normal 2 4 2 3 3 6 2 2" xfId="8468"/>
    <cellStyle name="Normal 2 4 2 3 3 6 3" xfId="6323"/>
    <cellStyle name="Normal 2 4 2 3 3 7" xfId="2463"/>
    <cellStyle name="Normal 2 4 2 3 3 7 2" xfId="6736"/>
    <cellStyle name="Normal 2 4 2 3 3 8" xfId="4670"/>
    <cellStyle name="Normal 2 4 2 3 4" xfId="288"/>
    <cellStyle name="Normal 2 4 2 3 4 2" xfId="780"/>
    <cellStyle name="Normal 2 4 2 3 4 2 2" xfId="3019"/>
    <cellStyle name="Normal 2 4 2 3 4 2 2 2" xfId="7231"/>
    <cellStyle name="Normal 2 4 2 3 4 2 3" xfId="5086"/>
    <cellStyle name="Normal 2 4 2 3 4 3" xfId="1202"/>
    <cellStyle name="Normal 2 4 2 3 4 3 2" xfId="3432"/>
    <cellStyle name="Normal 2 4 2 3 4 3 2 2" xfId="7644"/>
    <cellStyle name="Normal 2 4 2 3 4 3 3" xfId="5499"/>
    <cellStyle name="Normal 2 4 2 3 4 4" xfId="1615"/>
    <cellStyle name="Normal 2 4 2 3 4 4 2" xfId="3845"/>
    <cellStyle name="Normal 2 4 2 3 4 4 2 2" xfId="8057"/>
    <cellStyle name="Normal 2 4 2 3 4 4 3" xfId="5912"/>
    <cellStyle name="Normal 2 4 2 3 4 5" xfId="2029"/>
    <cellStyle name="Normal 2 4 2 3 4 5 2" xfId="4258"/>
    <cellStyle name="Normal 2 4 2 3 4 5 2 2" xfId="8470"/>
    <cellStyle name="Normal 2 4 2 3 4 5 3" xfId="6325"/>
    <cellStyle name="Normal 2 4 2 3 4 6" xfId="2465"/>
    <cellStyle name="Normal 2 4 2 3 4 6 2" xfId="6738"/>
    <cellStyle name="Normal 2 4 2 3 4 7" xfId="4672"/>
    <cellStyle name="Normal 2 4 2 3 5" xfId="773"/>
    <cellStyle name="Normal 2 4 2 3 5 2" xfId="3012"/>
    <cellStyle name="Normal 2 4 2 3 5 2 2" xfId="7224"/>
    <cellStyle name="Normal 2 4 2 3 5 3" xfId="5079"/>
    <cellStyle name="Normal 2 4 2 3 6" xfId="1195"/>
    <cellStyle name="Normal 2 4 2 3 6 2" xfId="3425"/>
    <cellStyle name="Normal 2 4 2 3 6 2 2" xfId="7637"/>
    <cellStyle name="Normal 2 4 2 3 6 3" xfId="5492"/>
    <cellStyle name="Normal 2 4 2 3 7" xfId="1608"/>
    <cellStyle name="Normal 2 4 2 3 7 2" xfId="3838"/>
    <cellStyle name="Normal 2 4 2 3 7 2 2" xfId="8050"/>
    <cellStyle name="Normal 2 4 2 3 7 3" xfId="5905"/>
    <cellStyle name="Normal 2 4 2 3 8" xfId="2022"/>
    <cellStyle name="Normal 2 4 2 3 8 2" xfId="4251"/>
    <cellStyle name="Normal 2 4 2 3 8 2 2" xfId="8463"/>
    <cellStyle name="Normal 2 4 2 3 8 3" xfId="6318"/>
    <cellStyle name="Normal 2 4 2 3 9" xfId="2458"/>
    <cellStyle name="Normal 2 4 2 3 9 2" xfId="6731"/>
    <cellStyle name="Normal 2 4 2 4" xfId="289"/>
    <cellStyle name="Normal 2 4 2 4 2" xfId="290"/>
    <cellStyle name="Normal 2 4 2 4 2 2" xfId="291"/>
    <cellStyle name="Normal 2 4 2 4 2 2 2" xfId="783"/>
    <cellStyle name="Normal 2 4 2 4 2 2 2 2" xfId="3022"/>
    <cellStyle name="Normal 2 4 2 4 2 2 2 2 2" xfId="7234"/>
    <cellStyle name="Normal 2 4 2 4 2 2 2 3" xfId="5089"/>
    <cellStyle name="Normal 2 4 2 4 2 2 3" xfId="1205"/>
    <cellStyle name="Normal 2 4 2 4 2 2 3 2" xfId="3435"/>
    <cellStyle name="Normal 2 4 2 4 2 2 3 2 2" xfId="7647"/>
    <cellStyle name="Normal 2 4 2 4 2 2 3 3" xfId="5502"/>
    <cellStyle name="Normal 2 4 2 4 2 2 4" xfId="1618"/>
    <cellStyle name="Normal 2 4 2 4 2 2 4 2" xfId="3848"/>
    <cellStyle name="Normal 2 4 2 4 2 2 4 2 2" xfId="8060"/>
    <cellStyle name="Normal 2 4 2 4 2 2 4 3" xfId="5915"/>
    <cellStyle name="Normal 2 4 2 4 2 2 5" xfId="2032"/>
    <cellStyle name="Normal 2 4 2 4 2 2 5 2" xfId="4261"/>
    <cellStyle name="Normal 2 4 2 4 2 2 5 2 2" xfId="8473"/>
    <cellStyle name="Normal 2 4 2 4 2 2 5 3" xfId="6328"/>
    <cellStyle name="Normal 2 4 2 4 2 2 6" xfId="2468"/>
    <cellStyle name="Normal 2 4 2 4 2 2 6 2" xfId="6741"/>
    <cellStyle name="Normal 2 4 2 4 2 2 7" xfId="4675"/>
    <cellStyle name="Normal 2 4 2 4 2 3" xfId="782"/>
    <cellStyle name="Normal 2 4 2 4 2 3 2" xfId="3021"/>
    <cellStyle name="Normal 2 4 2 4 2 3 2 2" xfId="7233"/>
    <cellStyle name="Normal 2 4 2 4 2 3 3" xfId="5088"/>
    <cellStyle name="Normal 2 4 2 4 2 4" xfId="1204"/>
    <cellStyle name="Normal 2 4 2 4 2 4 2" xfId="3434"/>
    <cellStyle name="Normal 2 4 2 4 2 4 2 2" xfId="7646"/>
    <cellStyle name="Normal 2 4 2 4 2 4 3" xfId="5501"/>
    <cellStyle name="Normal 2 4 2 4 2 5" xfId="1617"/>
    <cellStyle name="Normal 2 4 2 4 2 5 2" xfId="3847"/>
    <cellStyle name="Normal 2 4 2 4 2 5 2 2" xfId="8059"/>
    <cellStyle name="Normal 2 4 2 4 2 5 3" xfId="5914"/>
    <cellStyle name="Normal 2 4 2 4 2 6" xfId="2031"/>
    <cellStyle name="Normal 2 4 2 4 2 6 2" xfId="4260"/>
    <cellStyle name="Normal 2 4 2 4 2 6 2 2" xfId="8472"/>
    <cellStyle name="Normal 2 4 2 4 2 6 3" xfId="6327"/>
    <cellStyle name="Normal 2 4 2 4 2 7" xfId="2467"/>
    <cellStyle name="Normal 2 4 2 4 2 7 2" xfId="6740"/>
    <cellStyle name="Normal 2 4 2 4 2 8" xfId="4674"/>
    <cellStyle name="Normal 2 4 2 4 3" xfId="292"/>
    <cellStyle name="Normal 2 4 2 4 3 2" xfId="784"/>
    <cellStyle name="Normal 2 4 2 4 3 2 2" xfId="3023"/>
    <cellStyle name="Normal 2 4 2 4 3 2 2 2" xfId="7235"/>
    <cellStyle name="Normal 2 4 2 4 3 2 3" xfId="5090"/>
    <cellStyle name="Normal 2 4 2 4 3 3" xfId="1206"/>
    <cellStyle name="Normal 2 4 2 4 3 3 2" xfId="3436"/>
    <cellStyle name="Normal 2 4 2 4 3 3 2 2" xfId="7648"/>
    <cellStyle name="Normal 2 4 2 4 3 3 3" xfId="5503"/>
    <cellStyle name="Normal 2 4 2 4 3 4" xfId="1619"/>
    <cellStyle name="Normal 2 4 2 4 3 4 2" xfId="3849"/>
    <cellStyle name="Normal 2 4 2 4 3 4 2 2" xfId="8061"/>
    <cellStyle name="Normal 2 4 2 4 3 4 3" xfId="5916"/>
    <cellStyle name="Normal 2 4 2 4 3 5" xfId="2033"/>
    <cellStyle name="Normal 2 4 2 4 3 5 2" xfId="4262"/>
    <cellStyle name="Normal 2 4 2 4 3 5 2 2" xfId="8474"/>
    <cellStyle name="Normal 2 4 2 4 3 5 3" xfId="6329"/>
    <cellStyle name="Normal 2 4 2 4 3 6" xfId="2469"/>
    <cellStyle name="Normal 2 4 2 4 3 6 2" xfId="6742"/>
    <cellStyle name="Normal 2 4 2 4 3 7" xfId="4676"/>
    <cellStyle name="Normal 2 4 2 4 4" xfId="781"/>
    <cellStyle name="Normal 2 4 2 4 4 2" xfId="3020"/>
    <cellStyle name="Normal 2 4 2 4 4 2 2" xfId="7232"/>
    <cellStyle name="Normal 2 4 2 4 4 3" xfId="5087"/>
    <cellStyle name="Normal 2 4 2 4 5" xfId="1203"/>
    <cellStyle name="Normal 2 4 2 4 5 2" xfId="3433"/>
    <cellStyle name="Normal 2 4 2 4 5 2 2" xfId="7645"/>
    <cellStyle name="Normal 2 4 2 4 5 3" xfId="5500"/>
    <cellStyle name="Normal 2 4 2 4 6" xfId="1616"/>
    <cellStyle name="Normal 2 4 2 4 6 2" xfId="3846"/>
    <cellStyle name="Normal 2 4 2 4 6 2 2" xfId="8058"/>
    <cellStyle name="Normal 2 4 2 4 6 3" xfId="5913"/>
    <cellStyle name="Normal 2 4 2 4 7" xfId="2030"/>
    <cellStyle name="Normal 2 4 2 4 7 2" xfId="4259"/>
    <cellStyle name="Normal 2 4 2 4 7 2 2" xfId="8471"/>
    <cellStyle name="Normal 2 4 2 4 7 3" xfId="6326"/>
    <cellStyle name="Normal 2 4 2 4 8" xfId="2466"/>
    <cellStyle name="Normal 2 4 2 4 8 2" xfId="6739"/>
    <cellStyle name="Normal 2 4 2 4 9" xfId="4673"/>
    <cellStyle name="Normal 2 4 2 5" xfId="293"/>
    <cellStyle name="Normal 2 4 2 5 2" xfId="294"/>
    <cellStyle name="Normal 2 4 2 5 2 2" xfId="786"/>
    <cellStyle name="Normal 2 4 2 5 2 2 2" xfId="3025"/>
    <cellStyle name="Normal 2 4 2 5 2 2 2 2" xfId="7237"/>
    <cellStyle name="Normal 2 4 2 5 2 2 3" xfId="5092"/>
    <cellStyle name="Normal 2 4 2 5 2 3" xfId="1208"/>
    <cellStyle name="Normal 2 4 2 5 2 3 2" xfId="3438"/>
    <cellStyle name="Normal 2 4 2 5 2 3 2 2" xfId="7650"/>
    <cellStyle name="Normal 2 4 2 5 2 3 3" xfId="5505"/>
    <cellStyle name="Normal 2 4 2 5 2 4" xfId="1621"/>
    <cellStyle name="Normal 2 4 2 5 2 4 2" xfId="3851"/>
    <cellStyle name="Normal 2 4 2 5 2 4 2 2" xfId="8063"/>
    <cellStyle name="Normal 2 4 2 5 2 4 3" xfId="5918"/>
    <cellStyle name="Normal 2 4 2 5 2 5" xfId="2035"/>
    <cellStyle name="Normal 2 4 2 5 2 5 2" xfId="4264"/>
    <cellStyle name="Normal 2 4 2 5 2 5 2 2" xfId="8476"/>
    <cellStyle name="Normal 2 4 2 5 2 5 3" xfId="6331"/>
    <cellStyle name="Normal 2 4 2 5 2 6" xfId="2471"/>
    <cellStyle name="Normal 2 4 2 5 2 6 2" xfId="6744"/>
    <cellStyle name="Normal 2 4 2 5 2 7" xfId="4678"/>
    <cellStyle name="Normal 2 4 2 5 3" xfId="785"/>
    <cellStyle name="Normal 2 4 2 5 3 2" xfId="3024"/>
    <cellStyle name="Normal 2 4 2 5 3 2 2" xfId="7236"/>
    <cellStyle name="Normal 2 4 2 5 3 3" xfId="5091"/>
    <cellStyle name="Normal 2 4 2 5 4" xfId="1207"/>
    <cellStyle name="Normal 2 4 2 5 4 2" xfId="3437"/>
    <cellStyle name="Normal 2 4 2 5 4 2 2" xfId="7649"/>
    <cellStyle name="Normal 2 4 2 5 4 3" xfId="5504"/>
    <cellStyle name="Normal 2 4 2 5 5" xfId="1620"/>
    <cellStyle name="Normal 2 4 2 5 5 2" xfId="3850"/>
    <cellStyle name="Normal 2 4 2 5 5 2 2" xfId="8062"/>
    <cellStyle name="Normal 2 4 2 5 5 3" xfId="5917"/>
    <cellStyle name="Normal 2 4 2 5 6" xfId="2034"/>
    <cellStyle name="Normal 2 4 2 5 6 2" xfId="4263"/>
    <cellStyle name="Normal 2 4 2 5 6 2 2" xfId="8475"/>
    <cellStyle name="Normal 2 4 2 5 6 3" xfId="6330"/>
    <cellStyle name="Normal 2 4 2 5 7" xfId="2470"/>
    <cellStyle name="Normal 2 4 2 5 7 2" xfId="6743"/>
    <cellStyle name="Normal 2 4 2 5 8" xfId="4677"/>
    <cellStyle name="Normal 2 4 2 6" xfId="295"/>
    <cellStyle name="Normal 2 4 2 6 2" xfId="787"/>
    <cellStyle name="Normal 2 4 2 6 2 2" xfId="3026"/>
    <cellStyle name="Normal 2 4 2 6 2 2 2" xfId="7238"/>
    <cellStyle name="Normal 2 4 2 6 2 3" xfId="5093"/>
    <cellStyle name="Normal 2 4 2 6 3" xfId="1209"/>
    <cellStyle name="Normal 2 4 2 6 3 2" xfId="3439"/>
    <cellStyle name="Normal 2 4 2 6 3 2 2" xfId="7651"/>
    <cellStyle name="Normal 2 4 2 6 3 3" xfId="5506"/>
    <cellStyle name="Normal 2 4 2 6 4" xfId="1622"/>
    <cellStyle name="Normal 2 4 2 6 4 2" xfId="3852"/>
    <cellStyle name="Normal 2 4 2 6 4 2 2" xfId="8064"/>
    <cellStyle name="Normal 2 4 2 6 4 3" xfId="5919"/>
    <cellStyle name="Normal 2 4 2 6 5" xfId="2036"/>
    <cellStyle name="Normal 2 4 2 6 5 2" xfId="4265"/>
    <cellStyle name="Normal 2 4 2 6 5 2 2" xfId="8477"/>
    <cellStyle name="Normal 2 4 2 6 5 3" xfId="6332"/>
    <cellStyle name="Normal 2 4 2 6 6" xfId="2472"/>
    <cellStyle name="Normal 2 4 2 6 6 2" xfId="6745"/>
    <cellStyle name="Normal 2 4 2 6 7" xfId="4679"/>
    <cellStyle name="Normal 2 4 2 7" xfId="772"/>
    <cellStyle name="Normal 2 4 2 7 2" xfId="3011"/>
    <cellStyle name="Normal 2 4 2 7 2 2" xfId="7223"/>
    <cellStyle name="Normal 2 4 2 7 3" xfId="5078"/>
    <cellStyle name="Normal 2 4 2 8" xfId="1194"/>
    <cellStyle name="Normal 2 4 2 8 2" xfId="3424"/>
    <cellStyle name="Normal 2 4 2 8 2 2" xfId="7636"/>
    <cellStyle name="Normal 2 4 2 8 3" xfId="5491"/>
    <cellStyle name="Normal 2 4 2 9" xfId="1607"/>
    <cellStyle name="Normal 2 4 2 9 2" xfId="3837"/>
    <cellStyle name="Normal 2 4 2 9 2 2" xfId="8049"/>
    <cellStyle name="Normal 2 4 2 9 3" xfId="5904"/>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42"/>
    <cellStyle name="Normal 2 4 3 3 2 2 2 3" xfId="5097"/>
    <cellStyle name="Normal 2 4 3 3 2 2 3" xfId="1213"/>
    <cellStyle name="Normal 2 4 3 3 2 2 3 2" xfId="3443"/>
    <cellStyle name="Normal 2 4 3 3 2 2 3 2 2" xfId="7655"/>
    <cellStyle name="Normal 2 4 3 3 2 2 3 3" xfId="5510"/>
    <cellStyle name="Normal 2 4 3 3 2 2 4" xfId="1626"/>
    <cellStyle name="Normal 2 4 3 3 2 2 4 2" xfId="3856"/>
    <cellStyle name="Normal 2 4 3 3 2 2 4 2 2" xfId="8068"/>
    <cellStyle name="Normal 2 4 3 3 2 2 4 3" xfId="5923"/>
    <cellStyle name="Normal 2 4 3 3 2 2 5" xfId="2040"/>
    <cellStyle name="Normal 2 4 3 3 2 2 5 2" xfId="4269"/>
    <cellStyle name="Normal 2 4 3 3 2 2 5 2 2" xfId="8481"/>
    <cellStyle name="Normal 2 4 3 3 2 2 5 3" xfId="6336"/>
    <cellStyle name="Normal 2 4 3 3 2 2 6" xfId="2476"/>
    <cellStyle name="Normal 2 4 3 3 2 2 6 2" xfId="6749"/>
    <cellStyle name="Normal 2 4 3 3 2 2 7" xfId="4683"/>
    <cellStyle name="Normal 2 4 3 3 2 3" xfId="790"/>
    <cellStyle name="Normal 2 4 3 3 2 3 2" xfId="3029"/>
    <cellStyle name="Normal 2 4 3 3 2 3 2 2" xfId="7241"/>
    <cellStyle name="Normal 2 4 3 3 2 3 3" xfId="5096"/>
    <cellStyle name="Normal 2 4 3 3 2 4" xfId="1212"/>
    <cellStyle name="Normal 2 4 3 3 2 4 2" xfId="3442"/>
    <cellStyle name="Normal 2 4 3 3 2 4 2 2" xfId="7654"/>
    <cellStyle name="Normal 2 4 3 3 2 4 3" xfId="5509"/>
    <cellStyle name="Normal 2 4 3 3 2 5" xfId="1625"/>
    <cellStyle name="Normal 2 4 3 3 2 5 2" xfId="3855"/>
    <cellStyle name="Normal 2 4 3 3 2 5 2 2" xfId="8067"/>
    <cellStyle name="Normal 2 4 3 3 2 5 3" xfId="5922"/>
    <cellStyle name="Normal 2 4 3 3 2 6" xfId="2039"/>
    <cellStyle name="Normal 2 4 3 3 2 6 2" xfId="4268"/>
    <cellStyle name="Normal 2 4 3 3 2 6 2 2" xfId="8480"/>
    <cellStyle name="Normal 2 4 3 3 2 6 3" xfId="6335"/>
    <cellStyle name="Normal 2 4 3 3 2 7" xfId="2475"/>
    <cellStyle name="Normal 2 4 3 3 2 7 2" xfId="6748"/>
    <cellStyle name="Normal 2 4 3 3 2 8" xfId="4682"/>
    <cellStyle name="Normal 2 4 3 3 3" xfId="301"/>
    <cellStyle name="Normal 2 4 3 3 3 2" xfId="792"/>
    <cellStyle name="Normal 2 4 3 3 3 2 2" xfId="3031"/>
    <cellStyle name="Normal 2 4 3 3 3 2 2 2" xfId="7243"/>
    <cellStyle name="Normal 2 4 3 3 3 2 3" xfId="5098"/>
    <cellStyle name="Normal 2 4 3 3 3 3" xfId="1214"/>
    <cellStyle name="Normal 2 4 3 3 3 3 2" xfId="3444"/>
    <cellStyle name="Normal 2 4 3 3 3 3 2 2" xfId="7656"/>
    <cellStyle name="Normal 2 4 3 3 3 3 3" xfId="5511"/>
    <cellStyle name="Normal 2 4 3 3 3 4" xfId="1627"/>
    <cellStyle name="Normal 2 4 3 3 3 4 2" xfId="3857"/>
    <cellStyle name="Normal 2 4 3 3 3 4 2 2" xfId="8069"/>
    <cellStyle name="Normal 2 4 3 3 3 4 3" xfId="5924"/>
    <cellStyle name="Normal 2 4 3 3 3 5" xfId="2041"/>
    <cellStyle name="Normal 2 4 3 3 3 5 2" xfId="4270"/>
    <cellStyle name="Normal 2 4 3 3 3 5 2 2" xfId="8482"/>
    <cellStyle name="Normal 2 4 3 3 3 5 3" xfId="6337"/>
    <cellStyle name="Normal 2 4 3 3 3 6" xfId="2477"/>
    <cellStyle name="Normal 2 4 3 3 3 6 2" xfId="6750"/>
    <cellStyle name="Normal 2 4 3 3 3 7" xfId="4684"/>
    <cellStyle name="Normal 2 4 3 3 4" xfId="789"/>
    <cellStyle name="Normal 2 4 3 3 4 2" xfId="3028"/>
    <cellStyle name="Normal 2 4 3 3 4 2 2" xfId="7240"/>
    <cellStyle name="Normal 2 4 3 3 4 3" xfId="5095"/>
    <cellStyle name="Normal 2 4 3 3 5" xfId="1211"/>
    <cellStyle name="Normal 2 4 3 3 5 2" xfId="3441"/>
    <cellStyle name="Normal 2 4 3 3 5 2 2" xfId="7653"/>
    <cellStyle name="Normal 2 4 3 3 5 3" xfId="5508"/>
    <cellStyle name="Normal 2 4 3 3 6" xfId="1624"/>
    <cellStyle name="Normal 2 4 3 3 6 2" xfId="3854"/>
    <cellStyle name="Normal 2 4 3 3 6 2 2" xfId="8066"/>
    <cellStyle name="Normal 2 4 3 3 6 3" xfId="5921"/>
    <cellStyle name="Normal 2 4 3 3 7" xfId="2038"/>
    <cellStyle name="Normal 2 4 3 3 7 2" xfId="4267"/>
    <cellStyle name="Normal 2 4 3 3 7 2 2" xfId="8479"/>
    <cellStyle name="Normal 2 4 3 3 7 3" xfId="6334"/>
    <cellStyle name="Normal 2 4 3 3 8" xfId="2474"/>
    <cellStyle name="Normal 2 4 3 3 8 2" xfId="6747"/>
    <cellStyle name="Normal 2 4 3 3 9" xfId="4681"/>
    <cellStyle name="Normal 2 4 3 4" xfId="788"/>
    <cellStyle name="Normal 2 4 3 4 2" xfId="3027"/>
    <cellStyle name="Normal 2 4 3 4 2 2" xfId="7239"/>
    <cellStyle name="Normal 2 4 3 4 3" xfId="5094"/>
    <cellStyle name="Normal 2 4 3 5" xfId="1210"/>
    <cellStyle name="Normal 2 4 3 5 2" xfId="3440"/>
    <cellStyle name="Normal 2 4 3 5 2 2" xfId="7652"/>
    <cellStyle name="Normal 2 4 3 5 3" xfId="5507"/>
    <cellStyle name="Normal 2 4 3 6" xfId="1623"/>
    <cellStyle name="Normal 2 4 3 6 2" xfId="3853"/>
    <cellStyle name="Normal 2 4 3 6 2 2" xfId="8065"/>
    <cellStyle name="Normal 2 4 3 6 3" xfId="5920"/>
    <cellStyle name="Normal 2 4 3 7" xfId="2037"/>
    <cellStyle name="Normal 2 4 3 7 2" xfId="4266"/>
    <cellStyle name="Normal 2 4 3 7 2 2" xfId="8478"/>
    <cellStyle name="Normal 2 4 3 7 3" xfId="6333"/>
    <cellStyle name="Normal 2 4 3 8" xfId="2473"/>
    <cellStyle name="Normal 2 4 3 8 2" xfId="6746"/>
    <cellStyle name="Normal 2 4 3 9" xfId="4680"/>
    <cellStyle name="Normal 2 4 4" xfId="302"/>
    <cellStyle name="Normal 2 4 5" xfId="303"/>
    <cellStyle name="Normal 2 4 5 10" xfId="4685"/>
    <cellStyle name="Normal 2 4 5 2" xfId="304"/>
    <cellStyle name="Normal 2 4 5 2 2" xfId="305"/>
    <cellStyle name="Normal 2 4 5 2 2 2" xfId="306"/>
    <cellStyle name="Normal 2 4 5 2 2 2 2" xfId="796"/>
    <cellStyle name="Normal 2 4 5 2 2 2 2 2" xfId="3035"/>
    <cellStyle name="Normal 2 4 5 2 2 2 2 2 2" xfId="7247"/>
    <cellStyle name="Normal 2 4 5 2 2 2 2 3" xfId="5102"/>
    <cellStyle name="Normal 2 4 5 2 2 2 3" xfId="1218"/>
    <cellStyle name="Normal 2 4 5 2 2 2 3 2" xfId="3448"/>
    <cellStyle name="Normal 2 4 5 2 2 2 3 2 2" xfId="7660"/>
    <cellStyle name="Normal 2 4 5 2 2 2 3 3" xfId="5515"/>
    <cellStyle name="Normal 2 4 5 2 2 2 4" xfId="1631"/>
    <cellStyle name="Normal 2 4 5 2 2 2 4 2" xfId="3861"/>
    <cellStyle name="Normal 2 4 5 2 2 2 4 2 2" xfId="8073"/>
    <cellStyle name="Normal 2 4 5 2 2 2 4 3" xfId="5928"/>
    <cellStyle name="Normal 2 4 5 2 2 2 5" xfId="2045"/>
    <cellStyle name="Normal 2 4 5 2 2 2 5 2" xfId="4274"/>
    <cellStyle name="Normal 2 4 5 2 2 2 5 2 2" xfId="8486"/>
    <cellStyle name="Normal 2 4 5 2 2 2 5 3" xfId="6341"/>
    <cellStyle name="Normal 2 4 5 2 2 2 6" xfId="2481"/>
    <cellStyle name="Normal 2 4 5 2 2 2 6 2" xfId="6754"/>
    <cellStyle name="Normal 2 4 5 2 2 2 7" xfId="4688"/>
    <cellStyle name="Normal 2 4 5 2 2 3" xfId="795"/>
    <cellStyle name="Normal 2 4 5 2 2 3 2" xfId="3034"/>
    <cellStyle name="Normal 2 4 5 2 2 3 2 2" xfId="7246"/>
    <cellStyle name="Normal 2 4 5 2 2 3 3" xfId="5101"/>
    <cellStyle name="Normal 2 4 5 2 2 4" xfId="1217"/>
    <cellStyle name="Normal 2 4 5 2 2 4 2" xfId="3447"/>
    <cellStyle name="Normal 2 4 5 2 2 4 2 2" xfId="7659"/>
    <cellStyle name="Normal 2 4 5 2 2 4 3" xfId="5514"/>
    <cellStyle name="Normal 2 4 5 2 2 5" xfId="1630"/>
    <cellStyle name="Normal 2 4 5 2 2 5 2" xfId="3860"/>
    <cellStyle name="Normal 2 4 5 2 2 5 2 2" xfId="8072"/>
    <cellStyle name="Normal 2 4 5 2 2 5 3" xfId="5927"/>
    <cellStyle name="Normal 2 4 5 2 2 6" xfId="2044"/>
    <cellStyle name="Normal 2 4 5 2 2 6 2" xfId="4273"/>
    <cellStyle name="Normal 2 4 5 2 2 6 2 2" xfId="8485"/>
    <cellStyle name="Normal 2 4 5 2 2 6 3" xfId="6340"/>
    <cellStyle name="Normal 2 4 5 2 2 7" xfId="2480"/>
    <cellStyle name="Normal 2 4 5 2 2 7 2" xfId="6753"/>
    <cellStyle name="Normal 2 4 5 2 2 8" xfId="4687"/>
    <cellStyle name="Normal 2 4 5 2 3" xfId="307"/>
    <cellStyle name="Normal 2 4 5 2 3 2" xfId="797"/>
    <cellStyle name="Normal 2 4 5 2 3 2 2" xfId="3036"/>
    <cellStyle name="Normal 2 4 5 2 3 2 2 2" xfId="7248"/>
    <cellStyle name="Normal 2 4 5 2 3 2 3" xfId="5103"/>
    <cellStyle name="Normal 2 4 5 2 3 3" xfId="1219"/>
    <cellStyle name="Normal 2 4 5 2 3 3 2" xfId="3449"/>
    <cellStyle name="Normal 2 4 5 2 3 3 2 2" xfId="7661"/>
    <cellStyle name="Normal 2 4 5 2 3 3 3" xfId="5516"/>
    <cellStyle name="Normal 2 4 5 2 3 4" xfId="1632"/>
    <cellStyle name="Normal 2 4 5 2 3 4 2" xfId="3862"/>
    <cellStyle name="Normal 2 4 5 2 3 4 2 2" xfId="8074"/>
    <cellStyle name="Normal 2 4 5 2 3 4 3" xfId="5929"/>
    <cellStyle name="Normal 2 4 5 2 3 5" xfId="2046"/>
    <cellStyle name="Normal 2 4 5 2 3 5 2" xfId="4275"/>
    <cellStyle name="Normal 2 4 5 2 3 5 2 2" xfId="8487"/>
    <cellStyle name="Normal 2 4 5 2 3 5 3" xfId="6342"/>
    <cellStyle name="Normal 2 4 5 2 3 6" xfId="2482"/>
    <cellStyle name="Normal 2 4 5 2 3 6 2" xfId="6755"/>
    <cellStyle name="Normal 2 4 5 2 3 7" xfId="4689"/>
    <cellStyle name="Normal 2 4 5 2 4" xfId="794"/>
    <cellStyle name="Normal 2 4 5 2 4 2" xfId="3033"/>
    <cellStyle name="Normal 2 4 5 2 4 2 2" xfId="7245"/>
    <cellStyle name="Normal 2 4 5 2 4 3" xfId="5100"/>
    <cellStyle name="Normal 2 4 5 2 5" xfId="1216"/>
    <cellStyle name="Normal 2 4 5 2 5 2" xfId="3446"/>
    <cellStyle name="Normal 2 4 5 2 5 2 2" xfId="7658"/>
    <cellStyle name="Normal 2 4 5 2 5 3" xfId="5513"/>
    <cellStyle name="Normal 2 4 5 2 6" xfId="1629"/>
    <cellStyle name="Normal 2 4 5 2 6 2" xfId="3859"/>
    <cellStyle name="Normal 2 4 5 2 6 2 2" xfId="8071"/>
    <cellStyle name="Normal 2 4 5 2 6 3" xfId="5926"/>
    <cellStyle name="Normal 2 4 5 2 7" xfId="2043"/>
    <cellStyle name="Normal 2 4 5 2 7 2" xfId="4272"/>
    <cellStyle name="Normal 2 4 5 2 7 2 2" xfId="8484"/>
    <cellStyle name="Normal 2 4 5 2 7 3" xfId="6339"/>
    <cellStyle name="Normal 2 4 5 2 8" xfId="2479"/>
    <cellStyle name="Normal 2 4 5 2 8 2" xfId="6752"/>
    <cellStyle name="Normal 2 4 5 2 9" xfId="4686"/>
    <cellStyle name="Normal 2 4 5 3" xfId="308"/>
    <cellStyle name="Normal 2 4 5 3 2" xfId="309"/>
    <cellStyle name="Normal 2 4 5 3 2 2" xfId="799"/>
    <cellStyle name="Normal 2 4 5 3 2 2 2" xfId="3038"/>
    <cellStyle name="Normal 2 4 5 3 2 2 2 2" xfId="7250"/>
    <cellStyle name="Normal 2 4 5 3 2 2 3" xfId="5105"/>
    <cellStyle name="Normal 2 4 5 3 2 3" xfId="1221"/>
    <cellStyle name="Normal 2 4 5 3 2 3 2" xfId="3451"/>
    <cellStyle name="Normal 2 4 5 3 2 3 2 2" xfId="7663"/>
    <cellStyle name="Normal 2 4 5 3 2 3 3" xfId="5518"/>
    <cellStyle name="Normal 2 4 5 3 2 4" xfId="1634"/>
    <cellStyle name="Normal 2 4 5 3 2 4 2" xfId="3864"/>
    <cellStyle name="Normal 2 4 5 3 2 4 2 2" xfId="8076"/>
    <cellStyle name="Normal 2 4 5 3 2 4 3" xfId="5931"/>
    <cellStyle name="Normal 2 4 5 3 2 5" xfId="2048"/>
    <cellStyle name="Normal 2 4 5 3 2 5 2" xfId="4277"/>
    <cellStyle name="Normal 2 4 5 3 2 5 2 2" xfId="8489"/>
    <cellStyle name="Normal 2 4 5 3 2 5 3" xfId="6344"/>
    <cellStyle name="Normal 2 4 5 3 2 6" xfId="2484"/>
    <cellStyle name="Normal 2 4 5 3 2 6 2" xfId="6757"/>
    <cellStyle name="Normal 2 4 5 3 2 7" xfId="4691"/>
    <cellStyle name="Normal 2 4 5 3 3" xfId="798"/>
    <cellStyle name="Normal 2 4 5 3 3 2" xfId="3037"/>
    <cellStyle name="Normal 2 4 5 3 3 2 2" xfId="7249"/>
    <cellStyle name="Normal 2 4 5 3 3 3" xfId="5104"/>
    <cellStyle name="Normal 2 4 5 3 4" xfId="1220"/>
    <cellStyle name="Normal 2 4 5 3 4 2" xfId="3450"/>
    <cellStyle name="Normal 2 4 5 3 4 2 2" xfId="7662"/>
    <cellStyle name="Normal 2 4 5 3 4 3" xfId="5517"/>
    <cellStyle name="Normal 2 4 5 3 5" xfId="1633"/>
    <cellStyle name="Normal 2 4 5 3 5 2" xfId="3863"/>
    <cellStyle name="Normal 2 4 5 3 5 2 2" xfId="8075"/>
    <cellStyle name="Normal 2 4 5 3 5 3" xfId="5930"/>
    <cellStyle name="Normal 2 4 5 3 6" xfId="2047"/>
    <cellStyle name="Normal 2 4 5 3 6 2" xfId="4276"/>
    <cellStyle name="Normal 2 4 5 3 6 2 2" xfId="8488"/>
    <cellStyle name="Normal 2 4 5 3 6 3" xfId="6343"/>
    <cellStyle name="Normal 2 4 5 3 7" xfId="2483"/>
    <cellStyle name="Normal 2 4 5 3 7 2" xfId="6756"/>
    <cellStyle name="Normal 2 4 5 3 8" xfId="4690"/>
    <cellStyle name="Normal 2 4 5 4" xfId="310"/>
    <cellStyle name="Normal 2 4 5 4 2" xfId="800"/>
    <cellStyle name="Normal 2 4 5 4 2 2" xfId="3039"/>
    <cellStyle name="Normal 2 4 5 4 2 2 2" xfId="7251"/>
    <cellStyle name="Normal 2 4 5 4 2 3" xfId="5106"/>
    <cellStyle name="Normal 2 4 5 4 3" xfId="1222"/>
    <cellStyle name="Normal 2 4 5 4 3 2" xfId="3452"/>
    <cellStyle name="Normal 2 4 5 4 3 2 2" xfId="7664"/>
    <cellStyle name="Normal 2 4 5 4 3 3" xfId="5519"/>
    <cellStyle name="Normal 2 4 5 4 4" xfId="1635"/>
    <cellStyle name="Normal 2 4 5 4 4 2" xfId="3865"/>
    <cellStyle name="Normal 2 4 5 4 4 2 2" xfId="8077"/>
    <cellStyle name="Normal 2 4 5 4 4 3" xfId="5932"/>
    <cellStyle name="Normal 2 4 5 4 5" xfId="2049"/>
    <cellStyle name="Normal 2 4 5 4 5 2" xfId="4278"/>
    <cellStyle name="Normal 2 4 5 4 5 2 2" xfId="8490"/>
    <cellStyle name="Normal 2 4 5 4 5 3" xfId="6345"/>
    <cellStyle name="Normal 2 4 5 4 6" xfId="2485"/>
    <cellStyle name="Normal 2 4 5 4 6 2" xfId="6758"/>
    <cellStyle name="Normal 2 4 5 4 7" xfId="4692"/>
    <cellStyle name="Normal 2 4 5 5" xfId="793"/>
    <cellStyle name="Normal 2 4 5 5 2" xfId="3032"/>
    <cellStyle name="Normal 2 4 5 5 2 2" xfId="7244"/>
    <cellStyle name="Normal 2 4 5 5 3" xfId="5099"/>
    <cellStyle name="Normal 2 4 5 6" xfId="1215"/>
    <cellStyle name="Normal 2 4 5 6 2" xfId="3445"/>
    <cellStyle name="Normal 2 4 5 6 2 2" xfId="7657"/>
    <cellStyle name="Normal 2 4 5 6 3" xfId="5512"/>
    <cellStyle name="Normal 2 4 5 7" xfId="1628"/>
    <cellStyle name="Normal 2 4 5 7 2" xfId="3858"/>
    <cellStyle name="Normal 2 4 5 7 2 2" xfId="8070"/>
    <cellStyle name="Normal 2 4 5 7 3" xfId="5925"/>
    <cellStyle name="Normal 2 4 5 8" xfId="2042"/>
    <cellStyle name="Normal 2 4 5 8 2" xfId="4271"/>
    <cellStyle name="Normal 2 4 5 8 2 2" xfId="8483"/>
    <cellStyle name="Normal 2 4 5 8 3" xfId="6338"/>
    <cellStyle name="Normal 2 4 5 9" xfId="2478"/>
    <cellStyle name="Normal 2 4 5 9 2" xfId="6751"/>
    <cellStyle name="Normal 2 4 6" xfId="311"/>
    <cellStyle name="Normal 2 4 7" xfId="312"/>
    <cellStyle name="Normal 2 4 7 2" xfId="313"/>
    <cellStyle name="Normal 2 4 7 2 2" xfId="802"/>
    <cellStyle name="Normal 2 4 7 2 2 2" xfId="3041"/>
    <cellStyle name="Normal 2 4 7 2 2 2 2" xfId="7253"/>
    <cellStyle name="Normal 2 4 7 2 2 3" xfId="5108"/>
    <cellStyle name="Normal 2 4 7 2 3" xfId="1224"/>
    <cellStyle name="Normal 2 4 7 2 3 2" xfId="3454"/>
    <cellStyle name="Normal 2 4 7 2 3 2 2" xfId="7666"/>
    <cellStyle name="Normal 2 4 7 2 3 3" xfId="5521"/>
    <cellStyle name="Normal 2 4 7 2 4" xfId="1637"/>
    <cellStyle name="Normal 2 4 7 2 4 2" xfId="3867"/>
    <cellStyle name="Normal 2 4 7 2 4 2 2" xfId="8079"/>
    <cellStyle name="Normal 2 4 7 2 4 3" xfId="5934"/>
    <cellStyle name="Normal 2 4 7 2 5" xfId="2051"/>
    <cellStyle name="Normal 2 4 7 2 5 2" xfId="4280"/>
    <cellStyle name="Normal 2 4 7 2 5 2 2" xfId="8492"/>
    <cellStyle name="Normal 2 4 7 2 5 3" xfId="6347"/>
    <cellStyle name="Normal 2 4 7 2 6" xfId="2487"/>
    <cellStyle name="Normal 2 4 7 2 6 2" xfId="6760"/>
    <cellStyle name="Normal 2 4 7 2 7" xfId="4694"/>
    <cellStyle name="Normal 2 4 7 3" xfId="801"/>
    <cellStyle name="Normal 2 4 7 3 2" xfId="3040"/>
    <cellStyle name="Normal 2 4 7 3 2 2" xfId="7252"/>
    <cellStyle name="Normal 2 4 7 3 3" xfId="5107"/>
    <cellStyle name="Normal 2 4 7 4" xfId="1223"/>
    <cellStyle name="Normal 2 4 7 4 2" xfId="3453"/>
    <cellStyle name="Normal 2 4 7 4 2 2" xfId="7665"/>
    <cellStyle name="Normal 2 4 7 4 3" xfId="5520"/>
    <cellStyle name="Normal 2 4 7 5" xfId="1636"/>
    <cellStyle name="Normal 2 4 7 5 2" xfId="3866"/>
    <cellStyle name="Normal 2 4 7 5 2 2" xfId="8078"/>
    <cellStyle name="Normal 2 4 7 5 3" xfId="5933"/>
    <cellStyle name="Normal 2 4 7 6" xfId="2050"/>
    <cellStyle name="Normal 2 4 7 6 2" xfId="4279"/>
    <cellStyle name="Normal 2 4 7 6 2 2" xfId="8491"/>
    <cellStyle name="Normal 2 4 7 6 3" xfId="6346"/>
    <cellStyle name="Normal 2 4 7 7" xfId="2486"/>
    <cellStyle name="Normal 2 4 7 7 2" xfId="6759"/>
    <cellStyle name="Normal 2 4 7 8" xfId="4693"/>
    <cellStyle name="Normal 2 4 8" xfId="314"/>
    <cellStyle name="Normal 2 4 8 2" xfId="803"/>
    <cellStyle name="Normal 2 4 8 2 2" xfId="3042"/>
    <cellStyle name="Normal 2 4 8 2 2 2" xfId="7254"/>
    <cellStyle name="Normal 2 4 8 2 3" xfId="5109"/>
    <cellStyle name="Normal 2 4 8 3" xfId="1225"/>
    <cellStyle name="Normal 2 4 8 3 2" xfId="3455"/>
    <cellStyle name="Normal 2 4 8 3 2 2" xfId="7667"/>
    <cellStyle name="Normal 2 4 8 3 3" xfId="5522"/>
    <cellStyle name="Normal 2 4 8 4" xfId="1638"/>
    <cellStyle name="Normal 2 4 8 4 2" xfId="3868"/>
    <cellStyle name="Normal 2 4 8 4 2 2" xfId="8080"/>
    <cellStyle name="Normal 2 4 8 4 3" xfId="5935"/>
    <cellStyle name="Normal 2 4 8 5" xfId="2052"/>
    <cellStyle name="Normal 2 4 8 5 2" xfId="4281"/>
    <cellStyle name="Normal 2 4 8 5 2 2" xfId="8493"/>
    <cellStyle name="Normal 2 4 8 5 3" xfId="6348"/>
    <cellStyle name="Normal 2 4 8 6" xfId="2488"/>
    <cellStyle name="Normal 2 4 8 6 2" xfId="6761"/>
    <cellStyle name="Normal 2 4 8 7" xfId="4695"/>
    <cellStyle name="Normal 2 5" xfId="315"/>
    <cellStyle name="Normal 2 5 10" xfId="4696"/>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58"/>
    <cellStyle name="Normal 2 5 4 2 2 2 3" xfId="5113"/>
    <cellStyle name="Normal 2 5 4 2 2 3" xfId="1229"/>
    <cellStyle name="Normal 2 5 4 2 2 3 2" xfId="3459"/>
    <cellStyle name="Normal 2 5 4 2 2 3 2 2" xfId="7671"/>
    <cellStyle name="Normal 2 5 4 2 2 3 3" xfId="5526"/>
    <cellStyle name="Normal 2 5 4 2 2 4" xfId="1642"/>
    <cellStyle name="Normal 2 5 4 2 2 4 2" xfId="3872"/>
    <cellStyle name="Normal 2 5 4 2 2 4 2 2" xfId="8084"/>
    <cellStyle name="Normal 2 5 4 2 2 4 3" xfId="5939"/>
    <cellStyle name="Normal 2 5 4 2 2 5" xfId="2056"/>
    <cellStyle name="Normal 2 5 4 2 2 5 2" xfId="4285"/>
    <cellStyle name="Normal 2 5 4 2 2 5 2 2" xfId="8497"/>
    <cellStyle name="Normal 2 5 4 2 2 5 3" xfId="6352"/>
    <cellStyle name="Normal 2 5 4 2 2 6" xfId="2492"/>
    <cellStyle name="Normal 2 5 4 2 2 6 2" xfId="6765"/>
    <cellStyle name="Normal 2 5 4 2 2 7" xfId="4699"/>
    <cellStyle name="Normal 2 5 4 2 3" xfId="806"/>
    <cellStyle name="Normal 2 5 4 2 3 2" xfId="3045"/>
    <cellStyle name="Normal 2 5 4 2 3 2 2" xfId="7257"/>
    <cellStyle name="Normal 2 5 4 2 3 3" xfId="5112"/>
    <cellStyle name="Normal 2 5 4 2 4" xfId="1228"/>
    <cellStyle name="Normal 2 5 4 2 4 2" xfId="3458"/>
    <cellStyle name="Normal 2 5 4 2 4 2 2" xfId="7670"/>
    <cellStyle name="Normal 2 5 4 2 4 3" xfId="5525"/>
    <cellStyle name="Normal 2 5 4 2 5" xfId="1641"/>
    <cellStyle name="Normal 2 5 4 2 5 2" xfId="3871"/>
    <cellStyle name="Normal 2 5 4 2 5 2 2" xfId="8083"/>
    <cellStyle name="Normal 2 5 4 2 5 3" xfId="5938"/>
    <cellStyle name="Normal 2 5 4 2 6" xfId="2055"/>
    <cellStyle name="Normal 2 5 4 2 6 2" xfId="4284"/>
    <cellStyle name="Normal 2 5 4 2 6 2 2" xfId="8496"/>
    <cellStyle name="Normal 2 5 4 2 6 3" xfId="6351"/>
    <cellStyle name="Normal 2 5 4 2 7" xfId="2491"/>
    <cellStyle name="Normal 2 5 4 2 7 2" xfId="6764"/>
    <cellStyle name="Normal 2 5 4 2 8" xfId="4698"/>
    <cellStyle name="Normal 2 5 4 3" xfId="321"/>
    <cellStyle name="Normal 2 5 4 3 2" xfId="808"/>
    <cellStyle name="Normal 2 5 4 3 2 2" xfId="3047"/>
    <cellStyle name="Normal 2 5 4 3 2 2 2" xfId="7259"/>
    <cellStyle name="Normal 2 5 4 3 2 3" xfId="5114"/>
    <cellStyle name="Normal 2 5 4 3 3" xfId="1230"/>
    <cellStyle name="Normal 2 5 4 3 3 2" xfId="3460"/>
    <cellStyle name="Normal 2 5 4 3 3 2 2" xfId="7672"/>
    <cellStyle name="Normal 2 5 4 3 3 3" xfId="5527"/>
    <cellStyle name="Normal 2 5 4 3 4" xfId="1643"/>
    <cellStyle name="Normal 2 5 4 3 4 2" xfId="3873"/>
    <cellStyle name="Normal 2 5 4 3 4 2 2" xfId="8085"/>
    <cellStyle name="Normal 2 5 4 3 4 3" xfId="5940"/>
    <cellStyle name="Normal 2 5 4 3 5" xfId="2057"/>
    <cellStyle name="Normal 2 5 4 3 5 2" xfId="4286"/>
    <cellStyle name="Normal 2 5 4 3 5 2 2" xfId="8498"/>
    <cellStyle name="Normal 2 5 4 3 5 3" xfId="6353"/>
    <cellStyle name="Normal 2 5 4 3 6" xfId="2493"/>
    <cellStyle name="Normal 2 5 4 3 6 2" xfId="6766"/>
    <cellStyle name="Normal 2 5 4 3 7" xfId="4700"/>
    <cellStyle name="Normal 2 5 4 4" xfId="805"/>
    <cellStyle name="Normal 2 5 4 4 2" xfId="3044"/>
    <cellStyle name="Normal 2 5 4 4 2 2" xfId="7256"/>
    <cellStyle name="Normal 2 5 4 4 3" xfId="5111"/>
    <cellStyle name="Normal 2 5 4 5" xfId="1227"/>
    <cellStyle name="Normal 2 5 4 5 2" xfId="3457"/>
    <cellStyle name="Normal 2 5 4 5 2 2" xfId="7669"/>
    <cellStyle name="Normal 2 5 4 5 3" xfId="5524"/>
    <cellStyle name="Normal 2 5 4 6" xfId="1640"/>
    <cellStyle name="Normal 2 5 4 6 2" xfId="3870"/>
    <cellStyle name="Normal 2 5 4 6 2 2" xfId="8082"/>
    <cellStyle name="Normal 2 5 4 6 3" xfId="5937"/>
    <cellStyle name="Normal 2 5 4 7" xfId="2054"/>
    <cellStyle name="Normal 2 5 4 7 2" xfId="4283"/>
    <cellStyle name="Normal 2 5 4 7 2 2" xfId="8495"/>
    <cellStyle name="Normal 2 5 4 7 3" xfId="6350"/>
    <cellStyle name="Normal 2 5 4 8" xfId="2490"/>
    <cellStyle name="Normal 2 5 4 8 2" xfId="6763"/>
    <cellStyle name="Normal 2 5 4 9" xfId="4697"/>
    <cellStyle name="Normal 2 5 5" xfId="804"/>
    <cellStyle name="Normal 2 5 5 2" xfId="3043"/>
    <cellStyle name="Normal 2 5 5 2 2" xfId="7255"/>
    <cellStyle name="Normal 2 5 5 3" xfId="5110"/>
    <cellStyle name="Normal 2 5 6" xfId="1226"/>
    <cellStyle name="Normal 2 5 6 2" xfId="3456"/>
    <cellStyle name="Normal 2 5 6 2 2" xfId="7668"/>
    <cellStyle name="Normal 2 5 6 3" xfId="5523"/>
    <cellStyle name="Normal 2 5 7" xfId="1639"/>
    <cellStyle name="Normal 2 5 7 2" xfId="3869"/>
    <cellStyle name="Normal 2 5 7 2 2" xfId="8081"/>
    <cellStyle name="Normal 2 5 7 3" xfId="5936"/>
    <cellStyle name="Normal 2 5 8" xfId="2053"/>
    <cellStyle name="Normal 2 5 8 2" xfId="4282"/>
    <cellStyle name="Normal 2 5 8 2 2" xfId="8494"/>
    <cellStyle name="Normal 2 5 8 3" xfId="6349"/>
    <cellStyle name="Normal 2 5 9" xfId="2489"/>
    <cellStyle name="Normal 2 5 9 2" xfId="6762"/>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63"/>
    <cellStyle name="Normal 3 2 3 2 2 2 3" xfId="5118"/>
    <cellStyle name="Normal 3 2 3 2 2 3" xfId="1234"/>
    <cellStyle name="Normal 3 2 3 2 2 3 2" xfId="3464"/>
    <cellStyle name="Normal 3 2 3 2 2 3 2 2" xfId="7676"/>
    <cellStyle name="Normal 3 2 3 2 2 3 3" xfId="5531"/>
    <cellStyle name="Normal 3 2 3 2 2 4" xfId="1647"/>
    <cellStyle name="Normal 3 2 3 2 2 4 2" xfId="3877"/>
    <cellStyle name="Normal 3 2 3 2 2 4 2 2" xfId="8089"/>
    <cellStyle name="Normal 3 2 3 2 2 4 3" xfId="5944"/>
    <cellStyle name="Normal 3 2 3 2 2 5" xfId="2061"/>
    <cellStyle name="Normal 3 2 3 2 2 5 2" xfId="4290"/>
    <cellStyle name="Normal 3 2 3 2 2 5 2 2" xfId="8502"/>
    <cellStyle name="Normal 3 2 3 2 2 5 3" xfId="6357"/>
    <cellStyle name="Normal 3 2 3 2 2 6" xfId="2497"/>
    <cellStyle name="Normal 3 2 3 2 2 6 2" xfId="6770"/>
    <cellStyle name="Normal 3 2 3 2 2 7" xfId="4704"/>
    <cellStyle name="Normal 3 2 3 2 3" xfId="813"/>
    <cellStyle name="Normal 3 2 3 2 3 2" xfId="3050"/>
    <cellStyle name="Normal 3 2 3 2 3 2 2" xfId="7262"/>
    <cellStyle name="Normal 3 2 3 2 3 3" xfId="5117"/>
    <cellStyle name="Normal 3 2 3 2 4" xfId="1233"/>
    <cellStyle name="Normal 3 2 3 2 4 2" xfId="3463"/>
    <cellStyle name="Normal 3 2 3 2 4 2 2" xfId="7675"/>
    <cellStyle name="Normal 3 2 3 2 4 3" xfId="5530"/>
    <cellStyle name="Normal 3 2 3 2 5" xfId="1646"/>
    <cellStyle name="Normal 3 2 3 2 5 2" xfId="3876"/>
    <cellStyle name="Normal 3 2 3 2 5 2 2" xfId="8088"/>
    <cellStyle name="Normal 3 2 3 2 5 3" xfId="5943"/>
    <cellStyle name="Normal 3 2 3 2 6" xfId="2060"/>
    <cellStyle name="Normal 3 2 3 2 6 2" xfId="4289"/>
    <cellStyle name="Normal 3 2 3 2 6 2 2" xfId="8501"/>
    <cellStyle name="Normal 3 2 3 2 6 3" xfId="6356"/>
    <cellStyle name="Normal 3 2 3 2 7" xfId="2496"/>
    <cellStyle name="Normal 3 2 3 2 7 2" xfId="6769"/>
    <cellStyle name="Normal 3 2 3 2 8" xfId="4703"/>
    <cellStyle name="Normal 3 2 3 3" xfId="329"/>
    <cellStyle name="Normal 3 2 3 3 2" xfId="815"/>
    <cellStyle name="Normal 3 2 3 3 2 2" xfId="3052"/>
    <cellStyle name="Normal 3 2 3 3 2 2 2" xfId="7264"/>
    <cellStyle name="Normal 3 2 3 3 2 3" xfId="5119"/>
    <cellStyle name="Normal 3 2 3 3 3" xfId="1235"/>
    <cellStyle name="Normal 3 2 3 3 3 2" xfId="3465"/>
    <cellStyle name="Normal 3 2 3 3 3 2 2" xfId="7677"/>
    <cellStyle name="Normal 3 2 3 3 3 3" xfId="5532"/>
    <cellStyle name="Normal 3 2 3 3 4" xfId="1648"/>
    <cellStyle name="Normal 3 2 3 3 4 2" xfId="3878"/>
    <cellStyle name="Normal 3 2 3 3 4 2 2" xfId="8090"/>
    <cellStyle name="Normal 3 2 3 3 4 3" xfId="5945"/>
    <cellStyle name="Normal 3 2 3 3 5" xfId="2062"/>
    <cellStyle name="Normal 3 2 3 3 5 2" xfId="4291"/>
    <cellStyle name="Normal 3 2 3 3 5 2 2" xfId="8503"/>
    <cellStyle name="Normal 3 2 3 3 5 3" xfId="6358"/>
    <cellStyle name="Normal 3 2 3 3 6" xfId="2498"/>
    <cellStyle name="Normal 3 2 3 3 6 2" xfId="6771"/>
    <cellStyle name="Normal 3 2 3 3 7" xfId="4705"/>
    <cellStyle name="Normal 3 2 3 4" xfId="812"/>
    <cellStyle name="Normal 3 2 3 4 2" xfId="3049"/>
    <cellStyle name="Normal 3 2 3 4 2 2" xfId="7261"/>
    <cellStyle name="Normal 3 2 3 4 3" xfId="5116"/>
    <cellStyle name="Normal 3 2 3 5" xfId="1232"/>
    <cellStyle name="Normal 3 2 3 5 2" xfId="3462"/>
    <cellStyle name="Normal 3 2 3 5 2 2" xfId="7674"/>
    <cellStyle name="Normal 3 2 3 5 3" xfId="5529"/>
    <cellStyle name="Normal 3 2 3 6" xfId="1645"/>
    <cellStyle name="Normal 3 2 3 6 2" xfId="3875"/>
    <cellStyle name="Normal 3 2 3 6 2 2" xfId="8087"/>
    <cellStyle name="Normal 3 2 3 6 3" xfId="5942"/>
    <cellStyle name="Normal 3 2 3 7" xfId="2059"/>
    <cellStyle name="Normal 3 2 3 7 2" xfId="4288"/>
    <cellStyle name="Normal 3 2 3 7 2 2" xfId="8500"/>
    <cellStyle name="Normal 3 2 3 7 3" xfId="6355"/>
    <cellStyle name="Normal 3 2 3 8" xfId="2495"/>
    <cellStyle name="Normal 3 2 3 8 2" xfId="6768"/>
    <cellStyle name="Normal 3 2 3 9" xfId="4702"/>
    <cellStyle name="Normal 3 2 4" xfId="810"/>
    <cellStyle name="Normal 3 2 4 2" xfId="3048"/>
    <cellStyle name="Normal 3 2 4 2 2" xfId="7260"/>
    <cellStyle name="Normal 3 2 4 3" xfId="5115"/>
    <cellStyle name="Normal 3 2 5" xfId="1231"/>
    <cellStyle name="Normal 3 2 5 2" xfId="3461"/>
    <cellStyle name="Normal 3 2 5 2 2" xfId="7673"/>
    <cellStyle name="Normal 3 2 5 3" xfId="5528"/>
    <cellStyle name="Normal 3 2 6" xfId="1644"/>
    <cellStyle name="Normal 3 2 6 2" xfId="3874"/>
    <cellStyle name="Normal 3 2 6 2 2" xfId="8086"/>
    <cellStyle name="Normal 3 2 6 3" xfId="5941"/>
    <cellStyle name="Normal 3 2 7" xfId="2058"/>
    <cellStyle name="Normal 3 2 7 2" xfId="4287"/>
    <cellStyle name="Normal 3 2 7 2 2" xfId="8499"/>
    <cellStyle name="Normal 3 2 7 3" xfId="6354"/>
    <cellStyle name="Normal 3 2 8" xfId="2494"/>
    <cellStyle name="Normal 3 2 8 2" xfId="6767"/>
    <cellStyle name="Normal 3 2 9" xfId="4701"/>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04"/>
    <cellStyle name="Normal 4 2 2 10 3" xfId="6359"/>
    <cellStyle name="Normal 4 2 2 11" xfId="2499"/>
    <cellStyle name="Normal 4 2 2 11 2" xfId="6772"/>
    <cellStyle name="Normal 4 2 2 12" xfId="4707"/>
    <cellStyle name="Normal 4 2 2 2" xfId="338"/>
    <cellStyle name="Normal 4 2 2 3" xfId="339"/>
    <cellStyle name="Normal 4 2 2 3 10" xfId="4708"/>
    <cellStyle name="Normal 4 2 2 3 2" xfId="340"/>
    <cellStyle name="Normal 4 2 2 3 2 2" xfId="341"/>
    <cellStyle name="Normal 4 2 2 3 2 2 2" xfId="342"/>
    <cellStyle name="Normal 4 2 2 3 2 2 2 2" xfId="820"/>
    <cellStyle name="Normal 4 2 2 3 2 2 2 2 2" xfId="3057"/>
    <cellStyle name="Normal 4 2 2 3 2 2 2 2 2 2" xfId="7269"/>
    <cellStyle name="Normal 4 2 2 3 2 2 2 2 3" xfId="5124"/>
    <cellStyle name="Normal 4 2 2 3 2 2 2 3" xfId="1240"/>
    <cellStyle name="Normal 4 2 2 3 2 2 2 3 2" xfId="3470"/>
    <cellStyle name="Normal 4 2 2 3 2 2 2 3 2 2" xfId="7682"/>
    <cellStyle name="Normal 4 2 2 3 2 2 2 3 3" xfId="5537"/>
    <cellStyle name="Normal 4 2 2 3 2 2 2 4" xfId="1653"/>
    <cellStyle name="Normal 4 2 2 3 2 2 2 4 2" xfId="3883"/>
    <cellStyle name="Normal 4 2 2 3 2 2 2 4 2 2" xfId="8095"/>
    <cellStyle name="Normal 4 2 2 3 2 2 2 4 3" xfId="5950"/>
    <cellStyle name="Normal 4 2 2 3 2 2 2 5" xfId="2067"/>
    <cellStyle name="Normal 4 2 2 3 2 2 2 5 2" xfId="4296"/>
    <cellStyle name="Normal 4 2 2 3 2 2 2 5 2 2" xfId="8508"/>
    <cellStyle name="Normal 4 2 2 3 2 2 2 5 3" xfId="6363"/>
    <cellStyle name="Normal 4 2 2 3 2 2 2 6" xfId="2503"/>
    <cellStyle name="Normal 4 2 2 3 2 2 2 6 2" xfId="6776"/>
    <cellStyle name="Normal 4 2 2 3 2 2 2 7" xfId="4711"/>
    <cellStyle name="Normal 4 2 2 3 2 2 3" xfId="819"/>
    <cellStyle name="Normal 4 2 2 3 2 2 3 2" xfId="3056"/>
    <cellStyle name="Normal 4 2 2 3 2 2 3 2 2" xfId="7268"/>
    <cellStyle name="Normal 4 2 2 3 2 2 3 3" xfId="5123"/>
    <cellStyle name="Normal 4 2 2 3 2 2 4" xfId="1239"/>
    <cellStyle name="Normal 4 2 2 3 2 2 4 2" xfId="3469"/>
    <cellStyle name="Normal 4 2 2 3 2 2 4 2 2" xfId="7681"/>
    <cellStyle name="Normal 4 2 2 3 2 2 4 3" xfId="5536"/>
    <cellStyle name="Normal 4 2 2 3 2 2 5" xfId="1652"/>
    <cellStyle name="Normal 4 2 2 3 2 2 5 2" xfId="3882"/>
    <cellStyle name="Normal 4 2 2 3 2 2 5 2 2" xfId="8094"/>
    <cellStyle name="Normal 4 2 2 3 2 2 5 3" xfId="5949"/>
    <cellStyle name="Normal 4 2 2 3 2 2 6" xfId="2066"/>
    <cellStyle name="Normal 4 2 2 3 2 2 6 2" xfId="4295"/>
    <cellStyle name="Normal 4 2 2 3 2 2 6 2 2" xfId="8507"/>
    <cellStyle name="Normal 4 2 2 3 2 2 6 3" xfId="6362"/>
    <cellStyle name="Normal 4 2 2 3 2 2 7" xfId="2502"/>
    <cellStyle name="Normal 4 2 2 3 2 2 7 2" xfId="6775"/>
    <cellStyle name="Normal 4 2 2 3 2 2 8" xfId="4710"/>
    <cellStyle name="Normal 4 2 2 3 2 3" xfId="343"/>
    <cellStyle name="Normal 4 2 2 3 2 3 2" xfId="821"/>
    <cellStyle name="Normal 4 2 2 3 2 3 2 2" xfId="3058"/>
    <cellStyle name="Normal 4 2 2 3 2 3 2 2 2" xfId="7270"/>
    <cellStyle name="Normal 4 2 2 3 2 3 2 3" xfId="5125"/>
    <cellStyle name="Normal 4 2 2 3 2 3 3" xfId="1241"/>
    <cellStyle name="Normal 4 2 2 3 2 3 3 2" xfId="3471"/>
    <cellStyle name="Normal 4 2 2 3 2 3 3 2 2" xfId="7683"/>
    <cellStyle name="Normal 4 2 2 3 2 3 3 3" xfId="5538"/>
    <cellStyle name="Normal 4 2 2 3 2 3 4" xfId="1654"/>
    <cellStyle name="Normal 4 2 2 3 2 3 4 2" xfId="3884"/>
    <cellStyle name="Normal 4 2 2 3 2 3 4 2 2" xfId="8096"/>
    <cellStyle name="Normal 4 2 2 3 2 3 4 3" xfId="5951"/>
    <cellStyle name="Normal 4 2 2 3 2 3 5" xfId="2068"/>
    <cellStyle name="Normal 4 2 2 3 2 3 5 2" xfId="4297"/>
    <cellStyle name="Normal 4 2 2 3 2 3 5 2 2" xfId="8509"/>
    <cellStyle name="Normal 4 2 2 3 2 3 5 3" xfId="6364"/>
    <cellStyle name="Normal 4 2 2 3 2 3 6" xfId="2504"/>
    <cellStyle name="Normal 4 2 2 3 2 3 6 2" xfId="6777"/>
    <cellStyle name="Normal 4 2 2 3 2 3 7" xfId="4712"/>
    <cellStyle name="Normal 4 2 2 3 2 4" xfId="818"/>
    <cellStyle name="Normal 4 2 2 3 2 4 2" xfId="3055"/>
    <cellStyle name="Normal 4 2 2 3 2 4 2 2" xfId="7267"/>
    <cellStyle name="Normal 4 2 2 3 2 4 3" xfId="5122"/>
    <cellStyle name="Normal 4 2 2 3 2 5" xfId="1238"/>
    <cellStyle name="Normal 4 2 2 3 2 5 2" xfId="3468"/>
    <cellStyle name="Normal 4 2 2 3 2 5 2 2" xfId="7680"/>
    <cellStyle name="Normal 4 2 2 3 2 5 3" xfId="5535"/>
    <cellStyle name="Normal 4 2 2 3 2 6" xfId="1651"/>
    <cellStyle name="Normal 4 2 2 3 2 6 2" xfId="3881"/>
    <cellStyle name="Normal 4 2 2 3 2 6 2 2" xfId="8093"/>
    <cellStyle name="Normal 4 2 2 3 2 6 3" xfId="5948"/>
    <cellStyle name="Normal 4 2 2 3 2 7" xfId="2065"/>
    <cellStyle name="Normal 4 2 2 3 2 7 2" xfId="4294"/>
    <cellStyle name="Normal 4 2 2 3 2 7 2 2" xfId="8506"/>
    <cellStyle name="Normal 4 2 2 3 2 7 3" xfId="6361"/>
    <cellStyle name="Normal 4 2 2 3 2 8" xfId="2501"/>
    <cellStyle name="Normal 4 2 2 3 2 8 2" xfId="6774"/>
    <cellStyle name="Normal 4 2 2 3 2 9" xfId="4709"/>
    <cellStyle name="Normal 4 2 2 3 3" xfId="344"/>
    <cellStyle name="Normal 4 2 2 3 3 2" xfId="345"/>
    <cellStyle name="Normal 4 2 2 3 3 2 2" xfId="823"/>
    <cellStyle name="Normal 4 2 2 3 3 2 2 2" xfId="3060"/>
    <cellStyle name="Normal 4 2 2 3 3 2 2 2 2" xfId="7272"/>
    <cellStyle name="Normal 4 2 2 3 3 2 2 3" xfId="5127"/>
    <cellStyle name="Normal 4 2 2 3 3 2 3" xfId="1243"/>
    <cellStyle name="Normal 4 2 2 3 3 2 3 2" xfId="3473"/>
    <cellStyle name="Normal 4 2 2 3 3 2 3 2 2" xfId="7685"/>
    <cellStyle name="Normal 4 2 2 3 3 2 3 3" xfId="5540"/>
    <cellStyle name="Normal 4 2 2 3 3 2 4" xfId="1656"/>
    <cellStyle name="Normal 4 2 2 3 3 2 4 2" xfId="3886"/>
    <cellStyle name="Normal 4 2 2 3 3 2 4 2 2" xfId="8098"/>
    <cellStyle name="Normal 4 2 2 3 3 2 4 3" xfId="5953"/>
    <cellStyle name="Normal 4 2 2 3 3 2 5" xfId="2070"/>
    <cellStyle name="Normal 4 2 2 3 3 2 5 2" xfId="4299"/>
    <cellStyle name="Normal 4 2 2 3 3 2 5 2 2" xfId="8511"/>
    <cellStyle name="Normal 4 2 2 3 3 2 5 3" xfId="6366"/>
    <cellStyle name="Normal 4 2 2 3 3 2 6" xfId="2506"/>
    <cellStyle name="Normal 4 2 2 3 3 2 6 2" xfId="6779"/>
    <cellStyle name="Normal 4 2 2 3 3 2 7" xfId="4714"/>
    <cellStyle name="Normal 4 2 2 3 3 3" xfId="822"/>
    <cellStyle name="Normal 4 2 2 3 3 3 2" xfId="3059"/>
    <cellStyle name="Normal 4 2 2 3 3 3 2 2" xfId="7271"/>
    <cellStyle name="Normal 4 2 2 3 3 3 3" xfId="5126"/>
    <cellStyle name="Normal 4 2 2 3 3 4" xfId="1242"/>
    <cellStyle name="Normal 4 2 2 3 3 4 2" xfId="3472"/>
    <cellStyle name="Normal 4 2 2 3 3 4 2 2" xfId="7684"/>
    <cellStyle name="Normal 4 2 2 3 3 4 3" xfId="5539"/>
    <cellStyle name="Normal 4 2 2 3 3 5" xfId="1655"/>
    <cellStyle name="Normal 4 2 2 3 3 5 2" xfId="3885"/>
    <cellStyle name="Normal 4 2 2 3 3 5 2 2" xfId="8097"/>
    <cellStyle name="Normal 4 2 2 3 3 5 3" xfId="5952"/>
    <cellStyle name="Normal 4 2 2 3 3 6" xfId="2069"/>
    <cellStyle name="Normal 4 2 2 3 3 6 2" xfId="4298"/>
    <cellStyle name="Normal 4 2 2 3 3 6 2 2" xfId="8510"/>
    <cellStyle name="Normal 4 2 2 3 3 6 3" xfId="6365"/>
    <cellStyle name="Normal 4 2 2 3 3 7" xfId="2505"/>
    <cellStyle name="Normal 4 2 2 3 3 7 2" xfId="6778"/>
    <cellStyle name="Normal 4 2 2 3 3 8" xfId="4713"/>
    <cellStyle name="Normal 4 2 2 3 4" xfId="346"/>
    <cellStyle name="Normal 4 2 2 3 4 2" xfId="824"/>
    <cellStyle name="Normal 4 2 2 3 4 2 2" xfId="3061"/>
    <cellStyle name="Normal 4 2 2 3 4 2 2 2" xfId="7273"/>
    <cellStyle name="Normal 4 2 2 3 4 2 3" xfId="5128"/>
    <cellStyle name="Normal 4 2 2 3 4 3" xfId="1244"/>
    <cellStyle name="Normal 4 2 2 3 4 3 2" xfId="3474"/>
    <cellStyle name="Normal 4 2 2 3 4 3 2 2" xfId="7686"/>
    <cellStyle name="Normal 4 2 2 3 4 3 3" xfId="5541"/>
    <cellStyle name="Normal 4 2 2 3 4 4" xfId="1657"/>
    <cellStyle name="Normal 4 2 2 3 4 4 2" xfId="3887"/>
    <cellStyle name="Normal 4 2 2 3 4 4 2 2" xfId="8099"/>
    <cellStyle name="Normal 4 2 2 3 4 4 3" xfId="5954"/>
    <cellStyle name="Normal 4 2 2 3 4 5" xfId="2071"/>
    <cellStyle name="Normal 4 2 2 3 4 5 2" xfId="4300"/>
    <cellStyle name="Normal 4 2 2 3 4 5 2 2" xfId="8512"/>
    <cellStyle name="Normal 4 2 2 3 4 5 3" xfId="6367"/>
    <cellStyle name="Normal 4 2 2 3 4 6" xfId="2507"/>
    <cellStyle name="Normal 4 2 2 3 4 6 2" xfId="6780"/>
    <cellStyle name="Normal 4 2 2 3 4 7" xfId="4715"/>
    <cellStyle name="Normal 4 2 2 3 5" xfId="817"/>
    <cellStyle name="Normal 4 2 2 3 5 2" xfId="3054"/>
    <cellStyle name="Normal 4 2 2 3 5 2 2" xfId="7266"/>
    <cellStyle name="Normal 4 2 2 3 5 3" xfId="5121"/>
    <cellStyle name="Normal 4 2 2 3 6" xfId="1237"/>
    <cellStyle name="Normal 4 2 2 3 6 2" xfId="3467"/>
    <cellStyle name="Normal 4 2 2 3 6 2 2" xfId="7679"/>
    <cellStyle name="Normal 4 2 2 3 6 3" xfId="5534"/>
    <cellStyle name="Normal 4 2 2 3 7" xfId="1650"/>
    <cellStyle name="Normal 4 2 2 3 7 2" xfId="3880"/>
    <cellStyle name="Normal 4 2 2 3 7 2 2" xfId="8092"/>
    <cellStyle name="Normal 4 2 2 3 7 3" xfId="5947"/>
    <cellStyle name="Normal 4 2 2 3 8" xfId="2064"/>
    <cellStyle name="Normal 4 2 2 3 8 2" xfId="4293"/>
    <cellStyle name="Normal 4 2 2 3 8 2 2" xfId="8505"/>
    <cellStyle name="Normal 4 2 2 3 8 3" xfId="6360"/>
    <cellStyle name="Normal 4 2 2 3 9" xfId="2500"/>
    <cellStyle name="Normal 4 2 2 3 9 2" xfId="6773"/>
    <cellStyle name="Normal 4 2 2 4" xfId="347"/>
    <cellStyle name="Normal 4 2 2 4 2" xfId="348"/>
    <cellStyle name="Normal 4 2 2 4 2 2" xfId="349"/>
    <cellStyle name="Normal 4 2 2 4 2 2 2" xfId="827"/>
    <cellStyle name="Normal 4 2 2 4 2 2 2 2" xfId="3064"/>
    <cellStyle name="Normal 4 2 2 4 2 2 2 2 2" xfId="7276"/>
    <cellStyle name="Normal 4 2 2 4 2 2 2 3" xfId="5131"/>
    <cellStyle name="Normal 4 2 2 4 2 2 3" xfId="1247"/>
    <cellStyle name="Normal 4 2 2 4 2 2 3 2" xfId="3477"/>
    <cellStyle name="Normal 4 2 2 4 2 2 3 2 2" xfId="7689"/>
    <cellStyle name="Normal 4 2 2 4 2 2 3 3" xfId="5544"/>
    <cellStyle name="Normal 4 2 2 4 2 2 4" xfId="1660"/>
    <cellStyle name="Normal 4 2 2 4 2 2 4 2" xfId="3890"/>
    <cellStyle name="Normal 4 2 2 4 2 2 4 2 2" xfId="8102"/>
    <cellStyle name="Normal 4 2 2 4 2 2 4 3" xfId="5957"/>
    <cellStyle name="Normal 4 2 2 4 2 2 5" xfId="2074"/>
    <cellStyle name="Normal 4 2 2 4 2 2 5 2" xfId="4303"/>
    <cellStyle name="Normal 4 2 2 4 2 2 5 2 2" xfId="8515"/>
    <cellStyle name="Normal 4 2 2 4 2 2 5 3" xfId="6370"/>
    <cellStyle name="Normal 4 2 2 4 2 2 6" xfId="2510"/>
    <cellStyle name="Normal 4 2 2 4 2 2 6 2" xfId="6783"/>
    <cellStyle name="Normal 4 2 2 4 2 2 7" xfId="4718"/>
    <cellStyle name="Normal 4 2 2 4 2 3" xfId="826"/>
    <cellStyle name="Normal 4 2 2 4 2 3 2" xfId="3063"/>
    <cellStyle name="Normal 4 2 2 4 2 3 2 2" xfId="7275"/>
    <cellStyle name="Normal 4 2 2 4 2 3 3" xfId="5130"/>
    <cellStyle name="Normal 4 2 2 4 2 4" xfId="1246"/>
    <cellStyle name="Normal 4 2 2 4 2 4 2" xfId="3476"/>
    <cellStyle name="Normal 4 2 2 4 2 4 2 2" xfId="7688"/>
    <cellStyle name="Normal 4 2 2 4 2 4 3" xfId="5543"/>
    <cellStyle name="Normal 4 2 2 4 2 5" xfId="1659"/>
    <cellStyle name="Normal 4 2 2 4 2 5 2" xfId="3889"/>
    <cellStyle name="Normal 4 2 2 4 2 5 2 2" xfId="8101"/>
    <cellStyle name="Normal 4 2 2 4 2 5 3" xfId="5956"/>
    <cellStyle name="Normal 4 2 2 4 2 6" xfId="2073"/>
    <cellStyle name="Normal 4 2 2 4 2 6 2" xfId="4302"/>
    <cellStyle name="Normal 4 2 2 4 2 6 2 2" xfId="8514"/>
    <cellStyle name="Normal 4 2 2 4 2 6 3" xfId="6369"/>
    <cellStyle name="Normal 4 2 2 4 2 7" xfId="2509"/>
    <cellStyle name="Normal 4 2 2 4 2 7 2" xfId="6782"/>
    <cellStyle name="Normal 4 2 2 4 2 8" xfId="4717"/>
    <cellStyle name="Normal 4 2 2 4 3" xfId="350"/>
    <cellStyle name="Normal 4 2 2 4 3 2" xfId="828"/>
    <cellStyle name="Normal 4 2 2 4 3 2 2" xfId="3065"/>
    <cellStyle name="Normal 4 2 2 4 3 2 2 2" xfId="7277"/>
    <cellStyle name="Normal 4 2 2 4 3 2 3" xfId="5132"/>
    <cellStyle name="Normal 4 2 2 4 3 3" xfId="1248"/>
    <cellStyle name="Normal 4 2 2 4 3 3 2" xfId="3478"/>
    <cellStyle name="Normal 4 2 2 4 3 3 2 2" xfId="7690"/>
    <cellStyle name="Normal 4 2 2 4 3 3 3" xfId="5545"/>
    <cellStyle name="Normal 4 2 2 4 3 4" xfId="1661"/>
    <cellStyle name="Normal 4 2 2 4 3 4 2" xfId="3891"/>
    <cellStyle name="Normal 4 2 2 4 3 4 2 2" xfId="8103"/>
    <cellStyle name="Normal 4 2 2 4 3 4 3" xfId="5958"/>
    <cellStyle name="Normal 4 2 2 4 3 5" xfId="2075"/>
    <cellStyle name="Normal 4 2 2 4 3 5 2" xfId="4304"/>
    <cellStyle name="Normal 4 2 2 4 3 5 2 2" xfId="8516"/>
    <cellStyle name="Normal 4 2 2 4 3 5 3" xfId="6371"/>
    <cellStyle name="Normal 4 2 2 4 3 6" xfId="2511"/>
    <cellStyle name="Normal 4 2 2 4 3 6 2" xfId="6784"/>
    <cellStyle name="Normal 4 2 2 4 3 7" xfId="4719"/>
    <cellStyle name="Normal 4 2 2 4 4" xfId="825"/>
    <cellStyle name="Normal 4 2 2 4 4 2" xfId="3062"/>
    <cellStyle name="Normal 4 2 2 4 4 2 2" xfId="7274"/>
    <cellStyle name="Normal 4 2 2 4 4 3" xfId="5129"/>
    <cellStyle name="Normal 4 2 2 4 5" xfId="1245"/>
    <cellStyle name="Normal 4 2 2 4 5 2" xfId="3475"/>
    <cellStyle name="Normal 4 2 2 4 5 2 2" xfId="7687"/>
    <cellStyle name="Normal 4 2 2 4 5 3" xfId="5542"/>
    <cellStyle name="Normal 4 2 2 4 6" xfId="1658"/>
    <cellStyle name="Normal 4 2 2 4 6 2" xfId="3888"/>
    <cellStyle name="Normal 4 2 2 4 6 2 2" xfId="8100"/>
    <cellStyle name="Normal 4 2 2 4 6 3" xfId="5955"/>
    <cellStyle name="Normal 4 2 2 4 7" xfId="2072"/>
    <cellStyle name="Normal 4 2 2 4 7 2" xfId="4301"/>
    <cellStyle name="Normal 4 2 2 4 7 2 2" xfId="8513"/>
    <cellStyle name="Normal 4 2 2 4 7 3" xfId="6368"/>
    <cellStyle name="Normal 4 2 2 4 8" xfId="2508"/>
    <cellStyle name="Normal 4 2 2 4 8 2" xfId="6781"/>
    <cellStyle name="Normal 4 2 2 4 9" xfId="4716"/>
    <cellStyle name="Normal 4 2 2 5" xfId="351"/>
    <cellStyle name="Normal 4 2 2 5 2" xfId="352"/>
    <cellStyle name="Normal 4 2 2 5 2 2" xfId="830"/>
    <cellStyle name="Normal 4 2 2 5 2 2 2" xfId="3067"/>
    <cellStyle name="Normal 4 2 2 5 2 2 2 2" xfId="7279"/>
    <cellStyle name="Normal 4 2 2 5 2 2 3" xfId="5134"/>
    <cellStyle name="Normal 4 2 2 5 2 3" xfId="1250"/>
    <cellStyle name="Normal 4 2 2 5 2 3 2" xfId="3480"/>
    <cellStyle name="Normal 4 2 2 5 2 3 2 2" xfId="7692"/>
    <cellStyle name="Normal 4 2 2 5 2 3 3" xfId="5547"/>
    <cellStyle name="Normal 4 2 2 5 2 4" xfId="1663"/>
    <cellStyle name="Normal 4 2 2 5 2 4 2" xfId="3893"/>
    <cellStyle name="Normal 4 2 2 5 2 4 2 2" xfId="8105"/>
    <cellStyle name="Normal 4 2 2 5 2 4 3" xfId="5960"/>
    <cellStyle name="Normal 4 2 2 5 2 5" xfId="2077"/>
    <cellStyle name="Normal 4 2 2 5 2 5 2" xfId="4306"/>
    <cellStyle name="Normal 4 2 2 5 2 5 2 2" xfId="8518"/>
    <cellStyle name="Normal 4 2 2 5 2 5 3" xfId="6373"/>
    <cellStyle name="Normal 4 2 2 5 2 6" xfId="2513"/>
    <cellStyle name="Normal 4 2 2 5 2 6 2" xfId="6786"/>
    <cellStyle name="Normal 4 2 2 5 2 7" xfId="4721"/>
    <cellStyle name="Normal 4 2 2 5 3" xfId="829"/>
    <cellStyle name="Normal 4 2 2 5 3 2" xfId="3066"/>
    <cellStyle name="Normal 4 2 2 5 3 2 2" xfId="7278"/>
    <cellStyle name="Normal 4 2 2 5 3 3" xfId="5133"/>
    <cellStyle name="Normal 4 2 2 5 4" xfId="1249"/>
    <cellStyle name="Normal 4 2 2 5 4 2" xfId="3479"/>
    <cellStyle name="Normal 4 2 2 5 4 2 2" xfId="7691"/>
    <cellStyle name="Normal 4 2 2 5 4 3" xfId="5546"/>
    <cellStyle name="Normal 4 2 2 5 5" xfId="1662"/>
    <cellStyle name="Normal 4 2 2 5 5 2" xfId="3892"/>
    <cellStyle name="Normal 4 2 2 5 5 2 2" xfId="8104"/>
    <cellStyle name="Normal 4 2 2 5 5 3" xfId="5959"/>
    <cellStyle name="Normal 4 2 2 5 6" xfId="2076"/>
    <cellStyle name="Normal 4 2 2 5 6 2" xfId="4305"/>
    <cellStyle name="Normal 4 2 2 5 6 2 2" xfId="8517"/>
    <cellStyle name="Normal 4 2 2 5 6 3" xfId="6372"/>
    <cellStyle name="Normal 4 2 2 5 7" xfId="2512"/>
    <cellStyle name="Normal 4 2 2 5 7 2" xfId="6785"/>
    <cellStyle name="Normal 4 2 2 5 8" xfId="4720"/>
    <cellStyle name="Normal 4 2 2 6" xfId="353"/>
    <cellStyle name="Normal 4 2 2 6 2" xfId="831"/>
    <cellStyle name="Normal 4 2 2 6 2 2" xfId="3068"/>
    <cellStyle name="Normal 4 2 2 6 2 2 2" xfId="7280"/>
    <cellStyle name="Normal 4 2 2 6 2 3" xfId="5135"/>
    <cellStyle name="Normal 4 2 2 6 3" xfId="1251"/>
    <cellStyle name="Normal 4 2 2 6 3 2" xfId="3481"/>
    <cellStyle name="Normal 4 2 2 6 3 2 2" xfId="7693"/>
    <cellStyle name="Normal 4 2 2 6 3 3" xfId="5548"/>
    <cellStyle name="Normal 4 2 2 6 4" xfId="1664"/>
    <cellStyle name="Normal 4 2 2 6 4 2" xfId="3894"/>
    <cellStyle name="Normal 4 2 2 6 4 2 2" xfId="8106"/>
    <cellStyle name="Normal 4 2 2 6 4 3" xfId="5961"/>
    <cellStyle name="Normal 4 2 2 6 5" xfId="2078"/>
    <cellStyle name="Normal 4 2 2 6 5 2" xfId="4307"/>
    <cellStyle name="Normal 4 2 2 6 5 2 2" xfId="8519"/>
    <cellStyle name="Normal 4 2 2 6 5 3" xfId="6374"/>
    <cellStyle name="Normal 4 2 2 6 6" xfId="2514"/>
    <cellStyle name="Normal 4 2 2 6 6 2" xfId="6787"/>
    <cellStyle name="Normal 4 2 2 6 7" xfId="4722"/>
    <cellStyle name="Normal 4 2 2 7" xfId="816"/>
    <cellStyle name="Normal 4 2 2 7 2" xfId="3053"/>
    <cellStyle name="Normal 4 2 2 7 2 2" xfId="7265"/>
    <cellStyle name="Normal 4 2 2 7 3" xfId="5120"/>
    <cellStyle name="Normal 4 2 2 8" xfId="1236"/>
    <cellStyle name="Normal 4 2 2 8 2" xfId="3466"/>
    <cellStyle name="Normal 4 2 2 8 2 2" xfId="7678"/>
    <cellStyle name="Normal 4 2 2 8 3" xfId="5533"/>
    <cellStyle name="Normal 4 2 2 9" xfId="1649"/>
    <cellStyle name="Normal 4 2 2 9 2" xfId="3879"/>
    <cellStyle name="Normal 4 2 2 9 2 2" xfId="8091"/>
    <cellStyle name="Normal 4 2 2 9 3" xfId="5946"/>
    <cellStyle name="Normal 4 2 3" xfId="354"/>
    <cellStyle name="Normal 4 2 4" xfId="355"/>
    <cellStyle name="Normal 4 2 4 10" xfId="4723"/>
    <cellStyle name="Normal 4 2 4 2" xfId="356"/>
    <cellStyle name="Normal 4 2 4 2 2" xfId="357"/>
    <cellStyle name="Normal 4 2 4 2 2 2" xfId="358"/>
    <cellStyle name="Normal 4 2 4 2 2 2 2" xfId="835"/>
    <cellStyle name="Normal 4 2 4 2 2 2 2 2" xfId="3072"/>
    <cellStyle name="Normal 4 2 4 2 2 2 2 2 2" xfId="7284"/>
    <cellStyle name="Normal 4 2 4 2 2 2 2 3" xfId="5139"/>
    <cellStyle name="Normal 4 2 4 2 2 2 3" xfId="1255"/>
    <cellStyle name="Normal 4 2 4 2 2 2 3 2" xfId="3485"/>
    <cellStyle name="Normal 4 2 4 2 2 2 3 2 2" xfId="7697"/>
    <cellStyle name="Normal 4 2 4 2 2 2 3 3" xfId="5552"/>
    <cellStyle name="Normal 4 2 4 2 2 2 4" xfId="1668"/>
    <cellStyle name="Normal 4 2 4 2 2 2 4 2" xfId="3898"/>
    <cellStyle name="Normal 4 2 4 2 2 2 4 2 2" xfId="8110"/>
    <cellStyle name="Normal 4 2 4 2 2 2 4 3" xfId="5965"/>
    <cellStyle name="Normal 4 2 4 2 2 2 5" xfId="2082"/>
    <cellStyle name="Normal 4 2 4 2 2 2 5 2" xfId="4311"/>
    <cellStyle name="Normal 4 2 4 2 2 2 5 2 2" xfId="8523"/>
    <cellStyle name="Normal 4 2 4 2 2 2 5 3" xfId="6378"/>
    <cellStyle name="Normal 4 2 4 2 2 2 6" xfId="2518"/>
    <cellStyle name="Normal 4 2 4 2 2 2 6 2" xfId="6791"/>
    <cellStyle name="Normal 4 2 4 2 2 2 7" xfId="4726"/>
    <cellStyle name="Normal 4 2 4 2 2 3" xfId="834"/>
    <cellStyle name="Normal 4 2 4 2 2 3 2" xfId="3071"/>
    <cellStyle name="Normal 4 2 4 2 2 3 2 2" xfId="7283"/>
    <cellStyle name="Normal 4 2 4 2 2 3 3" xfId="5138"/>
    <cellStyle name="Normal 4 2 4 2 2 4" xfId="1254"/>
    <cellStyle name="Normal 4 2 4 2 2 4 2" xfId="3484"/>
    <cellStyle name="Normal 4 2 4 2 2 4 2 2" xfId="7696"/>
    <cellStyle name="Normal 4 2 4 2 2 4 3" xfId="5551"/>
    <cellStyle name="Normal 4 2 4 2 2 5" xfId="1667"/>
    <cellStyle name="Normal 4 2 4 2 2 5 2" xfId="3897"/>
    <cellStyle name="Normal 4 2 4 2 2 5 2 2" xfId="8109"/>
    <cellStyle name="Normal 4 2 4 2 2 5 3" xfId="5964"/>
    <cellStyle name="Normal 4 2 4 2 2 6" xfId="2081"/>
    <cellStyle name="Normal 4 2 4 2 2 6 2" xfId="4310"/>
    <cellStyle name="Normal 4 2 4 2 2 6 2 2" xfId="8522"/>
    <cellStyle name="Normal 4 2 4 2 2 6 3" xfId="6377"/>
    <cellStyle name="Normal 4 2 4 2 2 7" xfId="2517"/>
    <cellStyle name="Normal 4 2 4 2 2 7 2" xfId="6790"/>
    <cellStyle name="Normal 4 2 4 2 2 8" xfId="4725"/>
    <cellStyle name="Normal 4 2 4 2 3" xfId="359"/>
    <cellStyle name="Normal 4 2 4 2 3 2" xfId="836"/>
    <cellStyle name="Normal 4 2 4 2 3 2 2" xfId="3073"/>
    <cellStyle name="Normal 4 2 4 2 3 2 2 2" xfId="7285"/>
    <cellStyle name="Normal 4 2 4 2 3 2 3" xfId="5140"/>
    <cellStyle name="Normal 4 2 4 2 3 3" xfId="1256"/>
    <cellStyle name="Normal 4 2 4 2 3 3 2" xfId="3486"/>
    <cellStyle name="Normal 4 2 4 2 3 3 2 2" xfId="7698"/>
    <cellStyle name="Normal 4 2 4 2 3 3 3" xfId="5553"/>
    <cellStyle name="Normal 4 2 4 2 3 4" xfId="1669"/>
    <cellStyle name="Normal 4 2 4 2 3 4 2" xfId="3899"/>
    <cellStyle name="Normal 4 2 4 2 3 4 2 2" xfId="8111"/>
    <cellStyle name="Normal 4 2 4 2 3 4 3" xfId="5966"/>
    <cellStyle name="Normal 4 2 4 2 3 5" xfId="2083"/>
    <cellStyle name="Normal 4 2 4 2 3 5 2" xfId="4312"/>
    <cellStyle name="Normal 4 2 4 2 3 5 2 2" xfId="8524"/>
    <cellStyle name="Normal 4 2 4 2 3 5 3" xfId="6379"/>
    <cellStyle name="Normal 4 2 4 2 3 6" xfId="2519"/>
    <cellStyle name="Normal 4 2 4 2 3 6 2" xfId="6792"/>
    <cellStyle name="Normal 4 2 4 2 3 7" xfId="4727"/>
    <cellStyle name="Normal 4 2 4 2 4" xfId="833"/>
    <cellStyle name="Normal 4 2 4 2 4 2" xfId="3070"/>
    <cellStyle name="Normal 4 2 4 2 4 2 2" xfId="7282"/>
    <cellStyle name="Normal 4 2 4 2 4 3" xfId="5137"/>
    <cellStyle name="Normal 4 2 4 2 5" xfId="1253"/>
    <cellStyle name="Normal 4 2 4 2 5 2" xfId="3483"/>
    <cellStyle name="Normal 4 2 4 2 5 2 2" xfId="7695"/>
    <cellStyle name="Normal 4 2 4 2 5 3" xfId="5550"/>
    <cellStyle name="Normal 4 2 4 2 6" xfId="1666"/>
    <cellStyle name="Normal 4 2 4 2 6 2" xfId="3896"/>
    <cellStyle name="Normal 4 2 4 2 6 2 2" xfId="8108"/>
    <cellStyle name="Normal 4 2 4 2 6 3" xfId="5963"/>
    <cellStyle name="Normal 4 2 4 2 7" xfId="2080"/>
    <cellStyle name="Normal 4 2 4 2 7 2" xfId="4309"/>
    <cellStyle name="Normal 4 2 4 2 7 2 2" xfId="8521"/>
    <cellStyle name="Normal 4 2 4 2 7 3" xfId="6376"/>
    <cellStyle name="Normal 4 2 4 2 8" xfId="2516"/>
    <cellStyle name="Normal 4 2 4 2 8 2" xfId="6789"/>
    <cellStyle name="Normal 4 2 4 2 9" xfId="4724"/>
    <cellStyle name="Normal 4 2 4 3" xfId="360"/>
    <cellStyle name="Normal 4 2 4 3 2" xfId="361"/>
    <cellStyle name="Normal 4 2 4 3 2 2" xfId="838"/>
    <cellStyle name="Normal 4 2 4 3 2 2 2" xfId="3075"/>
    <cellStyle name="Normal 4 2 4 3 2 2 2 2" xfId="7287"/>
    <cellStyle name="Normal 4 2 4 3 2 2 3" xfId="5142"/>
    <cellStyle name="Normal 4 2 4 3 2 3" xfId="1258"/>
    <cellStyle name="Normal 4 2 4 3 2 3 2" xfId="3488"/>
    <cellStyle name="Normal 4 2 4 3 2 3 2 2" xfId="7700"/>
    <cellStyle name="Normal 4 2 4 3 2 3 3" xfId="5555"/>
    <cellStyle name="Normal 4 2 4 3 2 4" xfId="1671"/>
    <cellStyle name="Normal 4 2 4 3 2 4 2" xfId="3901"/>
    <cellStyle name="Normal 4 2 4 3 2 4 2 2" xfId="8113"/>
    <cellStyle name="Normal 4 2 4 3 2 4 3" xfId="5968"/>
    <cellStyle name="Normal 4 2 4 3 2 5" xfId="2085"/>
    <cellStyle name="Normal 4 2 4 3 2 5 2" xfId="4314"/>
    <cellStyle name="Normal 4 2 4 3 2 5 2 2" xfId="8526"/>
    <cellStyle name="Normal 4 2 4 3 2 5 3" xfId="6381"/>
    <cellStyle name="Normal 4 2 4 3 2 6" xfId="2521"/>
    <cellStyle name="Normal 4 2 4 3 2 6 2" xfId="6794"/>
    <cellStyle name="Normal 4 2 4 3 2 7" xfId="4729"/>
    <cellStyle name="Normal 4 2 4 3 3" xfId="837"/>
    <cellStyle name="Normal 4 2 4 3 3 2" xfId="3074"/>
    <cellStyle name="Normal 4 2 4 3 3 2 2" xfId="7286"/>
    <cellStyle name="Normal 4 2 4 3 3 3" xfId="5141"/>
    <cellStyle name="Normal 4 2 4 3 4" xfId="1257"/>
    <cellStyle name="Normal 4 2 4 3 4 2" xfId="3487"/>
    <cellStyle name="Normal 4 2 4 3 4 2 2" xfId="7699"/>
    <cellStyle name="Normal 4 2 4 3 4 3" xfId="5554"/>
    <cellStyle name="Normal 4 2 4 3 5" xfId="1670"/>
    <cellStyle name="Normal 4 2 4 3 5 2" xfId="3900"/>
    <cellStyle name="Normal 4 2 4 3 5 2 2" xfId="8112"/>
    <cellStyle name="Normal 4 2 4 3 5 3" xfId="5967"/>
    <cellStyle name="Normal 4 2 4 3 6" xfId="2084"/>
    <cellStyle name="Normal 4 2 4 3 6 2" xfId="4313"/>
    <cellStyle name="Normal 4 2 4 3 6 2 2" xfId="8525"/>
    <cellStyle name="Normal 4 2 4 3 6 3" xfId="6380"/>
    <cellStyle name="Normal 4 2 4 3 7" xfId="2520"/>
    <cellStyle name="Normal 4 2 4 3 7 2" xfId="6793"/>
    <cellStyle name="Normal 4 2 4 3 8" xfId="4728"/>
    <cellStyle name="Normal 4 2 4 4" xfId="362"/>
    <cellStyle name="Normal 4 2 4 4 2" xfId="839"/>
    <cellStyle name="Normal 4 2 4 4 2 2" xfId="3076"/>
    <cellStyle name="Normal 4 2 4 4 2 2 2" xfId="7288"/>
    <cellStyle name="Normal 4 2 4 4 2 3" xfId="5143"/>
    <cellStyle name="Normal 4 2 4 4 3" xfId="1259"/>
    <cellStyle name="Normal 4 2 4 4 3 2" xfId="3489"/>
    <cellStyle name="Normal 4 2 4 4 3 2 2" xfId="7701"/>
    <cellStyle name="Normal 4 2 4 4 3 3" xfId="5556"/>
    <cellStyle name="Normal 4 2 4 4 4" xfId="1672"/>
    <cellStyle name="Normal 4 2 4 4 4 2" xfId="3902"/>
    <cellStyle name="Normal 4 2 4 4 4 2 2" xfId="8114"/>
    <cellStyle name="Normal 4 2 4 4 4 3" xfId="5969"/>
    <cellStyle name="Normal 4 2 4 4 5" xfId="2086"/>
    <cellStyle name="Normal 4 2 4 4 5 2" xfId="4315"/>
    <cellStyle name="Normal 4 2 4 4 5 2 2" xfId="8527"/>
    <cellStyle name="Normal 4 2 4 4 5 3" xfId="6382"/>
    <cellStyle name="Normal 4 2 4 4 6" xfId="2522"/>
    <cellStyle name="Normal 4 2 4 4 6 2" xfId="6795"/>
    <cellStyle name="Normal 4 2 4 4 7" xfId="4730"/>
    <cellStyle name="Normal 4 2 4 5" xfId="832"/>
    <cellStyle name="Normal 4 2 4 5 2" xfId="3069"/>
    <cellStyle name="Normal 4 2 4 5 2 2" xfId="7281"/>
    <cellStyle name="Normal 4 2 4 5 3" xfId="5136"/>
    <cellStyle name="Normal 4 2 4 6" xfId="1252"/>
    <cellStyle name="Normal 4 2 4 6 2" xfId="3482"/>
    <cellStyle name="Normal 4 2 4 6 2 2" xfId="7694"/>
    <cellStyle name="Normal 4 2 4 6 3" xfId="5549"/>
    <cellStyle name="Normal 4 2 4 7" xfId="1665"/>
    <cellStyle name="Normal 4 2 4 7 2" xfId="3895"/>
    <cellStyle name="Normal 4 2 4 7 2 2" xfId="8107"/>
    <cellStyle name="Normal 4 2 4 7 3" xfId="5962"/>
    <cellStyle name="Normal 4 2 4 8" xfId="2079"/>
    <cellStyle name="Normal 4 2 4 8 2" xfId="4308"/>
    <cellStyle name="Normal 4 2 4 8 2 2" xfId="8520"/>
    <cellStyle name="Normal 4 2 4 8 3" xfId="6375"/>
    <cellStyle name="Normal 4 2 4 9" xfId="2515"/>
    <cellStyle name="Normal 4 2 4 9 2" xfId="6788"/>
    <cellStyle name="Normal 4 2 5" xfId="363"/>
    <cellStyle name="Normal 4 2 5 2" xfId="364"/>
    <cellStyle name="Normal 4 2 5 2 2" xfId="841"/>
    <cellStyle name="Normal 4 2 5 2 2 2" xfId="3078"/>
    <cellStyle name="Normal 4 2 5 2 2 2 2" xfId="7290"/>
    <cellStyle name="Normal 4 2 5 2 2 3" xfId="5145"/>
    <cellStyle name="Normal 4 2 5 2 3" xfId="1261"/>
    <cellStyle name="Normal 4 2 5 2 3 2" xfId="3491"/>
    <cellStyle name="Normal 4 2 5 2 3 2 2" xfId="7703"/>
    <cellStyle name="Normal 4 2 5 2 3 3" xfId="5558"/>
    <cellStyle name="Normal 4 2 5 2 4" xfId="1674"/>
    <cellStyle name="Normal 4 2 5 2 4 2" xfId="3904"/>
    <cellStyle name="Normal 4 2 5 2 4 2 2" xfId="8116"/>
    <cellStyle name="Normal 4 2 5 2 4 3" xfId="5971"/>
    <cellStyle name="Normal 4 2 5 2 5" xfId="2088"/>
    <cellStyle name="Normal 4 2 5 2 5 2" xfId="4317"/>
    <cellStyle name="Normal 4 2 5 2 5 2 2" xfId="8529"/>
    <cellStyle name="Normal 4 2 5 2 5 3" xfId="6384"/>
    <cellStyle name="Normal 4 2 5 2 6" xfId="2524"/>
    <cellStyle name="Normal 4 2 5 2 6 2" xfId="6797"/>
    <cellStyle name="Normal 4 2 5 2 7" xfId="4732"/>
    <cellStyle name="Normal 4 2 5 3" xfId="840"/>
    <cellStyle name="Normal 4 2 5 3 2" xfId="3077"/>
    <cellStyle name="Normal 4 2 5 3 2 2" xfId="7289"/>
    <cellStyle name="Normal 4 2 5 3 3" xfId="5144"/>
    <cellStyle name="Normal 4 2 5 4" xfId="1260"/>
    <cellStyle name="Normal 4 2 5 4 2" xfId="3490"/>
    <cellStyle name="Normal 4 2 5 4 2 2" xfId="7702"/>
    <cellStyle name="Normal 4 2 5 4 3" xfId="5557"/>
    <cellStyle name="Normal 4 2 5 5" xfId="1673"/>
    <cellStyle name="Normal 4 2 5 5 2" xfId="3903"/>
    <cellStyle name="Normal 4 2 5 5 2 2" xfId="8115"/>
    <cellStyle name="Normal 4 2 5 5 3" xfId="5970"/>
    <cellStyle name="Normal 4 2 5 6" xfId="2087"/>
    <cellStyle name="Normal 4 2 5 6 2" xfId="4316"/>
    <cellStyle name="Normal 4 2 5 6 2 2" xfId="8528"/>
    <cellStyle name="Normal 4 2 5 6 3" xfId="6383"/>
    <cellStyle name="Normal 4 2 5 7" xfId="2523"/>
    <cellStyle name="Normal 4 2 5 7 2" xfId="6796"/>
    <cellStyle name="Normal 4 2 5 8" xfId="4731"/>
    <cellStyle name="Normal 4 2 6" xfId="365"/>
    <cellStyle name="Normal 4 2 6 2" xfId="842"/>
    <cellStyle name="Normal 4 2 6 2 2" xfId="3079"/>
    <cellStyle name="Normal 4 2 6 2 2 2" xfId="7291"/>
    <cellStyle name="Normal 4 2 6 2 3" xfId="5146"/>
    <cellStyle name="Normal 4 2 6 3" xfId="1262"/>
    <cellStyle name="Normal 4 2 6 3 2" xfId="3492"/>
    <cellStyle name="Normal 4 2 6 3 2 2" xfId="7704"/>
    <cellStyle name="Normal 4 2 6 3 3" xfId="5559"/>
    <cellStyle name="Normal 4 2 6 4" xfId="1675"/>
    <cellStyle name="Normal 4 2 6 4 2" xfId="3905"/>
    <cellStyle name="Normal 4 2 6 4 2 2" xfId="8117"/>
    <cellStyle name="Normal 4 2 6 4 3" xfId="5972"/>
    <cellStyle name="Normal 4 2 6 5" xfId="2089"/>
    <cellStyle name="Normal 4 2 6 5 2" xfId="4318"/>
    <cellStyle name="Normal 4 2 6 5 2 2" xfId="8530"/>
    <cellStyle name="Normal 4 2 6 5 3" xfId="6385"/>
    <cellStyle name="Normal 4 2 6 6" xfId="2525"/>
    <cellStyle name="Normal 4 2 6 6 2" xfId="6798"/>
    <cellStyle name="Normal 4 2 6 7" xfId="4733"/>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295"/>
    <cellStyle name="Normal 4 3 2 2 2 2 2 2 3" xfId="5150"/>
    <cellStyle name="Normal 4 3 2 2 2 2 2 3" xfId="1266"/>
    <cellStyle name="Normal 4 3 2 2 2 2 2 3 2" xfId="3496"/>
    <cellStyle name="Normal 4 3 2 2 2 2 2 3 2 2" xfId="7708"/>
    <cellStyle name="Normal 4 3 2 2 2 2 2 3 3" xfId="5563"/>
    <cellStyle name="Normal 4 3 2 2 2 2 2 4" xfId="1679"/>
    <cellStyle name="Normal 4 3 2 2 2 2 2 4 2" xfId="3909"/>
    <cellStyle name="Normal 4 3 2 2 2 2 2 4 2 2" xfId="8121"/>
    <cellStyle name="Normal 4 3 2 2 2 2 2 4 3" xfId="5976"/>
    <cellStyle name="Normal 4 3 2 2 2 2 2 5" xfId="2093"/>
    <cellStyle name="Normal 4 3 2 2 2 2 2 5 2" xfId="4322"/>
    <cellStyle name="Normal 4 3 2 2 2 2 2 5 2 2" xfId="8534"/>
    <cellStyle name="Normal 4 3 2 2 2 2 2 5 3" xfId="6389"/>
    <cellStyle name="Normal 4 3 2 2 2 2 2 6" xfId="2529"/>
    <cellStyle name="Normal 4 3 2 2 2 2 2 6 2" xfId="6802"/>
    <cellStyle name="Normal 4 3 2 2 2 2 2 7" xfId="4737"/>
    <cellStyle name="Normal 4 3 2 2 2 2 3" xfId="846"/>
    <cellStyle name="Normal 4 3 2 2 2 2 3 2" xfId="3082"/>
    <cellStyle name="Normal 4 3 2 2 2 2 3 2 2" xfId="7294"/>
    <cellStyle name="Normal 4 3 2 2 2 2 3 3" xfId="5149"/>
    <cellStyle name="Normal 4 3 2 2 2 2 4" xfId="1265"/>
    <cellStyle name="Normal 4 3 2 2 2 2 4 2" xfId="3495"/>
    <cellStyle name="Normal 4 3 2 2 2 2 4 2 2" xfId="7707"/>
    <cellStyle name="Normal 4 3 2 2 2 2 4 3" xfId="5562"/>
    <cellStyle name="Normal 4 3 2 2 2 2 5" xfId="1678"/>
    <cellStyle name="Normal 4 3 2 2 2 2 5 2" xfId="3908"/>
    <cellStyle name="Normal 4 3 2 2 2 2 5 2 2" xfId="8120"/>
    <cellStyle name="Normal 4 3 2 2 2 2 5 3" xfId="5975"/>
    <cellStyle name="Normal 4 3 2 2 2 2 6" xfId="2092"/>
    <cellStyle name="Normal 4 3 2 2 2 2 6 2" xfId="4321"/>
    <cellStyle name="Normal 4 3 2 2 2 2 6 2 2" xfId="8533"/>
    <cellStyle name="Normal 4 3 2 2 2 2 6 3" xfId="6388"/>
    <cellStyle name="Normal 4 3 2 2 2 2 7" xfId="2528"/>
    <cellStyle name="Normal 4 3 2 2 2 2 7 2" xfId="6801"/>
    <cellStyle name="Normal 4 3 2 2 2 2 8" xfId="4736"/>
    <cellStyle name="Normal 4 3 2 2 2 3" xfId="372"/>
    <cellStyle name="Normal 4 3 2 2 2 3 2" xfId="848"/>
    <cellStyle name="Normal 4 3 2 2 2 3 2 2" xfId="3084"/>
    <cellStyle name="Normal 4 3 2 2 2 3 2 2 2" xfId="7296"/>
    <cellStyle name="Normal 4 3 2 2 2 3 2 3" xfId="5151"/>
    <cellStyle name="Normal 4 3 2 2 2 3 3" xfId="1267"/>
    <cellStyle name="Normal 4 3 2 2 2 3 3 2" xfId="3497"/>
    <cellStyle name="Normal 4 3 2 2 2 3 3 2 2" xfId="7709"/>
    <cellStyle name="Normal 4 3 2 2 2 3 3 3" xfId="5564"/>
    <cellStyle name="Normal 4 3 2 2 2 3 4" xfId="1680"/>
    <cellStyle name="Normal 4 3 2 2 2 3 4 2" xfId="3910"/>
    <cellStyle name="Normal 4 3 2 2 2 3 4 2 2" xfId="8122"/>
    <cellStyle name="Normal 4 3 2 2 2 3 4 3" xfId="5977"/>
    <cellStyle name="Normal 4 3 2 2 2 3 5" xfId="2094"/>
    <cellStyle name="Normal 4 3 2 2 2 3 5 2" xfId="4323"/>
    <cellStyle name="Normal 4 3 2 2 2 3 5 2 2" xfId="8535"/>
    <cellStyle name="Normal 4 3 2 2 2 3 5 3" xfId="6390"/>
    <cellStyle name="Normal 4 3 2 2 2 3 6" xfId="2530"/>
    <cellStyle name="Normal 4 3 2 2 2 3 6 2" xfId="6803"/>
    <cellStyle name="Normal 4 3 2 2 2 3 7" xfId="4738"/>
    <cellStyle name="Normal 4 3 2 2 2 4" xfId="845"/>
    <cellStyle name="Normal 4 3 2 2 2 4 2" xfId="3081"/>
    <cellStyle name="Normal 4 3 2 2 2 4 2 2" xfId="7293"/>
    <cellStyle name="Normal 4 3 2 2 2 4 3" xfId="5148"/>
    <cellStyle name="Normal 4 3 2 2 2 5" xfId="1264"/>
    <cellStyle name="Normal 4 3 2 2 2 5 2" xfId="3494"/>
    <cellStyle name="Normal 4 3 2 2 2 5 2 2" xfId="7706"/>
    <cellStyle name="Normal 4 3 2 2 2 5 3" xfId="5561"/>
    <cellStyle name="Normal 4 3 2 2 2 6" xfId="1677"/>
    <cellStyle name="Normal 4 3 2 2 2 6 2" xfId="3907"/>
    <cellStyle name="Normal 4 3 2 2 2 6 2 2" xfId="8119"/>
    <cellStyle name="Normal 4 3 2 2 2 6 3" xfId="5974"/>
    <cellStyle name="Normal 4 3 2 2 2 7" xfId="2091"/>
    <cellStyle name="Normal 4 3 2 2 2 7 2" xfId="4320"/>
    <cellStyle name="Normal 4 3 2 2 2 7 2 2" xfId="8532"/>
    <cellStyle name="Normal 4 3 2 2 2 7 3" xfId="6387"/>
    <cellStyle name="Normal 4 3 2 2 2 8" xfId="2527"/>
    <cellStyle name="Normal 4 3 2 2 2 8 2" xfId="6800"/>
    <cellStyle name="Normal 4 3 2 2 2 9" xfId="4735"/>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299"/>
    <cellStyle name="Normal 4 3 3 2 2 2 3" xfId="5154"/>
    <cellStyle name="Normal 4 3 3 2 2 3" xfId="1270"/>
    <cellStyle name="Normal 4 3 3 2 2 3 2" xfId="3500"/>
    <cellStyle name="Normal 4 3 3 2 2 3 2 2" xfId="7712"/>
    <cellStyle name="Normal 4 3 3 2 2 3 3" xfId="5567"/>
    <cellStyle name="Normal 4 3 3 2 2 4" xfId="1683"/>
    <cellStyle name="Normal 4 3 3 2 2 4 2" xfId="3913"/>
    <cellStyle name="Normal 4 3 3 2 2 4 2 2" xfId="8125"/>
    <cellStyle name="Normal 4 3 3 2 2 4 3" xfId="5980"/>
    <cellStyle name="Normal 4 3 3 2 2 5" xfId="2097"/>
    <cellStyle name="Normal 4 3 3 2 2 5 2" xfId="4326"/>
    <cellStyle name="Normal 4 3 3 2 2 5 2 2" xfId="8538"/>
    <cellStyle name="Normal 4 3 3 2 2 5 3" xfId="6393"/>
    <cellStyle name="Normal 4 3 3 2 2 6" xfId="2533"/>
    <cellStyle name="Normal 4 3 3 2 2 6 2" xfId="6806"/>
    <cellStyle name="Normal 4 3 3 2 2 7" xfId="4741"/>
    <cellStyle name="Normal 4 3 3 2 3" xfId="851"/>
    <cellStyle name="Normal 4 3 3 2 3 2" xfId="3086"/>
    <cellStyle name="Normal 4 3 3 2 3 2 2" xfId="7298"/>
    <cellStyle name="Normal 4 3 3 2 3 3" xfId="5153"/>
    <cellStyle name="Normal 4 3 3 2 4" xfId="1269"/>
    <cellStyle name="Normal 4 3 3 2 4 2" xfId="3499"/>
    <cellStyle name="Normal 4 3 3 2 4 2 2" xfId="7711"/>
    <cellStyle name="Normal 4 3 3 2 4 3" xfId="5566"/>
    <cellStyle name="Normal 4 3 3 2 5" xfId="1682"/>
    <cellStyle name="Normal 4 3 3 2 5 2" xfId="3912"/>
    <cellStyle name="Normal 4 3 3 2 5 2 2" xfId="8124"/>
    <cellStyle name="Normal 4 3 3 2 5 3" xfId="5979"/>
    <cellStyle name="Normal 4 3 3 2 6" xfId="2096"/>
    <cellStyle name="Normal 4 3 3 2 6 2" xfId="4325"/>
    <cellStyle name="Normal 4 3 3 2 6 2 2" xfId="8537"/>
    <cellStyle name="Normal 4 3 3 2 6 3" xfId="6392"/>
    <cellStyle name="Normal 4 3 3 2 7" xfId="2532"/>
    <cellStyle name="Normal 4 3 3 2 7 2" xfId="6805"/>
    <cellStyle name="Normal 4 3 3 2 8" xfId="4740"/>
    <cellStyle name="Normal 4 3 3 3" xfId="377"/>
    <cellStyle name="Normal 4 3 3 3 2" xfId="853"/>
    <cellStyle name="Normal 4 3 3 3 2 2" xfId="3088"/>
    <cellStyle name="Normal 4 3 3 3 2 2 2" xfId="7300"/>
    <cellStyle name="Normal 4 3 3 3 2 3" xfId="5155"/>
    <cellStyle name="Normal 4 3 3 3 3" xfId="1271"/>
    <cellStyle name="Normal 4 3 3 3 3 2" xfId="3501"/>
    <cellStyle name="Normal 4 3 3 3 3 2 2" xfId="7713"/>
    <cellStyle name="Normal 4 3 3 3 3 3" xfId="5568"/>
    <cellStyle name="Normal 4 3 3 3 4" xfId="1684"/>
    <cellStyle name="Normal 4 3 3 3 4 2" xfId="3914"/>
    <cellStyle name="Normal 4 3 3 3 4 2 2" xfId="8126"/>
    <cellStyle name="Normal 4 3 3 3 4 3" xfId="5981"/>
    <cellStyle name="Normal 4 3 3 3 5" xfId="2098"/>
    <cellStyle name="Normal 4 3 3 3 5 2" xfId="4327"/>
    <cellStyle name="Normal 4 3 3 3 5 2 2" xfId="8539"/>
    <cellStyle name="Normal 4 3 3 3 5 3" xfId="6394"/>
    <cellStyle name="Normal 4 3 3 3 6" xfId="2534"/>
    <cellStyle name="Normal 4 3 3 3 6 2" xfId="6807"/>
    <cellStyle name="Normal 4 3 3 3 7" xfId="4742"/>
    <cellStyle name="Normal 4 3 3 4" xfId="850"/>
    <cellStyle name="Normal 4 3 3 4 2" xfId="3085"/>
    <cellStyle name="Normal 4 3 3 4 2 2" xfId="7297"/>
    <cellStyle name="Normal 4 3 3 4 3" xfId="5152"/>
    <cellStyle name="Normal 4 3 3 5" xfId="1268"/>
    <cellStyle name="Normal 4 3 3 5 2" xfId="3498"/>
    <cellStyle name="Normal 4 3 3 5 2 2" xfId="7710"/>
    <cellStyle name="Normal 4 3 3 5 3" xfId="5565"/>
    <cellStyle name="Normal 4 3 3 6" xfId="1681"/>
    <cellStyle name="Normal 4 3 3 6 2" xfId="3911"/>
    <cellStyle name="Normal 4 3 3 6 2 2" xfId="8123"/>
    <cellStyle name="Normal 4 3 3 6 3" xfId="5978"/>
    <cellStyle name="Normal 4 3 3 7" xfId="2095"/>
    <cellStyle name="Normal 4 3 3 7 2" xfId="4324"/>
    <cellStyle name="Normal 4 3 3 7 2 2" xfId="8536"/>
    <cellStyle name="Normal 4 3 3 7 3" xfId="6391"/>
    <cellStyle name="Normal 4 3 3 8" xfId="2531"/>
    <cellStyle name="Normal 4 3 3 8 2" xfId="6804"/>
    <cellStyle name="Normal 4 3 3 9" xfId="4739"/>
    <cellStyle name="Normal 4 3 4" xfId="843"/>
    <cellStyle name="Normal 4 3 4 2" xfId="3080"/>
    <cellStyle name="Normal 4 3 4 2 2" xfId="7292"/>
    <cellStyle name="Normal 4 3 4 3" xfId="5147"/>
    <cellStyle name="Normal 4 3 5" xfId="1263"/>
    <cellStyle name="Normal 4 3 5 2" xfId="3493"/>
    <cellStyle name="Normal 4 3 5 2 2" xfId="7705"/>
    <cellStyle name="Normal 4 3 5 3" xfId="5560"/>
    <cellStyle name="Normal 4 3 6" xfId="1676"/>
    <cellStyle name="Normal 4 3 6 2" xfId="3906"/>
    <cellStyle name="Normal 4 3 6 2 2" xfId="8118"/>
    <cellStyle name="Normal 4 3 6 3" xfId="5973"/>
    <cellStyle name="Normal 4 3 7" xfId="2090"/>
    <cellStyle name="Normal 4 3 7 2" xfId="4319"/>
    <cellStyle name="Normal 4 3 7 2 2" xfId="8531"/>
    <cellStyle name="Normal 4 3 7 3" xfId="6386"/>
    <cellStyle name="Normal 4 3 8" xfId="2526"/>
    <cellStyle name="Normal 4 3 8 2" xfId="6799"/>
    <cellStyle name="Normal 4 3 9" xfId="4734"/>
    <cellStyle name="Normal 4 4" xfId="378"/>
    <cellStyle name="Normal 4 4 10" xfId="2535"/>
    <cellStyle name="Normal 4 4 10 2" xfId="6808"/>
    <cellStyle name="Normal 4 4 11" xfId="4743"/>
    <cellStyle name="Normal 4 4 2" xfId="379"/>
    <cellStyle name="Normal 4 4 2 10" xfId="4744"/>
    <cellStyle name="Normal 4 4 2 2" xfId="380"/>
    <cellStyle name="Normal 4 4 2 2 2" xfId="381"/>
    <cellStyle name="Normal 4 4 2 2 2 2" xfId="382"/>
    <cellStyle name="Normal 4 4 2 2 2 2 2" xfId="858"/>
    <cellStyle name="Normal 4 4 2 2 2 2 2 2" xfId="3093"/>
    <cellStyle name="Normal 4 4 2 2 2 2 2 2 2" xfId="7305"/>
    <cellStyle name="Normal 4 4 2 2 2 2 2 3" xfId="5160"/>
    <cellStyle name="Normal 4 4 2 2 2 2 3" xfId="1276"/>
    <cellStyle name="Normal 4 4 2 2 2 2 3 2" xfId="3506"/>
    <cellStyle name="Normal 4 4 2 2 2 2 3 2 2" xfId="7718"/>
    <cellStyle name="Normal 4 4 2 2 2 2 3 3" xfId="5573"/>
    <cellStyle name="Normal 4 4 2 2 2 2 4" xfId="1689"/>
    <cellStyle name="Normal 4 4 2 2 2 2 4 2" xfId="3919"/>
    <cellStyle name="Normal 4 4 2 2 2 2 4 2 2" xfId="8131"/>
    <cellStyle name="Normal 4 4 2 2 2 2 4 3" xfId="5986"/>
    <cellStyle name="Normal 4 4 2 2 2 2 5" xfId="2103"/>
    <cellStyle name="Normal 4 4 2 2 2 2 5 2" xfId="4332"/>
    <cellStyle name="Normal 4 4 2 2 2 2 5 2 2" xfId="8544"/>
    <cellStyle name="Normal 4 4 2 2 2 2 5 3" xfId="6399"/>
    <cellStyle name="Normal 4 4 2 2 2 2 6" xfId="2539"/>
    <cellStyle name="Normal 4 4 2 2 2 2 6 2" xfId="6812"/>
    <cellStyle name="Normal 4 4 2 2 2 2 7" xfId="4747"/>
    <cellStyle name="Normal 4 4 2 2 2 3" xfId="857"/>
    <cellStyle name="Normal 4 4 2 2 2 3 2" xfId="3092"/>
    <cellStyle name="Normal 4 4 2 2 2 3 2 2" xfId="7304"/>
    <cellStyle name="Normal 4 4 2 2 2 3 3" xfId="5159"/>
    <cellStyle name="Normal 4 4 2 2 2 4" xfId="1275"/>
    <cellStyle name="Normal 4 4 2 2 2 4 2" xfId="3505"/>
    <cellStyle name="Normal 4 4 2 2 2 4 2 2" xfId="7717"/>
    <cellStyle name="Normal 4 4 2 2 2 4 3" xfId="5572"/>
    <cellStyle name="Normal 4 4 2 2 2 5" xfId="1688"/>
    <cellStyle name="Normal 4 4 2 2 2 5 2" xfId="3918"/>
    <cellStyle name="Normal 4 4 2 2 2 5 2 2" xfId="8130"/>
    <cellStyle name="Normal 4 4 2 2 2 5 3" xfId="5985"/>
    <cellStyle name="Normal 4 4 2 2 2 6" xfId="2102"/>
    <cellStyle name="Normal 4 4 2 2 2 6 2" xfId="4331"/>
    <cellStyle name="Normal 4 4 2 2 2 6 2 2" xfId="8543"/>
    <cellStyle name="Normal 4 4 2 2 2 6 3" xfId="6398"/>
    <cellStyle name="Normal 4 4 2 2 2 7" xfId="2538"/>
    <cellStyle name="Normal 4 4 2 2 2 7 2" xfId="6811"/>
    <cellStyle name="Normal 4 4 2 2 2 8" xfId="4746"/>
    <cellStyle name="Normal 4 4 2 2 3" xfId="383"/>
    <cellStyle name="Normal 4 4 2 2 3 2" xfId="859"/>
    <cellStyle name="Normal 4 4 2 2 3 2 2" xfId="3094"/>
    <cellStyle name="Normal 4 4 2 2 3 2 2 2" xfId="7306"/>
    <cellStyle name="Normal 4 4 2 2 3 2 3" xfId="5161"/>
    <cellStyle name="Normal 4 4 2 2 3 3" xfId="1277"/>
    <cellStyle name="Normal 4 4 2 2 3 3 2" xfId="3507"/>
    <cellStyle name="Normal 4 4 2 2 3 3 2 2" xfId="7719"/>
    <cellStyle name="Normal 4 4 2 2 3 3 3" xfId="5574"/>
    <cellStyle name="Normal 4 4 2 2 3 4" xfId="1690"/>
    <cellStyle name="Normal 4 4 2 2 3 4 2" xfId="3920"/>
    <cellStyle name="Normal 4 4 2 2 3 4 2 2" xfId="8132"/>
    <cellStyle name="Normal 4 4 2 2 3 4 3" xfId="5987"/>
    <cellStyle name="Normal 4 4 2 2 3 5" xfId="2104"/>
    <cellStyle name="Normal 4 4 2 2 3 5 2" xfId="4333"/>
    <cellStyle name="Normal 4 4 2 2 3 5 2 2" xfId="8545"/>
    <cellStyle name="Normal 4 4 2 2 3 5 3" xfId="6400"/>
    <cellStyle name="Normal 4 4 2 2 3 6" xfId="2540"/>
    <cellStyle name="Normal 4 4 2 2 3 6 2" xfId="6813"/>
    <cellStyle name="Normal 4 4 2 2 3 7" xfId="4748"/>
    <cellStyle name="Normal 4 4 2 2 4" xfId="856"/>
    <cellStyle name="Normal 4 4 2 2 4 2" xfId="3091"/>
    <cellStyle name="Normal 4 4 2 2 4 2 2" xfId="7303"/>
    <cellStyle name="Normal 4 4 2 2 4 3" xfId="5158"/>
    <cellStyle name="Normal 4 4 2 2 5" xfId="1274"/>
    <cellStyle name="Normal 4 4 2 2 5 2" xfId="3504"/>
    <cellStyle name="Normal 4 4 2 2 5 2 2" xfId="7716"/>
    <cellStyle name="Normal 4 4 2 2 5 3" xfId="5571"/>
    <cellStyle name="Normal 4 4 2 2 6" xfId="1687"/>
    <cellStyle name="Normal 4 4 2 2 6 2" xfId="3917"/>
    <cellStyle name="Normal 4 4 2 2 6 2 2" xfId="8129"/>
    <cellStyle name="Normal 4 4 2 2 6 3" xfId="5984"/>
    <cellStyle name="Normal 4 4 2 2 7" xfId="2101"/>
    <cellStyle name="Normal 4 4 2 2 7 2" xfId="4330"/>
    <cellStyle name="Normal 4 4 2 2 7 2 2" xfId="8542"/>
    <cellStyle name="Normal 4 4 2 2 7 3" xfId="6397"/>
    <cellStyle name="Normal 4 4 2 2 8" xfId="2537"/>
    <cellStyle name="Normal 4 4 2 2 8 2" xfId="6810"/>
    <cellStyle name="Normal 4 4 2 2 9" xfId="4745"/>
    <cellStyle name="Normal 4 4 2 3" xfId="384"/>
    <cellStyle name="Normal 4 4 2 3 2" xfId="385"/>
    <cellStyle name="Normal 4 4 2 3 2 2" xfId="861"/>
    <cellStyle name="Normal 4 4 2 3 2 2 2" xfId="3096"/>
    <cellStyle name="Normal 4 4 2 3 2 2 2 2" xfId="7308"/>
    <cellStyle name="Normal 4 4 2 3 2 2 3" xfId="5163"/>
    <cellStyle name="Normal 4 4 2 3 2 3" xfId="1279"/>
    <cellStyle name="Normal 4 4 2 3 2 3 2" xfId="3509"/>
    <cellStyle name="Normal 4 4 2 3 2 3 2 2" xfId="7721"/>
    <cellStyle name="Normal 4 4 2 3 2 3 3" xfId="5576"/>
    <cellStyle name="Normal 4 4 2 3 2 4" xfId="1692"/>
    <cellStyle name="Normal 4 4 2 3 2 4 2" xfId="3922"/>
    <cellStyle name="Normal 4 4 2 3 2 4 2 2" xfId="8134"/>
    <cellStyle name="Normal 4 4 2 3 2 4 3" xfId="5989"/>
    <cellStyle name="Normal 4 4 2 3 2 5" xfId="2106"/>
    <cellStyle name="Normal 4 4 2 3 2 5 2" xfId="4335"/>
    <cellStyle name="Normal 4 4 2 3 2 5 2 2" xfId="8547"/>
    <cellStyle name="Normal 4 4 2 3 2 5 3" xfId="6402"/>
    <cellStyle name="Normal 4 4 2 3 2 6" xfId="2542"/>
    <cellStyle name="Normal 4 4 2 3 2 6 2" xfId="6815"/>
    <cellStyle name="Normal 4 4 2 3 2 7" xfId="4750"/>
    <cellStyle name="Normal 4 4 2 3 3" xfId="860"/>
    <cellStyle name="Normal 4 4 2 3 3 2" xfId="3095"/>
    <cellStyle name="Normal 4 4 2 3 3 2 2" xfId="7307"/>
    <cellStyle name="Normal 4 4 2 3 3 3" xfId="5162"/>
    <cellStyle name="Normal 4 4 2 3 4" xfId="1278"/>
    <cellStyle name="Normal 4 4 2 3 4 2" xfId="3508"/>
    <cellStyle name="Normal 4 4 2 3 4 2 2" xfId="7720"/>
    <cellStyle name="Normal 4 4 2 3 4 3" xfId="5575"/>
    <cellStyle name="Normal 4 4 2 3 5" xfId="1691"/>
    <cellStyle name="Normal 4 4 2 3 5 2" xfId="3921"/>
    <cellStyle name="Normal 4 4 2 3 5 2 2" xfId="8133"/>
    <cellStyle name="Normal 4 4 2 3 5 3" xfId="5988"/>
    <cellStyle name="Normal 4 4 2 3 6" xfId="2105"/>
    <cellStyle name="Normal 4 4 2 3 6 2" xfId="4334"/>
    <cellStyle name="Normal 4 4 2 3 6 2 2" xfId="8546"/>
    <cellStyle name="Normal 4 4 2 3 6 3" xfId="6401"/>
    <cellStyle name="Normal 4 4 2 3 7" xfId="2541"/>
    <cellStyle name="Normal 4 4 2 3 7 2" xfId="6814"/>
    <cellStyle name="Normal 4 4 2 3 8" xfId="4749"/>
    <cellStyle name="Normal 4 4 2 4" xfId="386"/>
    <cellStyle name="Normal 4 4 2 4 2" xfId="862"/>
    <cellStyle name="Normal 4 4 2 4 2 2" xfId="3097"/>
    <cellStyle name="Normal 4 4 2 4 2 2 2" xfId="7309"/>
    <cellStyle name="Normal 4 4 2 4 2 3" xfId="5164"/>
    <cellStyle name="Normal 4 4 2 4 3" xfId="1280"/>
    <cellStyle name="Normal 4 4 2 4 3 2" xfId="3510"/>
    <cellStyle name="Normal 4 4 2 4 3 2 2" xfId="7722"/>
    <cellStyle name="Normal 4 4 2 4 3 3" xfId="5577"/>
    <cellStyle name="Normal 4 4 2 4 4" xfId="1693"/>
    <cellStyle name="Normal 4 4 2 4 4 2" xfId="3923"/>
    <cellStyle name="Normal 4 4 2 4 4 2 2" xfId="8135"/>
    <cellStyle name="Normal 4 4 2 4 4 3" xfId="5990"/>
    <cellStyle name="Normal 4 4 2 4 5" xfId="2107"/>
    <cellStyle name="Normal 4 4 2 4 5 2" xfId="4336"/>
    <cellStyle name="Normal 4 4 2 4 5 2 2" xfId="8548"/>
    <cellStyle name="Normal 4 4 2 4 5 3" xfId="6403"/>
    <cellStyle name="Normal 4 4 2 4 6" xfId="2543"/>
    <cellStyle name="Normal 4 4 2 4 6 2" xfId="6816"/>
    <cellStyle name="Normal 4 4 2 4 7" xfId="4751"/>
    <cellStyle name="Normal 4 4 2 5" xfId="855"/>
    <cellStyle name="Normal 4 4 2 5 2" xfId="3090"/>
    <cellStyle name="Normal 4 4 2 5 2 2" xfId="7302"/>
    <cellStyle name="Normal 4 4 2 5 3" xfId="5157"/>
    <cellStyle name="Normal 4 4 2 6" xfId="1273"/>
    <cellStyle name="Normal 4 4 2 6 2" xfId="3503"/>
    <cellStyle name="Normal 4 4 2 6 2 2" xfId="7715"/>
    <cellStyle name="Normal 4 4 2 6 3" xfId="5570"/>
    <cellStyle name="Normal 4 4 2 7" xfId="1686"/>
    <cellStyle name="Normal 4 4 2 7 2" xfId="3916"/>
    <cellStyle name="Normal 4 4 2 7 2 2" xfId="8128"/>
    <cellStyle name="Normal 4 4 2 7 3" xfId="5983"/>
    <cellStyle name="Normal 4 4 2 8" xfId="2100"/>
    <cellStyle name="Normal 4 4 2 8 2" xfId="4329"/>
    <cellStyle name="Normal 4 4 2 8 2 2" xfId="8541"/>
    <cellStyle name="Normal 4 4 2 8 3" xfId="6396"/>
    <cellStyle name="Normal 4 4 2 9" xfId="2536"/>
    <cellStyle name="Normal 4 4 2 9 2" xfId="6809"/>
    <cellStyle name="Normal 4 4 3" xfId="387"/>
    <cellStyle name="Normal 4 4 3 2" xfId="388"/>
    <cellStyle name="Normal 4 4 3 2 2" xfId="389"/>
    <cellStyle name="Normal 4 4 3 2 2 2" xfId="865"/>
    <cellStyle name="Normal 4 4 3 2 2 2 2" xfId="3100"/>
    <cellStyle name="Normal 4 4 3 2 2 2 2 2" xfId="7312"/>
    <cellStyle name="Normal 4 4 3 2 2 2 3" xfId="5167"/>
    <cellStyle name="Normal 4 4 3 2 2 3" xfId="1283"/>
    <cellStyle name="Normal 4 4 3 2 2 3 2" xfId="3513"/>
    <cellStyle name="Normal 4 4 3 2 2 3 2 2" xfId="7725"/>
    <cellStyle name="Normal 4 4 3 2 2 3 3" xfId="5580"/>
    <cellStyle name="Normal 4 4 3 2 2 4" xfId="1696"/>
    <cellStyle name="Normal 4 4 3 2 2 4 2" xfId="3926"/>
    <cellStyle name="Normal 4 4 3 2 2 4 2 2" xfId="8138"/>
    <cellStyle name="Normal 4 4 3 2 2 4 3" xfId="5993"/>
    <cellStyle name="Normal 4 4 3 2 2 5" xfId="2110"/>
    <cellStyle name="Normal 4 4 3 2 2 5 2" xfId="4339"/>
    <cellStyle name="Normal 4 4 3 2 2 5 2 2" xfId="8551"/>
    <cellStyle name="Normal 4 4 3 2 2 5 3" xfId="6406"/>
    <cellStyle name="Normal 4 4 3 2 2 6" xfId="2546"/>
    <cellStyle name="Normal 4 4 3 2 2 6 2" xfId="6819"/>
    <cellStyle name="Normal 4 4 3 2 2 7" xfId="4754"/>
    <cellStyle name="Normal 4 4 3 2 3" xfId="864"/>
    <cellStyle name="Normal 4 4 3 2 3 2" xfId="3099"/>
    <cellStyle name="Normal 4 4 3 2 3 2 2" xfId="7311"/>
    <cellStyle name="Normal 4 4 3 2 3 3" xfId="5166"/>
    <cellStyle name="Normal 4 4 3 2 4" xfId="1282"/>
    <cellStyle name="Normal 4 4 3 2 4 2" xfId="3512"/>
    <cellStyle name="Normal 4 4 3 2 4 2 2" xfId="7724"/>
    <cellStyle name="Normal 4 4 3 2 4 3" xfId="5579"/>
    <cellStyle name="Normal 4 4 3 2 5" xfId="1695"/>
    <cellStyle name="Normal 4 4 3 2 5 2" xfId="3925"/>
    <cellStyle name="Normal 4 4 3 2 5 2 2" xfId="8137"/>
    <cellStyle name="Normal 4 4 3 2 5 3" xfId="5992"/>
    <cellStyle name="Normal 4 4 3 2 6" xfId="2109"/>
    <cellStyle name="Normal 4 4 3 2 6 2" xfId="4338"/>
    <cellStyle name="Normal 4 4 3 2 6 2 2" xfId="8550"/>
    <cellStyle name="Normal 4 4 3 2 6 3" xfId="6405"/>
    <cellStyle name="Normal 4 4 3 2 7" xfId="2545"/>
    <cellStyle name="Normal 4 4 3 2 7 2" xfId="6818"/>
    <cellStyle name="Normal 4 4 3 2 8" xfId="4753"/>
    <cellStyle name="Normal 4 4 3 3" xfId="390"/>
    <cellStyle name="Normal 4 4 3 3 2" xfId="866"/>
    <cellStyle name="Normal 4 4 3 3 2 2" xfId="3101"/>
    <cellStyle name="Normal 4 4 3 3 2 2 2" xfId="7313"/>
    <cellStyle name="Normal 4 4 3 3 2 3" xfId="5168"/>
    <cellStyle name="Normal 4 4 3 3 3" xfId="1284"/>
    <cellStyle name="Normal 4 4 3 3 3 2" xfId="3514"/>
    <cellStyle name="Normal 4 4 3 3 3 2 2" xfId="7726"/>
    <cellStyle name="Normal 4 4 3 3 3 3" xfId="5581"/>
    <cellStyle name="Normal 4 4 3 3 4" xfId="1697"/>
    <cellStyle name="Normal 4 4 3 3 4 2" xfId="3927"/>
    <cellStyle name="Normal 4 4 3 3 4 2 2" xfId="8139"/>
    <cellStyle name="Normal 4 4 3 3 4 3" xfId="5994"/>
    <cellStyle name="Normal 4 4 3 3 5" xfId="2111"/>
    <cellStyle name="Normal 4 4 3 3 5 2" xfId="4340"/>
    <cellStyle name="Normal 4 4 3 3 5 2 2" xfId="8552"/>
    <cellStyle name="Normal 4 4 3 3 5 3" xfId="6407"/>
    <cellStyle name="Normal 4 4 3 3 6" xfId="2547"/>
    <cellStyle name="Normal 4 4 3 3 6 2" xfId="6820"/>
    <cellStyle name="Normal 4 4 3 3 7" xfId="4755"/>
    <cellStyle name="Normal 4 4 3 4" xfId="863"/>
    <cellStyle name="Normal 4 4 3 4 2" xfId="3098"/>
    <cellStyle name="Normal 4 4 3 4 2 2" xfId="7310"/>
    <cellStyle name="Normal 4 4 3 4 3" xfId="5165"/>
    <cellStyle name="Normal 4 4 3 5" xfId="1281"/>
    <cellStyle name="Normal 4 4 3 5 2" xfId="3511"/>
    <cellStyle name="Normal 4 4 3 5 2 2" xfId="7723"/>
    <cellStyle name="Normal 4 4 3 5 3" xfId="5578"/>
    <cellStyle name="Normal 4 4 3 6" xfId="1694"/>
    <cellStyle name="Normal 4 4 3 6 2" xfId="3924"/>
    <cellStyle name="Normal 4 4 3 6 2 2" xfId="8136"/>
    <cellStyle name="Normal 4 4 3 6 3" xfId="5991"/>
    <cellStyle name="Normal 4 4 3 7" xfId="2108"/>
    <cellStyle name="Normal 4 4 3 7 2" xfId="4337"/>
    <cellStyle name="Normal 4 4 3 7 2 2" xfId="8549"/>
    <cellStyle name="Normal 4 4 3 7 3" xfId="6404"/>
    <cellStyle name="Normal 4 4 3 8" xfId="2544"/>
    <cellStyle name="Normal 4 4 3 8 2" xfId="6817"/>
    <cellStyle name="Normal 4 4 3 9" xfId="4752"/>
    <cellStyle name="Normal 4 4 4" xfId="391"/>
    <cellStyle name="Normal 4 4 4 2" xfId="392"/>
    <cellStyle name="Normal 4 4 4 2 2" xfId="868"/>
    <cellStyle name="Normal 4 4 4 2 2 2" xfId="3103"/>
    <cellStyle name="Normal 4 4 4 2 2 2 2" xfId="7315"/>
    <cellStyle name="Normal 4 4 4 2 2 3" xfId="5170"/>
    <cellStyle name="Normal 4 4 4 2 3" xfId="1286"/>
    <cellStyle name="Normal 4 4 4 2 3 2" xfId="3516"/>
    <cellStyle name="Normal 4 4 4 2 3 2 2" xfId="7728"/>
    <cellStyle name="Normal 4 4 4 2 3 3" xfId="5583"/>
    <cellStyle name="Normal 4 4 4 2 4" xfId="1699"/>
    <cellStyle name="Normal 4 4 4 2 4 2" xfId="3929"/>
    <cellStyle name="Normal 4 4 4 2 4 2 2" xfId="8141"/>
    <cellStyle name="Normal 4 4 4 2 4 3" xfId="5996"/>
    <cellStyle name="Normal 4 4 4 2 5" xfId="2113"/>
    <cellStyle name="Normal 4 4 4 2 5 2" xfId="4342"/>
    <cellStyle name="Normal 4 4 4 2 5 2 2" xfId="8554"/>
    <cellStyle name="Normal 4 4 4 2 5 3" xfId="6409"/>
    <cellStyle name="Normal 4 4 4 2 6" xfId="2549"/>
    <cellStyle name="Normal 4 4 4 2 6 2" xfId="6822"/>
    <cellStyle name="Normal 4 4 4 2 7" xfId="4757"/>
    <cellStyle name="Normal 4 4 4 3" xfId="867"/>
    <cellStyle name="Normal 4 4 4 3 2" xfId="3102"/>
    <cellStyle name="Normal 4 4 4 3 2 2" xfId="7314"/>
    <cellStyle name="Normal 4 4 4 3 3" xfId="5169"/>
    <cellStyle name="Normal 4 4 4 4" xfId="1285"/>
    <cellStyle name="Normal 4 4 4 4 2" xfId="3515"/>
    <cellStyle name="Normal 4 4 4 4 2 2" xfId="7727"/>
    <cellStyle name="Normal 4 4 4 4 3" xfId="5582"/>
    <cellStyle name="Normal 4 4 4 5" xfId="1698"/>
    <cellStyle name="Normal 4 4 4 5 2" xfId="3928"/>
    <cellStyle name="Normal 4 4 4 5 2 2" xfId="8140"/>
    <cellStyle name="Normal 4 4 4 5 3" xfId="5995"/>
    <cellStyle name="Normal 4 4 4 6" xfId="2112"/>
    <cellStyle name="Normal 4 4 4 6 2" xfId="4341"/>
    <cellStyle name="Normal 4 4 4 6 2 2" xfId="8553"/>
    <cellStyle name="Normal 4 4 4 6 3" xfId="6408"/>
    <cellStyle name="Normal 4 4 4 7" xfId="2548"/>
    <cellStyle name="Normal 4 4 4 7 2" xfId="6821"/>
    <cellStyle name="Normal 4 4 4 8" xfId="4756"/>
    <cellStyle name="Normal 4 4 5" xfId="393"/>
    <cellStyle name="Normal 4 4 5 2" xfId="869"/>
    <cellStyle name="Normal 4 4 5 2 2" xfId="3104"/>
    <cellStyle name="Normal 4 4 5 2 2 2" xfId="7316"/>
    <cellStyle name="Normal 4 4 5 2 3" xfId="5171"/>
    <cellStyle name="Normal 4 4 5 3" xfId="1287"/>
    <cellStyle name="Normal 4 4 5 3 2" xfId="3517"/>
    <cellStyle name="Normal 4 4 5 3 2 2" xfId="7729"/>
    <cellStyle name="Normal 4 4 5 3 3" xfId="5584"/>
    <cellStyle name="Normal 4 4 5 4" xfId="1700"/>
    <cellStyle name="Normal 4 4 5 4 2" xfId="3930"/>
    <cellStyle name="Normal 4 4 5 4 2 2" xfId="8142"/>
    <cellStyle name="Normal 4 4 5 4 3" xfId="5997"/>
    <cellStyle name="Normal 4 4 5 5" xfId="2114"/>
    <cellStyle name="Normal 4 4 5 5 2" xfId="4343"/>
    <cellStyle name="Normal 4 4 5 5 2 2" xfId="8555"/>
    <cellStyle name="Normal 4 4 5 5 3" xfId="6410"/>
    <cellStyle name="Normal 4 4 5 6" xfId="2550"/>
    <cellStyle name="Normal 4 4 5 6 2" xfId="6823"/>
    <cellStyle name="Normal 4 4 5 7" xfId="4758"/>
    <cellStyle name="Normal 4 4 6" xfId="854"/>
    <cellStyle name="Normal 4 4 6 2" xfId="3089"/>
    <cellStyle name="Normal 4 4 6 2 2" xfId="7301"/>
    <cellStyle name="Normal 4 4 6 3" xfId="5156"/>
    <cellStyle name="Normal 4 4 7" xfId="1272"/>
    <cellStyle name="Normal 4 4 7 2" xfId="3502"/>
    <cellStyle name="Normal 4 4 7 2 2" xfId="7714"/>
    <cellStyle name="Normal 4 4 7 3" xfId="5569"/>
    <cellStyle name="Normal 4 4 8" xfId="1685"/>
    <cellStyle name="Normal 4 4 8 2" xfId="3915"/>
    <cellStyle name="Normal 4 4 8 2 2" xfId="8127"/>
    <cellStyle name="Normal 4 4 8 3" xfId="5982"/>
    <cellStyle name="Normal 4 4 9" xfId="2099"/>
    <cellStyle name="Normal 4 4 9 2" xfId="4328"/>
    <cellStyle name="Normal 4 4 9 2 2" xfId="8540"/>
    <cellStyle name="Normal 4 4 9 3" xfId="6395"/>
    <cellStyle name="Normal 4 5" xfId="394"/>
    <cellStyle name="Normal 4 6" xfId="395"/>
    <cellStyle name="Normal 4 6 10" xfId="4759"/>
    <cellStyle name="Normal 4 6 2" xfId="396"/>
    <cellStyle name="Normal 4 6 2 2" xfId="397"/>
    <cellStyle name="Normal 4 6 2 2 2" xfId="398"/>
    <cellStyle name="Normal 4 6 2 2 2 2" xfId="873"/>
    <cellStyle name="Normal 4 6 2 2 2 2 2" xfId="3108"/>
    <cellStyle name="Normal 4 6 2 2 2 2 2 2" xfId="7320"/>
    <cellStyle name="Normal 4 6 2 2 2 2 3" xfId="5175"/>
    <cellStyle name="Normal 4 6 2 2 2 3" xfId="1291"/>
    <cellStyle name="Normal 4 6 2 2 2 3 2" xfId="3521"/>
    <cellStyle name="Normal 4 6 2 2 2 3 2 2" xfId="7733"/>
    <cellStyle name="Normal 4 6 2 2 2 3 3" xfId="5588"/>
    <cellStyle name="Normal 4 6 2 2 2 4" xfId="1704"/>
    <cellStyle name="Normal 4 6 2 2 2 4 2" xfId="3934"/>
    <cellStyle name="Normal 4 6 2 2 2 4 2 2" xfId="8146"/>
    <cellStyle name="Normal 4 6 2 2 2 4 3" xfId="6001"/>
    <cellStyle name="Normal 4 6 2 2 2 5" xfId="2118"/>
    <cellStyle name="Normal 4 6 2 2 2 5 2" xfId="4347"/>
    <cellStyle name="Normal 4 6 2 2 2 5 2 2" xfId="8559"/>
    <cellStyle name="Normal 4 6 2 2 2 5 3" xfId="6414"/>
    <cellStyle name="Normal 4 6 2 2 2 6" xfId="2554"/>
    <cellStyle name="Normal 4 6 2 2 2 6 2" xfId="6827"/>
    <cellStyle name="Normal 4 6 2 2 2 7" xfId="4762"/>
    <cellStyle name="Normal 4 6 2 2 3" xfId="872"/>
    <cellStyle name="Normal 4 6 2 2 3 2" xfId="3107"/>
    <cellStyle name="Normal 4 6 2 2 3 2 2" xfId="7319"/>
    <cellStyle name="Normal 4 6 2 2 3 3" xfId="5174"/>
    <cellStyle name="Normal 4 6 2 2 4" xfId="1290"/>
    <cellStyle name="Normal 4 6 2 2 4 2" xfId="3520"/>
    <cellStyle name="Normal 4 6 2 2 4 2 2" xfId="7732"/>
    <cellStyle name="Normal 4 6 2 2 4 3" xfId="5587"/>
    <cellStyle name="Normal 4 6 2 2 5" xfId="1703"/>
    <cellStyle name="Normal 4 6 2 2 5 2" xfId="3933"/>
    <cellStyle name="Normal 4 6 2 2 5 2 2" xfId="8145"/>
    <cellStyle name="Normal 4 6 2 2 5 3" xfId="6000"/>
    <cellStyle name="Normal 4 6 2 2 6" xfId="2117"/>
    <cellStyle name="Normal 4 6 2 2 6 2" xfId="4346"/>
    <cellStyle name="Normal 4 6 2 2 6 2 2" xfId="8558"/>
    <cellStyle name="Normal 4 6 2 2 6 3" xfId="6413"/>
    <cellStyle name="Normal 4 6 2 2 7" xfId="2553"/>
    <cellStyle name="Normal 4 6 2 2 7 2" xfId="6826"/>
    <cellStyle name="Normal 4 6 2 2 8" xfId="4761"/>
    <cellStyle name="Normal 4 6 2 3" xfId="399"/>
    <cellStyle name="Normal 4 6 2 3 2" xfId="874"/>
    <cellStyle name="Normal 4 6 2 3 2 2" xfId="3109"/>
    <cellStyle name="Normal 4 6 2 3 2 2 2" xfId="7321"/>
    <cellStyle name="Normal 4 6 2 3 2 3" xfId="5176"/>
    <cellStyle name="Normal 4 6 2 3 3" xfId="1292"/>
    <cellStyle name="Normal 4 6 2 3 3 2" xfId="3522"/>
    <cellStyle name="Normal 4 6 2 3 3 2 2" xfId="7734"/>
    <cellStyle name="Normal 4 6 2 3 3 3" xfId="5589"/>
    <cellStyle name="Normal 4 6 2 3 4" xfId="1705"/>
    <cellStyle name="Normal 4 6 2 3 4 2" xfId="3935"/>
    <cellStyle name="Normal 4 6 2 3 4 2 2" xfId="8147"/>
    <cellStyle name="Normal 4 6 2 3 4 3" xfId="6002"/>
    <cellStyle name="Normal 4 6 2 3 5" xfId="2119"/>
    <cellStyle name="Normal 4 6 2 3 5 2" xfId="4348"/>
    <cellStyle name="Normal 4 6 2 3 5 2 2" xfId="8560"/>
    <cellStyle name="Normal 4 6 2 3 5 3" xfId="6415"/>
    <cellStyle name="Normal 4 6 2 3 6" xfId="2555"/>
    <cellStyle name="Normal 4 6 2 3 6 2" xfId="6828"/>
    <cellStyle name="Normal 4 6 2 3 7" xfId="4763"/>
    <cellStyle name="Normal 4 6 2 4" xfId="871"/>
    <cellStyle name="Normal 4 6 2 4 2" xfId="3106"/>
    <cellStyle name="Normal 4 6 2 4 2 2" xfId="7318"/>
    <cellStyle name="Normal 4 6 2 4 3" xfId="5173"/>
    <cellStyle name="Normal 4 6 2 5" xfId="1289"/>
    <cellStyle name="Normal 4 6 2 5 2" xfId="3519"/>
    <cellStyle name="Normal 4 6 2 5 2 2" xfId="7731"/>
    <cellStyle name="Normal 4 6 2 5 3" xfId="5586"/>
    <cellStyle name="Normal 4 6 2 6" xfId="1702"/>
    <cellStyle name="Normal 4 6 2 6 2" xfId="3932"/>
    <cellStyle name="Normal 4 6 2 6 2 2" xfId="8144"/>
    <cellStyle name="Normal 4 6 2 6 3" xfId="5999"/>
    <cellStyle name="Normal 4 6 2 7" xfId="2116"/>
    <cellStyle name="Normal 4 6 2 7 2" xfId="4345"/>
    <cellStyle name="Normal 4 6 2 7 2 2" xfId="8557"/>
    <cellStyle name="Normal 4 6 2 7 3" xfId="6412"/>
    <cellStyle name="Normal 4 6 2 8" xfId="2552"/>
    <cellStyle name="Normal 4 6 2 8 2" xfId="6825"/>
    <cellStyle name="Normal 4 6 2 9" xfId="4760"/>
    <cellStyle name="Normal 4 6 3" xfId="400"/>
    <cellStyle name="Normal 4 6 3 2" xfId="401"/>
    <cellStyle name="Normal 4 6 3 2 2" xfId="876"/>
    <cellStyle name="Normal 4 6 3 2 2 2" xfId="3111"/>
    <cellStyle name="Normal 4 6 3 2 2 2 2" xfId="7323"/>
    <cellStyle name="Normal 4 6 3 2 2 3" xfId="5178"/>
    <cellStyle name="Normal 4 6 3 2 3" xfId="1294"/>
    <cellStyle name="Normal 4 6 3 2 3 2" xfId="3524"/>
    <cellStyle name="Normal 4 6 3 2 3 2 2" xfId="7736"/>
    <cellStyle name="Normal 4 6 3 2 3 3" xfId="5591"/>
    <cellStyle name="Normal 4 6 3 2 4" xfId="1707"/>
    <cellStyle name="Normal 4 6 3 2 4 2" xfId="3937"/>
    <cellStyle name="Normal 4 6 3 2 4 2 2" xfId="8149"/>
    <cellStyle name="Normal 4 6 3 2 4 3" xfId="6004"/>
    <cellStyle name="Normal 4 6 3 2 5" xfId="2121"/>
    <cellStyle name="Normal 4 6 3 2 5 2" xfId="4350"/>
    <cellStyle name="Normal 4 6 3 2 5 2 2" xfId="8562"/>
    <cellStyle name="Normal 4 6 3 2 5 3" xfId="6417"/>
    <cellStyle name="Normal 4 6 3 2 6" xfId="2557"/>
    <cellStyle name="Normal 4 6 3 2 6 2" xfId="6830"/>
    <cellStyle name="Normal 4 6 3 2 7" xfId="4765"/>
    <cellStyle name="Normal 4 6 3 3" xfId="875"/>
    <cellStyle name="Normal 4 6 3 3 2" xfId="3110"/>
    <cellStyle name="Normal 4 6 3 3 2 2" xfId="7322"/>
    <cellStyle name="Normal 4 6 3 3 3" xfId="5177"/>
    <cellStyle name="Normal 4 6 3 4" xfId="1293"/>
    <cellStyle name="Normal 4 6 3 4 2" xfId="3523"/>
    <cellStyle name="Normal 4 6 3 4 2 2" xfId="7735"/>
    <cellStyle name="Normal 4 6 3 4 3" xfId="5590"/>
    <cellStyle name="Normal 4 6 3 5" xfId="1706"/>
    <cellStyle name="Normal 4 6 3 5 2" xfId="3936"/>
    <cellStyle name="Normal 4 6 3 5 2 2" xfId="8148"/>
    <cellStyle name="Normal 4 6 3 5 3" xfId="6003"/>
    <cellStyle name="Normal 4 6 3 6" xfId="2120"/>
    <cellStyle name="Normal 4 6 3 6 2" xfId="4349"/>
    <cellStyle name="Normal 4 6 3 6 2 2" xfId="8561"/>
    <cellStyle name="Normal 4 6 3 6 3" xfId="6416"/>
    <cellStyle name="Normal 4 6 3 7" xfId="2556"/>
    <cellStyle name="Normal 4 6 3 7 2" xfId="6829"/>
    <cellStyle name="Normal 4 6 3 8" xfId="4764"/>
    <cellStyle name="Normal 4 6 4" xfId="402"/>
    <cellStyle name="Normal 4 6 4 2" xfId="877"/>
    <cellStyle name="Normal 4 6 4 2 2" xfId="3112"/>
    <cellStyle name="Normal 4 6 4 2 2 2" xfId="7324"/>
    <cellStyle name="Normal 4 6 4 2 3" xfId="5179"/>
    <cellStyle name="Normal 4 6 4 3" xfId="1295"/>
    <cellStyle name="Normal 4 6 4 3 2" xfId="3525"/>
    <cellStyle name="Normal 4 6 4 3 2 2" xfId="7737"/>
    <cellStyle name="Normal 4 6 4 3 3" xfId="5592"/>
    <cellStyle name="Normal 4 6 4 4" xfId="1708"/>
    <cellStyle name="Normal 4 6 4 4 2" xfId="3938"/>
    <cellStyle name="Normal 4 6 4 4 2 2" xfId="8150"/>
    <cellStyle name="Normal 4 6 4 4 3" xfId="6005"/>
    <cellStyle name="Normal 4 6 4 5" xfId="2122"/>
    <cellStyle name="Normal 4 6 4 5 2" xfId="4351"/>
    <cellStyle name="Normal 4 6 4 5 2 2" xfId="8563"/>
    <cellStyle name="Normal 4 6 4 5 3" xfId="6418"/>
    <cellStyle name="Normal 4 6 4 6" xfId="2558"/>
    <cellStyle name="Normal 4 6 4 6 2" xfId="6831"/>
    <cellStyle name="Normal 4 6 4 7" xfId="4766"/>
    <cellStyle name="Normal 4 6 5" xfId="870"/>
    <cellStyle name="Normal 4 6 5 2" xfId="3105"/>
    <cellStyle name="Normal 4 6 5 2 2" xfId="7317"/>
    <cellStyle name="Normal 4 6 5 3" xfId="5172"/>
    <cellStyle name="Normal 4 6 6" xfId="1288"/>
    <cellStyle name="Normal 4 6 6 2" xfId="3518"/>
    <cellStyle name="Normal 4 6 6 2 2" xfId="7730"/>
    <cellStyle name="Normal 4 6 6 3" xfId="5585"/>
    <cellStyle name="Normal 4 6 7" xfId="1701"/>
    <cellStyle name="Normal 4 6 7 2" xfId="3931"/>
    <cellStyle name="Normal 4 6 7 2 2" xfId="8143"/>
    <cellStyle name="Normal 4 6 7 3" xfId="5998"/>
    <cellStyle name="Normal 4 6 8" xfId="2115"/>
    <cellStyle name="Normal 4 6 8 2" xfId="4344"/>
    <cellStyle name="Normal 4 6 8 2 2" xfId="8556"/>
    <cellStyle name="Normal 4 6 8 3" xfId="6411"/>
    <cellStyle name="Normal 4 6 9" xfId="2551"/>
    <cellStyle name="Normal 4 6 9 2" xfId="6824"/>
    <cellStyle name="Normal 4 7" xfId="403"/>
    <cellStyle name="Normal 4 7 2" xfId="404"/>
    <cellStyle name="Normal 4 7 2 2" xfId="879"/>
    <cellStyle name="Normal 4 7 2 2 2" xfId="3114"/>
    <cellStyle name="Normal 4 7 2 2 2 2" xfId="7326"/>
    <cellStyle name="Normal 4 7 2 2 3" xfId="5181"/>
    <cellStyle name="Normal 4 7 2 3" xfId="1297"/>
    <cellStyle name="Normal 4 7 2 3 2" xfId="3527"/>
    <cellStyle name="Normal 4 7 2 3 2 2" xfId="7739"/>
    <cellStyle name="Normal 4 7 2 3 3" xfId="5594"/>
    <cellStyle name="Normal 4 7 2 4" xfId="1710"/>
    <cellStyle name="Normal 4 7 2 4 2" xfId="3940"/>
    <cellStyle name="Normal 4 7 2 4 2 2" xfId="8152"/>
    <cellStyle name="Normal 4 7 2 4 3" xfId="6007"/>
    <cellStyle name="Normal 4 7 2 5" xfId="2124"/>
    <cellStyle name="Normal 4 7 2 5 2" xfId="4353"/>
    <cellStyle name="Normal 4 7 2 5 2 2" xfId="8565"/>
    <cellStyle name="Normal 4 7 2 5 3" xfId="6420"/>
    <cellStyle name="Normal 4 7 2 6" xfId="2560"/>
    <cellStyle name="Normal 4 7 2 6 2" xfId="6833"/>
    <cellStyle name="Normal 4 7 2 7" xfId="4768"/>
    <cellStyle name="Normal 4 7 3" xfId="878"/>
    <cellStyle name="Normal 4 7 3 2" xfId="3113"/>
    <cellStyle name="Normal 4 7 3 2 2" xfId="7325"/>
    <cellStyle name="Normal 4 7 3 3" xfId="5180"/>
    <cellStyle name="Normal 4 7 4" xfId="1296"/>
    <cellStyle name="Normal 4 7 4 2" xfId="3526"/>
    <cellStyle name="Normal 4 7 4 2 2" xfId="7738"/>
    <cellStyle name="Normal 4 7 4 3" xfId="5593"/>
    <cellStyle name="Normal 4 7 5" xfId="1709"/>
    <cellStyle name="Normal 4 7 5 2" xfId="3939"/>
    <cellStyle name="Normal 4 7 5 2 2" xfId="8151"/>
    <cellStyle name="Normal 4 7 5 3" xfId="6006"/>
    <cellStyle name="Normal 4 7 6" xfId="2123"/>
    <cellStyle name="Normal 4 7 6 2" xfId="4352"/>
    <cellStyle name="Normal 4 7 6 2 2" xfId="8564"/>
    <cellStyle name="Normal 4 7 6 3" xfId="6419"/>
    <cellStyle name="Normal 4 7 7" xfId="2559"/>
    <cellStyle name="Normal 4 7 7 2" xfId="6832"/>
    <cellStyle name="Normal 4 7 8" xfId="4767"/>
    <cellStyle name="Normal 4 8" xfId="405"/>
    <cellStyle name="Normal 4 8 2" xfId="880"/>
    <cellStyle name="Normal 4 8 2 2" xfId="3115"/>
    <cellStyle name="Normal 4 8 2 2 2" xfId="7327"/>
    <cellStyle name="Normal 4 8 2 3" xfId="5182"/>
    <cellStyle name="Normal 4 8 3" xfId="1298"/>
    <cellStyle name="Normal 4 8 3 2" xfId="3528"/>
    <cellStyle name="Normal 4 8 3 2 2" xfId="7740"/>
    <cellStyle name="Normal 4 8 3 3" xfId="5595"/>
    <cellStyle name="Normal 4 8 4" xfId="1711"/>
    <cellStyle name="Normal 4 8 4 2" xfId="3941"/>
    <cellStyle name="Normal 4 8 4 2 2" xfId="8153"/>
    <cellStyle name="Normal 4 8 4 3" xfId="6008"/>
    <cellStyle name="Normal 4 8 5" xfId="2125"/>
    <cellStyle name="Normal 4 8 5 2" xfId="4354"/>
    <cellStyle name="Normal 4 8 5 2 2" xfId="8566"/>
    <cellStyle name="Normal 4 8 5 3" xfId="6421"/>
    <cellStyle name="Normal 4 8 6" xfId="2561"/>
    <cellStyle name="Normal 4 8 6 2" xfId="6834"/>
    <cellStyle name="Normal 4 8 7" xfId="4769"/>
    <cellStyle name="Normal 4 9" xfId="4706"/>
    <cellStyle name="Normal 5" xfId="406"/>
    <cellStyle name="Normal 5 10" xfId="1712"/>
    <cellStyle name="Normal 5 10 2" xfId="3942"/>
    <cellStyle name="Normal 5 10 2 2" xfId="8154"/>
    <cellStyle name="Normal 5 10 3" xfId="6009"/>
    <cellStyle name="Normal 5 11" xfId="2126"/>
    <cellStyle name="Normal 5 11 2" xfId="4355"/>
    <cellStyle name="Normal 5 11 2 2" xfId="8567"/>
    <cellStyle name="Normal 5 11 3" xfId="6422"/>
    <cellStyle name="Normal 5 12" xfId="2562"/>
    <cellStyle name="Normal 5 12 2" xfId="6835"/>
    <cellStyle name="Normal 5 13" xfId="4770"/>
    <cellStyle name="Normal 5 2" xfId="407"/>
    <cellStyle name="Normal 5 2 10" xfId="2127"/>
    <cellStyle name="Normal 5 2 10 2" xfId="4356"/>
    <cellStyle name="Normal 5 2 10 2 2" xfId="8568"/>
    <cellStyle name="Normal 5 2 10 3" xfId="6423"/>
    <cellStyle name="Normal 5 2 11" xfId="2563"/>
    <cellStyle name="Normal 5 2 11 2" xfId="6836"/>
    <cellStyle name="Normal 5 2 12" xfId="4771"/>
    <cellStyle name="Normal 5 2 2" xfId="408"/>
    <cellStyle name="Normal 5 2 2 10" xfId="2564"/>
    <cellStyle name="Normal 5 2 2 10 2" xfId="6837"/>
    <cellStyle name="Normal 5 2 2 11" xfId="4772"/>
    <cellStyle name="Normal 5 2 2 2" xfId="409"/>
    <cellStyle name="Normal 5 2 2 2 10" xfId="4773"/>
    <cellStyle name="Normal 5 2 2 2 2" xfId="410"/>
    <cellStyle name="Normal 5 2 2 2 2 2" xfId="411"/>
    <cellStyle name="Normal 5 2 2 2 2 2 2" xfId="412"/>
    <cellStyle name="Normal 5 2 2 2 2 2 2 2" xfId="887"/>
    <cellStyle name="Normal 5 2 2 2 2 2 2 2 2" xfId="3122"/>
    <cellStyle name="Normal 5 2 2 2 2 2 2 2 2 2" xfId="7334"/>
    <cellStyle name="Normal 5 2 2 2 2 2 2 2 3" xfId="5189"/>
    <cellStyle name="Normal 5 2 2 2 2 2 2 3" xfId="1305"/>
    <cellStyle name="Normal 5 2 2 2 2 2 2 3 2" xfId="3535"/>
    <cellStyle name="Normal 5 2 2 2 2 2 2 3 2 2" xfId="7747"/>
    <cellStyle name="Normal 5 2 2 2 2 2 2 3 3" xfId="5602"/>
    <cellStyle name="Normal 5 2 2 2 2 2 2 4" xfId="1718"/>
    <cellStyle name="Normal 5 2 2 2 2 2 2 4 2" xfId="3948"/>
    <cellStyle name="Normal 5 2 2 2 2 2 2 4 2 2" xfId="8160"/>
    <cellStyle name="Normal 5 2 2 2 2 2 2 4 3" xfId="6015"/>
    <cellStyle name="Normal 5 2 2 2 2 2 2 5" xfId="2132"/>
    <cellStyle name="Normal 5 2 2 2 2 2 2 5 2" xfId="4361"/>
    <cellStyle name="Normal 5 2 2 2 2 2 2 5 2 2" xfId="8573"/>
    <cellStyle name="Normal 5 2 2 2 2 2 2 5 3" xfId="6428"/>
    <cellStyle name="Normal 5 2 2 2 2 2 2 6" xfId="2568"/>
    <cellStyle name="Normal 5 2 2 2 2 2 2 6 2" xfId="6841"/>
    <cellStyle name="Normal 5 2 2 2 2 2 2 7" xfId="4776"/>
    <cellStyle name="Normal 5 2 2 2 2 2 3" xfId="886"/>
    <cellStyle name="Normal 5 2 2 2 2 2 3 2" xfId="3121"/>
    <cellStyle name="Normal 5 2 2 2 2 2 3 2 2" xfId="7333"/>
    <cellStyle name="Normal 5 2 2 2 2 2 3 3" xfId="5188"/>
    <cellStyle name="Normal 5 2 2 2 2 2 4" xfId="1304"/>
    <cellStyle name="Normal 5 2 2 2 2 2 4 2" xfId="3534"/>
    <cellStyle name="Normal 5 2 2 2 2 2 4 2 2" xfId="7746"/>
    <cellStyle name="Normal 5 2 2 2 2 2 4 3" xfId="5601"/>
    <cellStyle name="Normal 5 2 2 2 2 2 5" xfId="1717"/>
    <cellStyle name="Normal 5 2 2 2 2 2 5 2" xfId="3947"/>
    <cellStyle name="Normal 5 2 2 2 2 2 5 2 2" xfId="8159"/>
    <cellStyle name="Normal 5 2 2 2 2 2 5 3" xfId="6014"/>
    <cellStyle name="Normal 5 2 2 2 2 2 6" xfId="2131"/>
    <cellStyle name="Normal 5 2 2 2 2 2 6 2" xfId="4360"/>
    <cellStyle name="Normal 5 2 2 2 2 2 6 2 2" xfId="8572"/>
    <cellStyle name="Normal 5 2 2 2 2 2 6 3" xfId="6427"/>
    <cellStyle name="Normal 5 2 2 2 2 2 7" xfId="2567"/>
    <cellStyle name="Normal 5 2 2 2 2 2 7 2" xfId="6840"/>
    <cellStyle name="Normal 5 2 2 2 2 2 8" xfId="4775"/>
    <cellStyle name="Normal 5 2 2 2 2 3" xfId="413"/>
    <cellStyle name="Normal 5 2 2 2 2 3 2" xfId="888"/>
    <cellStyle name="Normal 5 2 2 2 2 3 2 2" xfId="3123"/>
    <cellStyle name="Normal 5 2 2 2 2 3 2 2 2" xfId="7335"/>
    <cellStyle name="Normal 5 2 2 2 2 3 2 3" xfId="5190"/>
    <cellStyle name="Normal 5 2 2 2 2 3 3" xfId="1306"/>
    <cellStyle name="Normal 5 2 2 2 2 3 3 2" xfId="3536"/>
    <cellStyle name="Normal 5 2 2 2 2 3 3 2 2" xfId="7748"/>
    <cellStyle name="Normal 5 2 2 2 2 3 3 3" xfId="5603"/>
    <cellStyle name="Normal 5 2 2 2 2 3 4" xfId="1719"/>
    <cellStyle name="Normal 5 2 2 2 2 3 4 2" xfId="3949"/>
    <cellStyle name="Normal 5 2 2 2 2 3 4 2 2" xfId="8161"/>
    <cellStyle name="Normal 5 2 2 2 2 3 4 3" xfId="6016"/>
    <cellStyle name="Normal 5 2 2 2 2 3 5" xfId="2133"/>
    <cellStyle name="Normal 5 2 2 2 2 3 5 2" xfId="4362"/>
    <cellStyle name="Normal 5 2 2 2 2 3 5 2 2" xfId="8574"/>
    <cellStyle name="Normal 5 2 2 2 2 3 5 3" xfId="6429"/>
    <cellStyle name="Normal 5 2 2 2 2 3 6" xfId="2569"/>
    <cellStyle name="Normal 5 2 2 2 2 3 6 2" xfId="6842"/>
    <cellStyle name="Normal 5 2 2 2 2 3 7" xfId="4777"/>
    <cellStyle name="Normal 5 2 2 2 2 4" xfId="885"/>
    <cellStyle name="Normal 5 2 2 2 2 4 2" xfId="3120"/>
    <cellStyle name="Normal 5 2 2 2 2 4 2 2" xfId="7332"/>
    <cellStyle name="Normal 5 2 2 2 2 4 3" xfId="5187"/>
    <cellStyle name="Normal 5 2 2 2 2 5" xfId="1303"/>
    <cellStyle name="Normal 5 2 2 2 2 5 2" xfId="3533"/>
    <cellStyle name="Normal 5 2 2 2 2 5 2 2" xfId="7745"/>
    <cellStyle name="Normal 5 2 2 2 2 5 3" xfId="5600"/>
    <cellStyle name="Normal 5 2 2 2 2 6" xfId="1716"/>
    <cellStyle name="Normal 5 2 2 2 2 6 2" xfId="3946"/>
    <cellStyle name="Normal 5 2 2 2 2 6 2 2" xfId="8158"/>
    <cellStyle name="Normal 5 2 2 2 2 6 3" xfId="6013"/>
    <cellStyle name="Normal 5 2 2 2 2 7" xfId="2130"/>
    <cellStyle name="Normal 5 2 2 2 2 7 2" xfId="4359"/>
    <cellStyle name="Normal 5 2 2 2 2 7 2 2" xfId="8571"/>
    <cellStyle name="Normal 5 2 2 2 2 7 3" xfId="6426"/>
    <cellStyle name="Normal 5 2 2 2 2 8" xfId="2566"/>
    <cellStyle name="Normal 5 2 2 2 2 8 2" xfId="6839"/>
    <cellStyle name="Normal 5 2 2 2 2 9" xfId="4774"/>
    <cellStyle name="Normal 5 2 2 2 3" xfId="414"/>
    <cellStyle name="Normal 5 2 2 2 3 2" xfId="415"/>
    <cellStyle name="Normal 5 2 2 2 3 2 2" xfId="890"/>
    <cellStyle name="Normal 5 2 2 2 3 2 2 2" xfId="3125"/>
    <cellStyle name="Normal 5 2 2 2 3 2 2 2 2" xfId="7337"/>
    <cellStyle name="Normal 5 2 2 2 3 2 2 3" xfId="5192"/>
    <cellStyle name="Normal 5 2 2 2 3 2 3" xfId="1308"/>
    <cellStyle name="Normal 5 2 2 2 3 2 3 2" xfId="3538"/>
    <cellStyle name="Normal 5 2 2 2 3 2 3 2 2" xfId="7750"/>
    <cellStyle name="Normal 5 2 2 2 3 2 3 3" xfId="5605"/>
    <cellStyle name="Normal 5 2 2 2 3 2 4" xfId="1721"/>
    <cellStyle name="Normal 5 2 2 2 3 2 4 2" xfId="3951"/>
    <cellStyle name="Normal 5 2 2 2 3 2 4 2 2" xfId="8163"/>
    <cellStyle name="Normal 5 2 2 2 3 2 4 3" xfId="6018"/>
    <cellStyle name="Normal 5 2 2 2 3 2 5" xfId="2135"/>
    <cellStyle name="Normal 5 2 2 2 3 2 5 2" xfId="4364"/>
    <cellStyle name="Normal 5 2 2 2 3 2 5 2 2" xfId="8576"/>
    <cellStyle name="Normal 5 2 2 2 3 2 5 3" xfId="6431"/>
    <cellStyle name="Normal 5 2 2 2 3 2 6" xfId="2571"/>
    <cellStyle name="Normal 5 2 2 2 3 2 6 2" xfId="6844"/>
    <cellStyle name="Normal 5 2 2 2 3 2 7" xfId="4779"/>
    <cellStyle name="Normal 5 2 2 2 3 3" xfId="889"/>
    <cellStyle name="Normal 5 2 2 2 3 3 2" xfId="3124"/>
    <cellStyle name="Normal 5 2 2 2 3 3 2 2" xfId="7336"/>
    <cellStyle name="Normal 5 2 2 2 3 3 3" xfId="5191"/>
    <cellStyle name="Normal 5 2 2 2 3 4" xfId="1307"/>
    <cellStyle name="Normal 5 2 2 2 3 4 2" xfId="3537"/>
    <cellStyle name="Normal 5 2 2 2 3 4 2 2" xfId="7749"/>
    <cellStyle name="Normal 5 2 2 2 3 4 3" xfId="5604"/>
    <cellStyle name="Normal 5 2 2 2 3 5" xfId="1720"/>
    <cellStyle name="Normal 5 2 2 2 3 5 2" xfId="3950"/>
    <cellStyle name="Normal 5 2 2 2 3 5 2 2" xfId="8162"/>
    <cellStyle name="Normal 5 2 2 2 3 5 3" xfId="6017"/>
    <cellStyle name="Normal 5 2 2 2 3 6" xfId="2134"/>
    <cellStyle name="Normal 5 2 2 2 3 6 2" xfId="4363"/>
    <cellStyle name="Normal 5 2 2 2 3 6 2 2" xfId="8575"/>
    <cellStyle name="Normal 5 2 2 2 3 6 3" xfId="6430"/>
    <cellStyle name="Normal 5 2 2 2 3 7" xfId="2570"/>
    <cellStyle name="Normal 5 2 2 2 3 7 2" xfId="6843"/>
    <cellStyle name="Normal 5 2 2 2 3 8" xfId="4778"/>
    <cellStyle name="Normal 5 2 2 2 4" xfId="416"/>
    <cellStyle name="Normal 5 2 2 2 4 2" xfId="891"/>
    <cellStyle name="Normal 5 2 2 2 4 2 2" xfId="3126"/>
    <cellStyle name="Normal 5 2 2 2 4 2 2 2" xfId="7338"/>
    <cellStyle name="Normal 5 2 2 2 4 2 3" xfId="5193"/>
    <cellStyle name="Normal 5 2 2 2 4 3" xfId="1309"/>
    <cellStyle name="Normal 5 2 2 2 4 3 2" xfId="3539"/>
    <cellStyle name="Normal 5 2 2 2 4 3 2 2" xfId="7751"/>
    <cellStyle name="Normal 5 2 2 2 4 3 3" xfId="5606"/>
    <cellStyle name="Normal 5 2 2 2 4 4" xfId="1722"/>
    <cellStyle name="Normal 5 2 2 2 4 4 2" xfId="3952"/>
    <cellStyle name="Normal 5 2 2 2 4 4 2 2" xfId="8164"/>
    <cellStyle name="Normal 5 2 2 2 4 4 3" xfId="6019"/>
    <cellStyle name="Normal 5 2 2 2 4 5" xfId="2136"/>
    <cellStyle name="Normal 5 2 2 2 4 5 2" xfId="4365"/>
    <cellStyle name="Normal 5 2 2 2 4 5 2 2" xfId="8577"/>
    <cellStyle name="Normal 5 2 2 2 4 5 3" xfId="6432"/>
    <cellStyle name="Normal 5 2 2 2 4 6" xfId="2572"/>
    <cellStyle name="Normal 5 2 2 2 4 6 2" xfId="6845"/>
    <cellStyle name="Normal 5 2 2 2 4 7" xfId="4780"/>
    <cellStyle name="Normal 5 2 2 2 5" xfId="884"/>
    <cellStyle name="Normal 5 2 2 2 5 2" xfId="3119"/>
    <cellStyle name="Normal 5 2 2 2 5 2 2" xfId="7331"/>
    <cellStyle name="Normal 5 2 2 2 5 3" xfId="5186"/>
    <cellStyle name="Normal 5 2 2 2 6" xfId="1302"/>
    <cellStyle name="Normal 5 2 2 2 6 2" xfId="3532"/>
    <cellStyle name="Normal 5 2 2 2 6 2 2" xfId="7744"/>
    <cellStyle name="Normal 5 2 2 2 6 3" xfId="5599"/>
    <cellStyle name="Normal 5 2 2 2 7" xfId="1715"/>
    <cellStyle name="Normal 5 2 2 2 7 2" xfId="3945"/>
    <cellStyle name="Normal 5 2 2 2 7 2 2" xfId="8157"/>
    <cellStyle name="Normal 5 2 2 2 7 3" xfId="6012"/>
    <cellStyle name="Normal 5 2 2 2 8" xfId="2129"/>
    <cellStyle name="Normal 5 2 2 2 8 2" xfId="4358"/>
    <cellStyle name="Normal 5 2 2 2 8 2 2" xfId="8570"/>
    <cellStyle name="Normal 5 2 2 2 8 3" xfId="6425"/>
    <cellStyle name="Normal 5 2 2 2 9" xfId="2565"/>
    <cellStyle name="Normal 5 2 2 2 9 2" xfId="6838"/>
    <cellStyle name="Normal 5 2 2 3" xfId="417"/>
    <cellStyle name="Normal 5 2 2 3 2" xfId="418"/>
    <cellStyle name="Normal 5 2 2 3 2 2" xfId="419"/>
    <cellStyle name="Normal 5 2 2 3 2 2 2" xfId="894"/>
    <cellStyle name="Normal 5 2 2 3 2 2 2 2" xfId="3129"/>
    <cellStyle name="Normal 5 2 2 3 2 2 2 2 2" xfId="7341"/>
    <cellStyle name="Normal 5 2 2 3 2 2 2 3" xfId="5196"/>
    <cellStyle name="Normal 5 2 2 3 2 2 3" xfId="1312"/>
    <cellStyle name="Normal 5 2 2 3 2 2 3 2" xfId="3542"/>
    <cellStyle name="Normal 5 2 2 3 2 2 3 2 2" xfId="7754"/>
    <cellStyle name="Normal 5 2 2 3 2 2 3 3" xfId="5609"/>
    <cellStyle name="Normal 5 2 2 3 2 2 4" xfId="1725"/>
    <cellStyle name="Normal 5 2 2 3 2 2 4 2" xfId="3955"/>
    <cellStyle name="Normal 5 2 2 3 2 2 4 2 2" xfId="8167"/>
    <cellStyle name="Normal 5 2 2 3 2 2 4 3" xfId="6022"/>
    <cellStyle name="Normal 5 2 2 3 2 2 5" xfId="2139"/>
    <cellStyle name="Normal 5 2 2 3 2 2 5 2" xfId="4368"/>
    <cellStyle name="Normal 5 2 2 3 2 2 5 2 2" xfId="8580"/>
    <cellStyle name="Normal 5 2 2 3 2 2 5 3" xfId="6435"/>
    <cellStyle name="Normal 5 2 2 3 2 2 6" xfId="2575"/>
    <cellStyle name="Normal 5 2 2 3 2 2 6 2" xfId="6848"/>
    <cellStyle name="Normal 5 2 2 3 2 2 7" xfId="4783"/>
    <cellStyle name="Normal 5 2 2 3 2 3" xfId="893"/>
    <cellStyle name="Normal 5 2 2 3 2 3 2" xfId="3128"/>
    <cellStyle name="Normal 5 2 2 3 2 3 2 2" xfId="7340"/>
    <cellStyle name="Normal 5 2 2 3 2 3 3" xfId="5195"/>
    <cellStyle name="Normal 5 2 2 3 2 4" xfId="1311"/>
    <cellStyle name="Normal 5 2 2 3 2 4 2" xfId="3541"/>
    <cellStyle name="Normal 5 2 2 3 2 4 2 2" xfId="7753"/>
    <cellStyle name="Normal 5 2 2 3 2 4 3" xfId="5608"/>
    <cellStyle name="Normal 5 2 2 3 2 5" xfId="1724"/>
    <cellStyle name="Normal 5 2 2 3 2 5 2" xfId="3954"/>
    <cellStyle name="Normal 5 2 2 3 2 5 2 2" xfId="8166"/>
    <cellStyle name="Normal 5 2 2 3 2 5 3" xfId="6021"/>
    <cellStyle name="Normal 5 2 2 3 2 6" xfId="2138"/>
    <cellStyle name="Normal 5 2 2 3 2 6 2" xfId="4367"/>
    <cellStyle name="Normal 5 2 2 3 2 6 2 2" xfId="8579"/>
    <cellStyle name="Normal 5 2 2 3 2 6 3" xfId="6434"/>
    <cellStyle name="Normal 5 2 2 3 2 7" xfId="2574"/>
    <cellStyle name="Normal 5 2 2 3 2 7 2" xfId="6847"/>
    <cellStyle name="Normal 5 2 2 3 2 8" xfId="4782"/>
    <cellStyle name="Normal 5 2 2 3 3" xfId="420"/>
    <cellStyle name="Normal 5 2 2 3 3 2" xfId="895"/>
    <cellStyle name="Normal 5 2 2 3 3 2 2" xfId="3130"/>
    <cellStyle name="Normal 5 2 2 3 3 2 2 2" xfId="7342"/>
    <cellStyle name="Normal 5 2 2 3 3 2 3" xfId="5197"/>
    <cellStyle name="Normal 5 2 2 3 3 3" xfId="1313"/>
    <cellStyle name="Normal 5 2 2 3 3 3 2" xfId="3543"/>
    <cellStyle name="Normal 5 2 2 3 3 3 2 2" xfId="7755"/>
    <cellStyle name="Normal 5 2 2 3 3 3 3" xfId="5610"/>
    <cellStyle name="Normal 5 2 2 3 3 4" xfId="1726"/>
    <cellStyle name="Normal 5 2 2 3 3 4 2" xfId="3956"/>
    <cellStyle name="Normal 5 2 2 3 3 4 2 2" xfId="8168"/>
    <cellStyle name="Normal 5 2 2 3 3 4 3" xfId="6023"/>
    <cellStyle name="Normal 5 2 2 3 3 5" xfId="2140"/>
    <cellStyle name="Normal 5 2 2 3 3 5 2" xfId="4369"/>
    <cellStyle name="Normal 5 2 2 3 3 5 2 2" xfId="8581"/>
    <cellStyle name="Normal 5 2 2 3 3 5 3" xfId="6436"/>
    <cellStyle name="Normal 5 2 2 3 3 6" xfId="2576"/>
    <cellStyle name="Normal 5 2 2 3 3 6 2" xfId="6849"/>
    <cellStyle name="Normal 5 2 2 3 3 7" xfId="4784"/>
    <cellStyle name="Normal 5 2 2 3 4" xfId="892"/>
    <cellStyle name="Normal 5 2 2 3 4 2" xfId="3127"/>
    <cellStyle name="Normal 5 2 2 3 4 2 2" xfId="7339"/>
    <cellStyle name="Normal 5 2 2 3 4 3" xfId="5194"/>
    <cellStyle name="Normal 5 2 2 3 5" xfId="1310"/>
    <cellStyle name="Normal 5 2 2 3 5 2" xfId="3540"/>
    <cellStyle name="Normal 5 2 2 3 5 2 2" xfId="7752"/>
    <cellStyle name="Normal 5 2 2 3 5 3" xfId="5607"/>
    <cellStyle name="Normal 5 2 2 3 6" xfId="1723"/>
    <cellStyle name="Normal 5 2 2 3 6 2" xfId="3953"/>
    <cellStyle name="Normal 5 2 2 3 6 2 2" xfId="8165"/>
    <cellStyle name="Normal 5 2 2 3 6 3" xfId="6020"/>
    <cellStyle name="Normal 5 2 2 3 7" xfId="2137"/>
    <cellStyle name="Normal 5 2 2 3 7 2" xfId="4366"/>
    <cellStyle name="Normal 5 2 2 3 7 2 2" xfId="8578"/>
    <cellStyle name="Normal 5 2 2 3 7 3" xfId="6433"/>
    <cellStyle name="Normal 5 2 2 3 8" xfId="2573"/>
    <cellStyle name="Normal 5 2 2 3 8 2" xfId="6846"/>
    <cellStyle name="Normal 5 2 2 3 9" xfId="4781"/>
    <cellStyle name="Normal 5 2 2 4" xfId="421"/>
    <cellStyle name="Normal 5 2 2 4 2" xfId="422"/>
    <cellStyle name="Normal 5 2 2 4 2 2" xfId="897"/>
    <cellStyle name="Normal 5 2 2 4 2 2 2" xfId="3132"/>
    <cellStyle name="Normal 5 2 2 4 2 2 2 2" xfId="7344"/>
    <cellStyle name="Normal 5 2 2 4 2 2 3" xfId="5199"/>
    <cellStyle name="Normal 5 2 2 4 2 3" xfId="1315"/>
    <cellStyle name="Normal 5 2 2 4 2 3 2" xfId="3545"/>
    <cellStyle name="Normal 5 2 2 4 2 3 2 2" xfId="7757"/>
    <cellStyle name="Normal 5 2 2 4 2 3 3" xfId="5612"/>
    <cellStyle name="Normal 5 2 2 4 2 4" xfId="1728"/>
    <cellStyle name="Normal 5 2 2 4 2 4 2" xfId="3958"/>
    <cellStyle name="Normal 5 2 2 4 2 4 2 2" xfId="8170"/>
    <cellStyle name="Normal 5 2 2 4 2 4 3" xfId="6025"/>
    <cellStyle name="Normal 5 2 2 4 2 5" xfId="2142"/>
    <cellStyle name="Normal 5 2 2 4 2 5 2" xfId="4371"/>
    <cellStyle name="Normal 5 2 2 4 2 5 2 2" xfId="8583"/>
    <cellStyle name="Normal 5 2 2 4 2 5 3" xfId="6438"/>
    <cellStyle name="Normal 5 2 2 4 2 6" xfId="2578"/>
    <cellStyle name="Normal 5 2 2 4 2 6 2" xfId="6851"/>
    <cellStyle name="Normal 5 2 2 4 2 7" xfId="4786"/>
    <cellStyle name="Normal 5 2 2 4 3" xfId="896"/>
    <cellStyle name="Normal 5 2 2 4 3 2" xfId="3131"/>
    <cellStyle name="Normal 5 2 2 4 3 2 2" xfId="7343"/>
    <cellStyle name="Normal 5 2 2 4 3 3" xfId="5198"/>
    <cellStyle name="Normal 5 2 2 4 4" xfId="1314"/>
    <cellStyle name="Normal 5 2 2 4 4 2" xfId="3544"/>
    <cellStyle name="Normal 5 2 2 4 4 2 2" xfId="7756"/>
    <cellStyle name="Normal 5 2 2 4 4 3" xfId="5611"/>
    <cellStyle name="Normal 5 2 2 4 5" xfId="1727"/>
    <cellStyle name="Normal 5 2 2 4 5 2" xfId="3957"/>
    <cellStyle name="Normal 5 2 2 4 5 2 2" xfId="8169"/>
    <cellStyle name="Normal 5 2 2 4 5 3" xfId="6024"/>
    <cellStyle name="Normal 5 2 2 4 6" xfId="2141"/>
    <cellStyle name="Normal 5 2 2 4 6 2" xfId="4370"/>
    <cellStyle name="Normal 5 2 2 4 6 2 2" xfId="8582"/>
    <cellStyle name="Normal 5 2 2 4 6 3" xfId="6437"/>
    <cellStyle name="Normal 5 2 2 4 7" xfId="2577"/>
    <cellStyle name="Normal 5 2 2 4 7 2" xfId="6850"/>
    <cellStyle name="Normal 5 2 2 4 8" xfId="4785"/>
    <cellStyle name="Normal 5 2 2 5" xfId="423"/>
    <cellStyle name="Normal 5 2 2 5 2" xfId="898"/>
    <cellStyle name="Normal 5 2 2 5 2 2" xfId="3133"/>
    <cellStyle name="Normal 5 2 2 5 2 2 2" xfId="7345"/>
    <cellStyle name="Normal 5 2 2 5 2 3" xfId="5200"/>
    <cellStyle name="Normal 5 2 2 5 3" xfId="1316"/>
    <cellStyle name="Normal 5 2 2 5 3 2" xfId="3546"/>
    <cellStyle name="Normal 5 2 2 5 3 2 2" xfId="7758"/>
    <cellStyle name="Normal 5 2 2 5 3 3" xfId="5613"/>
    <cellStyle name="Normal 5 2 2 5 4" xfId="1729"/>
    <cellStyle name="Normal 5 2 2 5 4 2" xfId="3959"/>
    <cellStyle name="Normal 5 2 2 5 4 2 2" xfId="8171"/>
    <cellStyle name="Normal 5 2 2 5 4 3" xfId="6026"/>
    <cellStyle name="Normal 5 2 2 5 5" xfId="2143"/>
    <cellStyle name="Normal 5 2 2 5 5 2" xfId="4372"/>
    <cellStyle name="Normal 5 2 2 5 5 2 2" xfId="8584"/>
    <cellStyle name="Normal 5 2 2 5 5 3" xfId="6439"/>
    <cellStyle name="Normal 5 2 2 5 6" xfId="2579"/>
    <cellStyle name="Normal 5 2 2 5 6 2" xfId="6852"/>
    <cellStyle name="Normal 5 2 2 5 7" xfId="4787"/>
    <cellStyle name="Normal 5 2 2 6" xfId="883"/>
    <cellStyle name="Normal 5 2 2 6 2" xfId="3118"/>
    <cellStyle name="Normal 5 2 2 6 2 2" xfId="7330"/>
    <cellStyle name="Normal 5 2 2 6 3" xfId="5185"/>
    <cellStyle name="Normal 5 2 2 7" xfId="1301"/>
    <cellStyle name="Normal 5 2 2 7 2" xfId="3531"/>
    <cellStyle name="Normal 5 2 2 7 2 2" xfId="7743"/>
    <cellStyle name="Normal 5 2 2 7 3" xfId="5598"/>
    <cellStyle name="Normal 5 2 2 8" xfId="1714"/>
    <cellStyle name="Normal 5 2 2 8 2" xfId="3944"/>
    <cellStyle name="Normal 5 2 2 8 2 2" xfId="8156"/>
    <cellStyle name="Normal 5 2 2 8 3" xfId="6011"/>
    <cellStyle name="Normal 5 2 2 9" xfId="2128"/>
    <cellStyle name="Normal 5 2 2 9 2" xfId="4357"/>
    <cellStyle name="Normal 5 2 2 9 2 2" xfId="8569"/>
    <cellStyle name="Normal 5 2 2 9 3" xfId="6424"/>
    <cellStyle name="Normal 5 2 3" xfId="424"/>
    <cellStyle name="Normal 5 2 3 10" xfId="4788"/>
    <cellStyle name="Normal 5 2 3 2" xfId="425"/>
    <cellStyle name="Normal 5 2 3 2 2" xfId="426"/>
    <cellStyle name="Normal 5 2 3 2 2 2" xfId="427"/>
    <cellStyle name="Normal 5 2 3 2 2 2 2" xfId="902"/>
    <cellStyle name="Normal 5 2 3 2 2 2 2 2" xfId="3137"/>
    <cellStyle name="Normal 5 2 3 2 2 2 2 2 2" xfId="7349"/>
    <cellStyle name="Normal 5 2 3 2 2 2 2 3" xfId="5204"/>
    <cellStyle name="Normal 5 2 3 2 2 2 3" xfId="1320"/>
    <cellStyle name="Normal 5 2 3 2 2 2 3 2" xfId="3550"/>
    <cellStyle name="Normal 5 2 3 2 2 2 3 2 2" xfId="7762"/>
    <cellStyle name="Normal 5 2 3 2 2 2 3 3" xfId="5617"/>
    <cellStyle name="Normal 5 2 3 2 2 2 4" xfId="1733"/>
    <cellStyle name="Normal 5 2 3 2 2 2 4 2" xfId="3963"/>
    <cellStyle name="Normal 5 2 3 2 2 2 4 2 2" xfId="8175"/>
    <cellStyle name="Normal 5 2 3 2 2 2 4 3" xfId="6030"/>
    <cellStyle name="Normal 5 2 3 2 2 2 5" xfId="2147"/>
    <cellStyle name="Normal 5 2 3 2 2 2 5 2" xfId="4376"/>
    <cellStyle name="Normal 5 2 3 2 2 2 5 2 2" xfId="8588"/>
    <cellStyle name="Normal 5 2 3 2 2 2 5 3" xfId="6443"/>
    <cellStyle name="Normal 5 2 3 2 2 2 6" xfId="2583"/>
    <cellStyle name="Normal 5 2 3 2 2 2 6 2" xfId="6856"/>
    <cellStyle name="Normal 5 2 3 2 2 2 7" xfId="4791"/>
    <cellStyle name="Normal 5 2 3 2 2 3" xfId="901"/>
    <cellStyle name="Normal 5 2 3 2 2 3 2" xfId="3136"/>
    <cellStyle name="Normal 5 2 3 2 2 3 2 2" xfId="7348"/>
    <cellStyle name="Normal 5 2 3 2 2 3 3" xfId="5203"/>
    <cellStyle name="Normal 5 2 3 2 2 4" xfId="1319"/>
    <cellStyle name="Normal 5 2 3 2 2 4 2" xfId="3549"/>
    <cellStyle name="Normal 5 2 3 2 2 4 2 2" xfId="7761"/>
    <cellStyle name="Normal 5 2 3 2 2 4 3" xfId="5616"/>
    <cellStyle name="Normal 5 2 3 2 2 5" xfId="1732"/>
    <cellStyle name="Normal 5 2 3 2 2 5 2" xfId="3962"/>
    <cellStyle name="Normal 5 2 3 2 2 5 2 2" xfId="8174"/>
    <cellStyle name="Normal 5 2 3 2 2 5 3" xfId="6029"/>
    <cellStyle name="Normal 5 2 3 2 2 6" xfId="2146"/>
    <cellStyle name="Normal 5 2 3 2 2 6 2" xfId="4375"/>
    <cellStyle name="Normal 5 2 3 2 2 6 2 2" xfId="8587"/>
    <cellStyle name="Normal 5 2 3 2 2 6 3" xfId="6442"/>
    <cellStyle name="Normal 5 2 3 2 2 7" xfId="2582"/>
    <cellStyle name="Normal 5 2 3 2 2 7 2" xfId="6855"/>
    <cellStyle name="Normal 5 2 3 2 2 8" xfId="4790"/>
    <cellStyle name="Normal 5 2 3 2 3" xfId="428"/>
    <cellStyle name="Normal 5 2 3 2 3 2" xfId="903"/>
    <cellStyle name="Normal 5 2 3 2 3 2 2" xfId="3138"/>
    <cellStyle name="Normal 5 2 3 2 3 2 2 2" xfId="7350"/>
    <cellStyle name="Normal 5 2 3 2 3 2 3" xfId="5205"/>
    <cellStyle name="Normal 5 2 3 2 3 3" xfId="1321"/>
    <cellStyle name="Normal 5 2 3 2 3 3 2" xfId="3551"/>
    <cellStyle name="Normal 5 2 3 2 3 3 2 2" xfId="7763"/>
    <cellStyle name="Normal 5 2 3 2 3 3 3" xfId="5618"/>
    <cellStyle name="Normal 5 2 3 2 3 4" xfId="1734"/>
    <cellStyle name="Normal 5 2 3 2 3 4 2" xfId="3964"/>
    <cellStyle name="Normal 5 2 3 2 3 4 2 2" xfId="8176"/>
    <cellStyle name="Normal 5 2 3 2 3 4 3" xfId="6031"/>
    <cellStyle name="Normal 5 2 3 2 3 5" xfId="2148"/>
    <cellStyle name="Normal 5 2 3 2 3 5 2" xfId="4377"/>
    <cellStyle name="Normal 5 2 3 2 3 5 2 2" xfId="8589"/>
    <cellStyle name="Normal 5 2 3 2 3 5 3" xfId="6444"/>
    <cellStyle name="Normal 5 2 3 2 3 6" xfId="2584"/>
    <cellStyle name="Normal 5 2 3 2 3 6 2" xfId="6857"/>
    <cellStyle name="Normal 5 2 3 2 3 7" xfId="4792"/>
    <cellStyle name="Normal 5 2 3 2 4" xfId="900"/>
    <cellStyle name="Normal 5 2 3 2 4 2" xfId="3135"/>
    <cellStyle name="Normal 5 2 3 2 4 2 2" xfId="7347"/>
    <cellStyle name="Normal 5 2 3 2 4 3" xfId="5202"/>
    <cellStyle name="Normal 5 2 3 2 5" xfId="1318"/>
    <cellStyle name="Normal 5 2 3 2 5 2" xfId="3548"/>
    <cellStyle name="Normal 5 2 3 2 5 2 2" xfId="7760"/>
    <cellStyle name="Normal 5 2 3 2 5 3" xfId="5615"/>
    <cellStyle name="Normal 5 2 3 2 6" xfId="1731"/>
    <cellStyle name="Normal 5 2 3 2 6 2" xfId="3961"/>
    <cellStyle name="Normal 5 2 3 2 6 2 2" xfId="8173"/>
    <cellStyle name="Normal 5 2 3 2 6 3" xfId="6028"/>
    <cellStyle name="Normal 5 2 3 2 7" xfId="2145"/>
    <cellStyle name="Normal 5 2 3 2 7 2" xfId="4374"/>
    <cellStyle name="Normal 5 2 3 2 7 2 2" xfId="8586"/>
    <cellStyle name="Normal 5 2 3 2 7 3" xfId="6441"/>
    <cellStyle name="Normal 5 2 3 2 8" xfId="2581"/>
    <cellStyle name="Normal 5 2 3 2 8 2" xfId="6854"/>
    <cellStyle name="Normal 5 2 3 2 9" xfId="4789"/>
    <cellStyle name="Normal 5 2 3 3" xfId="429"/>
    <cellStyle name="Normal 5 2 3 3 2" xfId="430"/>
    <cellStyle name="Normal 5 2 3 3 2 2" xfId="905"/>
    <cellStyle name="Normal 5 2 3 3 2 2 2" xfId="3140"/>
    <cellStyle name="Normal 5 2 3 3 2 2 2 2" xfId="7352"/>
    <cellStyle name="Normal 5 2 3 3 2 2 3" xfId="5207"/>
    <cellStyle name="Normal 5 2 3 3 2 3" xfId="1323"/>
    <cellStyle name="Normal 5 2 3 3 2 3 2" xfId="3553"/>
    <cellStyle name="Normal 5 2 3 3 2 3 2 2" xfId="7765"/>
    <cellStyle name="Normal 5 2 3 3 2 3 3" xfId="5620"/>
    <cellStyle name="Normal 5 2 3 3 2 4" xfId="1736"/>
    <cellStyle name="Normal 5 2 3 3 2 4 2" xfId="3966"/>
    <cellStyle name="Normal 5 2 3 3 2 4 2 2" xfId="8178"/>
    <cellStyle name="Normal 5 2 3 3 2 4 3" xfId="6033"/>
    <cellStyle name="Normal 5 2 3 3 2 5" xfId="2150"/>
    <cellStyle name="Normal 5 2 3 3 2 5 2" xfId="4379"/>
    <cellStyle name="Normal 5 2 3 3 2 5 2 2" xfId="8591"/>
    <cellStyle name="Normal 5 2 3 3 2 5 3" xfId="6446"/>
    <cellStyle name="Normal 5 2 3 3 2 6" xfId="2586"/>
    <cellStyle name="Normal 5 2 3 3 2 6 2" xfId="6859"/>
    <cellStyle name="Normal 5 2 3 3 2 7" xfId="4794"/>
    <cellStyle name="Normal 5 2 3 3 3" xfId="904"/>
    <cellStyle name="Normal 5 2 3 3 3 2" xfId="3139"/>
    <cellStyle name="Normal 5 2 3 3 3 2 2" xfId="7351"/>
    <cellStyle name="Normal 5 2 3 3 3 3" xfId="5206"/>
    <cellStyle name="Normal 5 2 3 3 4" xfId="1322"/>
    <cellStyle name="Normal 5 2 3 3 4 2" xfId="3552"/>
    <cellStyle name="Normal 5 2 3 3 4 2 2" xfId="7764"/>
    <cellStyle name="Normal 5 2 3 3 4 3" xfId="5619"/>
    <cellStyle name="Normal 5 2 3 3 5" xfId="1735"/>
    <cellStyle name="Normal 5 2 3 3 5 2" xfId="3965"/>
    <cellStyle name="Normal 5 2 3 3 5 2 2" xfId="8177"/>
    <cellStyle name="Normal 5 2 3 3 5 3" xfId="6032"/>
    <cellStyle name="Normal 5 2 3 3 6" xfId="2149"/>
    <cellStyle name="Normal 5 2 3 3 6 2" xfId="4378"/>
    <cellStyle name="Normal 5 2 3 3 6 2 2" xfId="8590"/>
    <cellStyle name="Normal 5 2 3 3 6 3" xfId="6445"/>
    <cellStyle name="Normal 5 2 3 3 7" xfId="2585"/>
    <cellStyle name="Normal 5 2 3 3 7 2" xfId="6858"/>
    <cellStyle name="Normal 5 2 3 3 8" xfId="4793"/>
    <cellStyle name="Normal 5 2 3 4" xfId="431"/>
    <cellStyle name="Normal 5 2 3 4 2" xfId="906"/>
    <cellStyle name="Normal 5 2 3 4 2 2" xfId="3141"/>
    <cellStyle name="Normal 5 2 3 4 2 2 2" xfId="7353"/>
    <cellStyle name="Normal 5 2 3 4 2 3" xfId="5208"/>
    <cellStyle name="Normal 5 2 3 4 3" xfId="1324"/>
    <cellStyle name="Normal 5 2 3 4 3 2" xfId="3554"/>
    <cellStyle name="Normal 5 2 3 4 3 2 2" xfId="7766"/>
    <cellStyle name="Normal 5 2 3 4 3 3" xfId="5621"/>
    <cellStyle name="Normal 5 2 3 4 4" xfId="1737"/>
    <cellStyle name="Normal 5 2 3 4 4 2" xfId="3967"/>
    <cellStyle name="Normal 5 2 3 4 4 2 2" xfId="8179"/>
    <cellStyle name="Normal 5 2 3 4 4 3" xfId="6034"/>
    <cellStyle name="Normal 5 2 3 4 5" xfId="2151"/>
    <cellStyle name="Normal 5 2 3 4 5 2" xfId="4380"/>
    <cellStyle name="Normal 5 2 3 4 5 2 2" xfId="8592"/>
    <cellStyle name="Normal 5 2 3 4 5 3" xfId="6447"/>
    <cellStyle name="Normal 5 2 3 4 6" xfId="2587"/>
    <cellStyle name="Normal 5 2 3 4 6 2" xfId="6860"/>
    <cellStyle name="Normal 5 2 3 4 7" xfId="4795"/>
    <cellStyle name="Normal 5 2 3 5" xfId="899"/>
    <cellStyle name="Normal 5 2 3 5 2" xfId="3134"/>
    <cellStyle name="Normal 5 2 3 5 2 2" xfId="7346"/>
    <cellStyle name="Normal 5 2 3 5 3" xfId="5201"/>
    <cellStyle name="Normal 5 2 3 6" xfId="1317"/>
    <cellStyle name="Normal 5 2 3 6 2" xfId="3547"/>
    <cellStyle name="Normal 5 2 3 6 2 2" xfId="7759"/>
    <cellStyle name="Normal 5 2 3 6 3" xfId="5614"/>
    <cellStyle name="Normal 5 2 3 7" xfId="1730"/>
    <cellStyle name="Normal 5 2 3 7 2" xfId="3960"/>
    <cellStyle name="Normal 5 2 3 7 2 2" xfId="8172"/>
    <cellStyle name="Normal 5 2 3 7 3" xfId="6027"/>
    <cellStyle name="Normal 5 2 3 8" xfId="2144"/>
    <cellStyle name="Normal 5 2 3 8 2" xfId="4373"/>
    <cellStyle name="Normal 5 2 3 8 2 2" xfId="8585"/>
    <cellStyle name="Normal 5 2 3 8 3" xfId="6440"/>
    <cellStyle name="Normal 5 2 3 9" xfId="2580"/>
    <cellStyle name="Normal 5 2 3 9 2" xfId="6853"/>
    <cellStyle name="Normal 5 2 4" xfId="432"/>
    <cellStyle name="Normal 5 2 4 2" xfId="433"/>
    <cellStyle name="Normal 5 2 4 2 2" xfId="434"/>
    <cellStyle name="Normal 5 2 4 2 2 2" xfId="909"/>
    <cellStyle name="Normal 5 2 4 2 2 2 2" xfId="3144"/>
    <cellStyle name="Normal 5 2 4 2 2 2 2 2" xfId="7356"/>
    <cellStyle name="Normal 5 2 4 2 2 2 3" xfId="5211"/>
    <cellStyle name="Normal 5 2 4 2 2 3" xfId="1327"/>
    <cellStyle name="Normal 5 2 4 2 2 3 2" xfId="3557"/>
    <cellStyle name="Normal 5 2 4 2 2 3 2 2" xfId="7769"/>
    <cellStyle name="Normal 5 2 4 2 2 3 3" xfId="5624"/>
    <cellStyle name="Normal 5 2 4 2 2 4" xfId="1740"/>
    <cellStyle name="Normal 5 2 4 2 2 4 2" xfId="3970"/>
    <cellStyle name="Normal 5 2 4 2 2 4 2 2" xfId="8182"/>
    <cellStyle name="Normal 5 2 4 2 2 4 3" xfId="6037"/>
    <cellStyle name="Normal 5 2 4 2 2 5" xfId="2154"/>
    <cellStyle name="Normal 5 2 4 2 2 5 2" xfId="4383"/>
    <cellStyle name="Normal 5 2 4 2 2 5 2 2" xfId="8595"/>
    <cellStyle name="Normal 5 2 4 2 2 5 3" xfId="6450"/>
    <cellStyle name="Normal 5 2 4 2 2 6" xfId="2590"/>
    <cellStyle name="Normal 5 2 4 2 2 6 2" xfId="6863"/>
    <cellStyle name="Normal 5 2 4 2 2 7" xfId="4798"/>
    <cellStyle name="Normal 5 2 4 2 3" xfId="908"/>
    <cellStyle name="Normal 5 2 4 2 3 2" xfId="3143"/>
    <cellStyle name="Normal 5 2 4 2 3 2 2" xfId="7355"/>
    <cellStyle name="Normal 5 2 4 2 3 3" xfId="5210"/>
    <cellStyle name="Normal 5 2 4 2 4" xfId="1326"/>
    <cellStyle name="Normal 5 2 4 2 4 2" xfId="3556"/>
    <cellStyle name="Normal 5 2 4 2 4 2 2" xfId="7768"/>
    <cellStyle name="Normal 5 2 4 2 4 3" xfId="5623"/>
    <cellStyle name="Normal 5 2 4 2 5" xfId="1739"/>
    <cellStyle name="Normal 5 2 4 2 5 2" xfId="3969"/>
    <cellStyle name="Normal 5 2 4 2 5 2 2" xfId="8181"/>
    <cellStyle name="Normal 5 2 4 2 5 3" xfId="6036"/>
    <cellStyle name="Normal 5 2 4 2 6" xfId="2153"/>
    <cellStyle name="Normal 5 2 4 2 6 2" xfId="4382"/>
    <cellStyle name="Normal 5 2 4 2 6 2 2" xfId="8594"/>
    <cellStyle name="Normal 5 2 4 2 6 3" xfId="6449"/>
    <cellStyle name="Normal 5 2 4 2 7" xfId="2589"/>
    <cellStyle name="Normal 5 2 4 2 7 2" xfId="6862"/>
    <cellStyle name="Normal 5 2 4 2 8" xfId="4797"/>
    <cellStyle name="Normal 5 2 4 3" xfId="435"/>
    <cellStyle name="Normal 5 2 4 3 2" xfId="910"/>
    <cellStyle name="Normal 5 2 4 3 2 2" xfId="3145"/>
    <cellStyle name="Normal 5 2 4 3 2 2 2" xfId="7357"/>
    <cellStyle name="Normal 5 2 4 3 2 3" xfId="5212"/>
    <cellStyle name="Normal 5 2 4 3 3" xfId="1328"/>
    <cellStyle name="Normal 5 2 4 3 3 2" xfId="3558"/>
    <cellStyle name="Normal 5 2 4 3 3 2 2" xfId="7770"/>
    <cellStyle name="Normal 5 2 4 3 3 3" xfId="5625"/>
    <cellStyle name="Normal 5 2 4 3 4" xfId="1741"/>
    <cellStyle name="Normal 5 2 4 3 4 2" xfId="3971"/>
    <cellStyle name="Normal 5 2 4 3 4 2 2" xfId="8183"/>
    <cellStyle name="Normal 5 2 4 3 4 3" xfId="6038"/>
    <cellStyle name="Normal 5 2 4 3 5" xfId="2155"/>
    <cellStyle name="Normal 5 2 4 3 5 2" xfId="4384"/>
    <cellStyle name="Normal 5 2 4 3 5 2 2" xfId="8596"/>
    <cellStyle name="Normal 5 2 4 3 5 3" xfId="6451"/>
    <cellStyle name="Normal 5 2 4 3 6" xfId="2591"/>
    <cellStyle name="Normal 5 2 4 3 6 2" xfId="6864"/>
    <cellStyle name="Normal 5 2 4 3 7" xfId="4799"/>
    <cellStyle name="Normal 5 2 4 4" xfId="907"/>
    <cellStyle name="Normal 5 2 4 4 2" xfId="3142"/>
    <cellStyle name="Normal 5 2 4 4 2 2" xfId="7354"/>
    <cellStyle name="Normal 5 2 4 4 3" xfId="5209"/>
    <cellStyle name="Normal 5 2 4 5" xfId="1325"/>
    <cellStyle name="Normal 5 2 4 5 2" xfId="3555"/>
    <cellStyle name="Normal 5 2 4 5 2 2" xfId="7767"/>
    <cellStyle name="Normal 5 2 4 5 3" xfId="5622"/>
    <cellStyle name="Normal 5 2 4 6" xfId="1738"/>
    <cellStyle name="Normal 5 2 4 6 2" xfId="3968"/>
    <cellStyle name="Normal 5 2 4 6 2 2" xfId="8180"/>
    <cellStyle name="Normal 5 2 4 6 3" xfId="6035"/>
    <cellStyle name="Normal 5 2 4 7" xfId="2152"/>
    <cellStyle name="Normal 5 2 4 7 2" xfId="4381"/>
    <cellStyle name="Normal 5 2 4 7 2 2" xfId="8593"/>
    <cellStyle name="Normal 5 2 4 7 3" xfId="6448"/>
    <cellStyle name="Normal 5 2 4 8" xfId="2588"/>
    <cellStyle name="Normal 5 2 4 8 2" xfId="6861"/>
    <cellStyle name="Normal 5 2 4 9" xfId="4796"/>
    <cellStyle name="Normal 5 2 5" xfId="436"/>
    <cellStyle name="Normal 5 2 5 2" xfId="437"/>
    <cellStyle name="Normal 5 2 5 2 2" xfId="912"/>
    <cellStyle name="Normal 5 2 5 2 2 2" xfId="3147"/>
    <cellStyle name="Normal 5 2 5 2 2 2 2" xfId="7359"/>
    <cellStyle name="Normal 5 2 5 2 2 3" xfId="5214"/>
    <cellStyle name="Normal 5 2 5 2 3" xfId="1330"/>
    <cellStyle name="Normal 5 2 5 2 3 2" xfId="3560"/>
    <cellStyle name="Normal 5 2 5 2 3 2 2" xfId="7772"/>
    <cellStyle name="Normal 5 2 5 2 3 3" xfId="5627"/>
    <cellStyle name="Normal 5 2 5 2 4" xfId="1743"/>
    <cellStyle name="Normal 5 2 5 2 4 2" xfId="3973"/>
    <cellStyle name="Normal 5 2 5 2 4 2 2" xfId="8185"/>
    <cellStyle name="Normal 5 2 5 2 4 3" xfId="6040"/>
    <cellStyle name="Normal 5 2 5 2 5" xfId="2157"/>
    <cellStyle name="Normal 5 2 5 2 5 2" xfId="4386"/>
    <cellStyle name="Normal 5 2 5 2 5 2 2" xfId="8598"/>
    <cellStyle name="Normal 5 2 5 2 5 3" xfId="6453"/>
    <cellStyle name="Normal 5 2 5 2 6" xfId="2593"/>
    <cellStyle name="Normal 5 2 5 2 6 2" xfId="6866"/>
    <cellStyle name="Normal 5 2 5 2 7" xfId="4801"/>
    <cellStyle name="Normal 5 2 5 3" xfId="911"/>
    <cellStyle name="Normal 5 2 5 3 2" xfId="3146"/>
    <cellStyle name="Normal 5 2 5 3 2 2" xfId="7358"/>
    <cellStyle name="Normal 5 2 5 3 3" xfId="5213"/>
    <cellStyle name="Normal 5 2 5 4" xfId="1329"/>
    <cellStyle name="Normal 5 2 5 4 2" xfId="3559"/>
    <cellStyle name="Normal 5 2 5 4 2 2" xfId="7771"/>
    <cellStyle name="Normal 5 2 5 4 3" xfId="5626"/>
    <cellStyle name="Normal 5 2 5 5" xfId="1742"/>
    <cellStyle name="Normal 5 2 5 5 2" xfId="3972"/>
    <cellStyle name="Normal 5 2 5 5 2 2" xfId="8184"/>
    <cellStyle name="Normal 5 2 5 5 3" xfId="6039"/>
    <cellStyle name="Normal 5 2 5 6" xfId="2156"/>
    <cellStyle name="Normal 5 2 5 6 2" xfId="4385"/>
    <cellStyle name="Normal 5 2 5 6 2 2" xfId="8597"/>
    <cellStyle name="Normal 5 2 5 6 3" xfId="6452"/>
    <cellStyle name="Normal 5 2 5 7" xfId="2592"/>
    <cellStyle name="Normal 5 2 5 7 2" xfId="6865"/>
    <cellStyle name="Normal 5 2 5 8" xfId="4800"/>
    <cellStyle name="Normal 5 2 6" xfId="438"/>
    <cellStyle name="Normal 5 2 6 2" xfId="913"/>
    <cellStyle name="Normal 5 2 6 2 2" xfId="3148"/>
    <cellStyle name="Normal 5 2 6 2 2 2" xfId="7360"/>
    <cellStyle name="Normal 5 2 6 2 3" xfId="5215"/>
    <cellStyle name="Normal 5 2 6 3" xfId="1331"/>
    <cellStyle name="Normal 5 2 6 3 2" xfId="3561"/>
    <cellStyle name="Normal 5 2 6 3 2 2" xfId="7773"/>
    <cellStyle name="Normal 5 2 6 3 3" xfId="5628"/>
    <cellStyle name="Normal 5 2 6 4" xfId="1744"/>
    <cellStyle name="Normal 5 2 6 4 2" xfId="3974"/>
    <cellStyle name="Normal 5 2 6 4 2 2" xfId="8186"/>
    <cellStyle name="Normal 5 2 6 4 3" xfId="6041"/>
    <cellStyle name="Normal 5 2 6 5" xfId="2158"/>
    <cellStyle name="Normal 5 2 6 5 2" xfId="4387"/>
    <cellStyle name="Normal 5 2 6 5 2 2" xfId="8599"/>
    <cellStyle name="Normal 5 2 6 5 3" xfId="6454"/>
    <cellStyle name="Normal 5 2 6 6" xfId="2594"/>
    <cellStyle name="Normal 5 2 6 6 2" xfId="6867"/>
    <cellStyle name="Normal 5 2 6 7" xfId="4802"/>
    <cellStyle name="Normal 5 2 7" xfId="882"/>
    <cellStyle name="Normal 5 2 7 2" xfId="3117"/>
    <cellStyle name="Normal 5 2 7 2 2" xfId="7329"/>
    <cellStyle name="Normal 5 2 7 3" xfId="5184"/>
    <cellStyle name="Normal 5 2 8" xfId="1300"/>
    <cellStyle name="Normal 5 2 8 2" xfId="3530"/>
    <cellStyle name="Normal 5 2 8 2 2" xfId="7742"/>
    <cellStyle name="Normal 5 2 8 3" xfId="5597"/>
    <cellStyle name="Normal 5 2 9" xfId="1713"/>
    <cellStyle name="Normal 5 2 9 2" xfId="3943"/>
    <cellStyle name="Normal 5 2 9 2 2" xfId="8155"/>
    <cellStyle name="Normal 5 2 9 3" xfId="6010"/>
    <cellStyle name="Normal 5 3" xfId="439"/>
    <cellStyle name="Normal 5 3 10" xfId="2159"/>
    <cellStyle name="Normal 5 3 10 2" xfId="4388"/>
    <cellStyle name="Normal 5 3 10 2 2" xfId="8600"/>
    <cellStyle name="Normal 5 3 10 3" xfId="6455"/>
    <cellStyle name="Normal 5 3 11" xfId="2595"/>
    <cellStyle name="Normal 5 3 11 2" xfId="6868"/>
    <cellStyle name="Normal 5 3 12" xfId="4803"/>
    <cellStyle name="Normal 5 3 2" xfId="440"/>
    <cellStyle name="Normal 5 3 2 2" xfId="915"/>
    <cellStyle name="Normal 5 3 3" xfId="441"/>
    <cellStyle name="Normal 5 3 3 10" xfId="4804"/>
    <cellStyle name="Normal 5 3 3 2" xfId="442"/>
    <cellStyle name="Normal 5 3 3 2 2" xfId="443"/>
    <cellStyle name="Normal 5 3 3 2 2 2" xfId="444"/>
    <cellStyle name="Normal 5 3 3 2 2 2 2" xfId="919"/>
    <cellStyle name="Normal 5 3 3 2 2 2 2 2" xfId="3153"/>
    <cellStyle name="Normal 5 3 3 2 2 2 2 2 2" xfId="7365"/>
    <cellStyle name="Normal 5 3 3 2 2 2 2 3" xfId="5220"/>
    <cellStyle name="Normal 5 3 3 2 2 2 3" xfId="1336"/>
    <cellStyle name="Normal 5 3 3 2 2 2 3 2" xfId="3566"/>
    <cellStyle name="Normal 5 3 3 2 2 2 3 2 2" xfId="7778"/>
    <cellStyle name="Normal 5 3 3 2 2 2 3 3" xfId="5633"/>
    <cellStyle name="Normal 5 3 3 2 2 2 4" xfId="1749"/>
    <cellStyle name="Normal 5 3 3 2 2 2 4 2" xfId="3979"/>
    <cellStyle name="Normal 5 3 3 2 2 2 4 2 2" xfId="8191"/>
    <cellStyle name="Normal 5 3 3 2 2 2 4 3" xfId="6046"/>
    <cellStyle name="Normal 5 3 3 2 2 2 5" xfId="2163"/>
    <cellStyle name="Normal 5 3 3 2 2 2 5 2" xfId="4392"/>
    <cellStyle name="Normal 5 3 3 2 2 2 5 2 2" xfId="8604"/>
    <cellStyle name="Normal 5 3 3 2 2 2 5 3" xfId="6459"/>
    <cellStyle name="Normal 5 3 3 2 2 2 6" xfId="2599"/>
    <cellStyle name="Normal 5 3 3 2 2 2 6 2" xfId="6872"/>
    <cellStyle name="Normal 5 3 3 2 2 2 7" xfId="4807"/>
    <cellStyle name="Normal 5 3 3 2 2 3" xfId="918"/>
    <cellStyle name="Normal 5 3 3 2 2 3 2" xfId="3152"/>
    <cellStyle name="Normal 5 3 3 2 2 3 2 2" xfId="7364"/>
    <cellStyle name="Normal 5 3 3 2 2 3 3" xfId="5219"/>
    <cellStyle name="Normal 5 3 3 2 2 4" xfId="1335"/>
    <cellStyle name="Normal 5 3 3 2 2 4 2" xfId="3565"/>
    <cellStyle name="Normal 5 3 3 2 2 4 2 2" xfId="7777"/>
    <cellStyle name="Normal 5 3 3 2 2 4 3" xfId="5632"/>
    <cellStyle name="Normal 5 3 3 2 2 5" xfId="1748"/>
    <cellStyle name="Normal 5 3 3 2 2 5 2" xfId="3978"/>
    <cellStyle name="Normal 5 3 3 2 2 5 2 2" xfId="8190"/>
    <cellStyle name="Normal 5 3 3 2 2 5 3" xfId="6045"/>
    <cellStyle name="Normal 5 3 3 2 2 6" xfId="2162"/>
    <cellStyle name="Normal 5 3 3 2 2 6 2" xfId="4391"/>
    <cellStyle name="Normal 5 3 3 2 2 6 2 2" xfId="8603"/>
    <cellStyle name="Normal 5 3 3 2 2 6 3" xfId="6458"/>
    <cellStyle name="Normal 5 3 3 2 2 7" xfId="2598"/>
    <cellStyle name="Normal 5 3 3 2 2 7 2" xfId="6871"/>
    <cellStyle name="Normal 5 3 3 2 2 8" xfId="4806"/>
    <cellStyle name="Normal 5 3 3 2 3" xfId="445"/>
    <cellStyle name="Normal 5 3 3 2 3 2" xfId="920"/>
    <cellStyle name="Normal 5 3 3 2 3 2 2" xfId="3154"/>
    <cellStyle name="Normal 5 3 3 2 3 2 2 2" xfId="7366"/>
    <cellStyle name="Normal 5 3 3 2 3 2 3" xfId="5221"/>
    <cellStyle name="Normal 5 3 3 2 3 3" xfId="1337"/>
    <cellStyle name="Normal 5 3 3 2 3 3 2" xfId="3567"/>
    <cellStyle name="Normal 5 3 3 2 3 3 2 2" xfId="7779"/>
    <cellStyle name="Normal 5 3 3 2 3 3 3" xfId="5634"/>
    <cellStyle name="Normal 5 3 3 2 3 4" xfId="1750"/>
    <cellStyle name="Normal 5 3 3 2 3 4 2" xfId="3980"/>
    <cellStyle name="Normal 5 3 3 2 3 4 2 2" xfId="8192"/>
    <cellStyle name="Normal 5 3 3 2 3 4 3" xfId="6047"/>
    <cellStyle name="Normal 5 3 3 2 3 5" xfId="2164"/>
    <cellStyle name="Normal 5 3 3 2 3 5 2" xfId="4393"/>
    <cellStyle name="Normal 5 3 3 2 3 5 2 2" xfId="8605"/>
    <cellStyle name="Normal 5 3 3 2 3 5 3" xfId="6460"/>
    <cellStyle name="Normal 5 3 3 2 3 6" xfId="2600"/>
    <cellStyle name="Normal 5 3 3 2 3 6 2" xfId="6873"/>
    <cellStyle name="Normal 5 3 3 2 3 7" xfId="4808"/>
    <cellStyle name="Normal 5 3 3 2 4" xfId="917"/>
    <cellStyle name="Normal 5 3 3 2 4 2" xfId="3151"/>
    <cellStyle name="Normal 5 3 3 2 4 2 2" xfId="7363"/>
    <cellStyle name="Normal 5 3 3 2 4 3" xfId="5218"/>
    <cellStyle name="Normal 5 3 3 2 5" xfId="1334"/>
    <cellStyle name="Normal 5 3 3 2 5 2" xfId="3564"/>
    <cellStyle name="Normal 5 3 3 2 5 2 2" xfId="7776"/>
    <cellStyle name="Normal 5 3 3 2 5 3" xfId="5631"/>
    <cellStyle name="Normal 5 3 3 2 6" xfId="1747"/>
    <cellStyle name="Normal 5 3 3 2 6 2" xfId="3977"/>
    <cellStyle name="Normal 5 3 3 2 6 2 2" xfId="8189"/>
    <cellStyle name="Normal 5 3 3 2 6 3" xfId="6044"/>
    <cellStyle name="Normal 5 3 3 2 7" xfId="2161"/>
    <cellStyle name="Normal 5 3 3 2 7 2" xfId="4390"/>
    <cellStyle name="Normal 5 3 3 2 7 2 2" xfId="8602"/>
    <cellStyle name="Normal 5 3 3 2 7 3" xfId="6457"/>
    <cellStyle name="Normal 5 3 3 2 8" xfId="2597"/>
    <cellStyle name="Normal 5 3 3 2 8 2" xfId="6870"/>
    <cellStyle name="Normal 5 3 3 2 9" xfId="4805"/>
    <cellStyle name="Normal 5 3 3 3" xfId="446"/>
    <cellStyle name="Normal 5 3 3 3 2" xfId="447"/>
    <cellStyle name="Normal 5 3 3 3 2 2" xfId="922"/>
    <cellStyle name="Normal 5 3 3 3 2 2 2" xfId="3156"/>
    <cellStyle name="Normal 5 3 3 3 2 2 2 2" xfId="7368"/>
    <cellStyle name="Normal 5 3 3 3 2 2 3" xfId="5223"/>
    <cellStyle name="Normal 5 3 3 3 2 3" xfId="1339"/>
    <cellStyle name="Normal 5 3 3 3 2 3 2" xfId="3569"/>
    <cellStyle name="Normal 5 3 3 3 2 3 2 2" xfId="7781"/>
    <cellStyle name="Normal 5 3 3 3 2 3 3" xfId="5636"/>
    <cellStyle name="Normal 5 3 3 3 2 4" xfId="1752"/>
    <cellStyle name="Normal 5 3 3 3 2 4 2" xfId="3982"/>
    <cellStyle name="Normal 5 3 3 3 2 4 2 2" xfId="8194"/>
    <cellStyle name="Normal 5 3 3 3 2 4 3" xfId="6049"/>
    <cellStyle name="Normal 5 3 3 3 2 5" xfId="2166"/>
    <cellStyle name="Normal 5 3 3 3 2 5 2" xfId="4395"/>
    <cellStyle name="Normal 5 3 3 3 2 5 2 2" xfId="8607"/>
    <cellStyle name="Normal 5 3 3 3 2 5 3" xfId="6462"/>
    <cellStyle name="Normal 5 3 3 3 2 6" xfId="2602"/>
    <cellStyle name="Normal 5 3 3 3 2 6 2" xfId="6875"/>
    <cellStyle name="Normal 5 3 3 3 2 7" xfId="4810"/>
    <cellStyle name="Normal 5 3 3 3 3" xfId="921"/>
    <cellStyle name="Normal 5 3 3 3 3 2" xfId="3155"/>
    <cellStyle name="Normal 5 3 3 3 3 2 2" xfId="7367"/>
    <cellStyle name="Normal 5 3 3 3 3 3" xfId="5222"/>
    <cellStyle name="Normal 5 3 3 3 4" xfId="1338"/>
    <cellStyle name="Normal 5 3 3 3 4 2" xfId="3568"/>
    <cellStyle name="Normal 5 3 3 3 4 2 2" xfId="7780"/>
    <cellStyle name="Normal 5 3 3 3 4 3" xfId="5635"/>
    <cellStyle name="Normal 5 3 3 3 5" xfId="1751"/>
    <cellStyle name="Normal 5 3 3 3 5 2" xfId="3981"/>
    <cellStyle name="Normal 5 3 3 3 5 2 2" xfId="8193"/>
    <cellStyle name="Normal 5 3 3 3 5 3" xfId="6048"/>
    <cellStyle name="Normal 5 3 3 3 6" xfId="2165"/>
    <cellStyle name="Normal 5 3 3 3 6 2" xfId="4394"/>
    <cellStyle name="Normal 5 3 3 3 6 2 2" xfId="8606"/>
    <cellStyle name="Normal 5 3 3 3 6 3" xfId="6461"/>
    <cellStyle name="Normal 5 3 3 3 7" xfId="2601"/>
    <cellStyle name="Normal 5 3 3 3 7 2" xfId="6874"/>
    <cellStyle name="Normal 5 3 3 3 8" xfId="4809"/>
    <cellStyle name="Normal 5 3 3 4" xfId="448"/>
    <cellStyle name="Normal 5 3 3 4 2" xfId="923"/>
    <cellStyle name="Normal 5 3 3 4 2 2" xfId="3157"/>
    <cellStyle name="Normal 5 3 3 4 2 2 2" xfId="7369"/>
    <cellStyle name="Normal 5 3 3 4 2 3" xfId="5224"/>
    <cellStyle name="Normal 5 3 3 4 3" xfId="1340"/>
    <cellStyle name="Normal 5 3 3 4 3 2" xfId="3570"/>
    <cellStyle name="Normal 5 3 3 4 3 2 2" xfId="7782"/>
    <cellStyle name="Normal 5 3 3 4 3 3" xfId="5637"/>
    <cellStyle name="Normal 5 3 3 4 4" xfId="1753"/>
    <cellStyle name="Normal 5 3 3 4 4 2" xfId="3983"/>
    <cellStyle name="Normal 5 3 3 4 4 2 2" xfId="8195"/>
    <cellStyle name="Normal 5 3 3 4 4 3" xfId="6050"/>
    <cellStyle name="Normal 5 3 3 4 5" xfId="2167"/>
    <cellStyle name="Normal 5 3 3 4 5 2" xfId="4396"/>
    <cellStyle name="Normal 5 3 3 4 5 2 2" xfId="8608"/>
    <cellStyle name="Normal 5 3 3 4 5 3" xfId="6463"/>
    <cellStyle name="Normal 5 3 3 4 6" xfId="2603"/>
    <cellStyle name="Normal 5 3 3 4 6 2" xfId="6876"/>
    <cellStyle name="Normal 5 3 3 4 7" xfId="4811"/>
    <cellStyle name="Normal 5 3 3 5" xfId="916"/>
    <cellStyle name="Normal 5 3 3 5 2" xfId="3150"/>
    <cellStyle name="Normal 5 3 3 5 2 2" xfId="7362"/>
    <cellStyle name="Normal 5 3 3 5 3" xfId="5217"/>
    <cellStyle name="Normal 5 3 3 6" xfId="1333"/>
    <cellStyle name="Normal 5 3 3 6 2" xfId="3563"/>
    <cellStyle name="Normal 5 3 3 6 2 2" xfId="7775"/>
    <cellStyle name="Normal 5 3 3 6 3" xfId="5630"/>
    <cellStyle name="Normal 5 3 3 7" xfId="1746"/>
    <cellStyle name="Normal 5 3 3 7 2" xfId="3976"/>
    <cellStyle name="Normal 5 3 3 7 2 2" xfId="8188"/>
    <cellStyle name="Normal 5 3 3 7 3" xfId="6043"/>
    <cellStyle name="Normal 5 3 3 8" xfId="2160"/>
    <cellStyle name="Normal 5 3 3 8 2" xfId="4389"/>
    <cellStyle name="Normal 5 3 3 8 2 2" xfId="8601"/>
    <cellStyle name="Normal 5 3 3 8 3" xfId="6456"/>
    <cellStyle name="Normal 5 3 3 9" xfId="2596"/>
    <cellStyle name="Normal 5 3 3 9 2" xfId="6869"/>
    <cellStyle name="Normal 5 3 4" xfId="449"/>
    <cellStyle name="Normal 5 3 4 2" xfId="450"/>
    <cellStyle name="Normal 5 3 4 2 2" xfId="451"/>
    <cellStyle name="Normal 5 3 4 2 2 2" xfId="926"/>
    <cellStyle name="Normal 5 3 4 2 2 2 2" xfId="3160"/>
    <cellStyle name="Normal 5 3 4 2 2 2 2 2" xfId="7372"/>
    <cellStyle name="Normal 5 3 4 2 2 2 3" xfId="5227"/>
    <cellStyle name="Normal 5 3 4 2 2 3" xfId="1343"/>
    <cellStyle name="Normal 5 3 4 2 2 3 2" xfId="3573"/>
    <cellStyle name="Normal 5 3 4 2 2 3 2 2" xfId="7785"/>
    <cellStyle name="Normal 5 3 4 2 2 3 3" xfId="5640"/>
    <cellStyle name="Normal 5 3 4 2 2 4" xfId="1756"/>
    <cellStyle name="Normal 5 3 4 2 2 4 2" xfId="3986"/>
    <cellStyle name="Normal 5 3 4 2 2 4 2 2" xfId="8198"/>
    <cellStyle name="Normal 5 3 4 2 2 4 3" xfId="6053"/>
    <cellStyle name="Normal 5 3 4 2 2 5" xfId="2170"/>
    <cellStyle name="Normal 5 3 4 2 2 5 2" xfId="4399"/>
    <cellStyle name="Normal 5 3 4 2 2 5 2 2" xfId="8611"/>
    <cellStyle name="Normal 5 3 4 2 2 5 3" xfId="6466"/>
    <cellStyle name="Normal 5 3 4 2 2 6" xfId="2606"/>
    <cellStyle name="Normal 5 3 4 2 2 6 2" xfId="6879"/>
    <cellStyle name="Normal 5 3 4 2 2 7" xfId="4814"/>
    <cellStyle name="Normal 5 3 4 2 3" xfId="925"/>
    <cellStyle name="Normal 5 3 4 2 3 2" xfId="3159"/>
    <cellStyle name="Normal 5 3 4 2 3 2 2" xfId="7371"/>
    <cellStyle name="Normal 5 3 4 2 3 3" xfId="5226"/>
    <cellStyle name="Normal 5 3 4 2 4" xfId="1342"/>
    <cellStyle name="Normal 5 3 4 2 4 2" xfId="3572"/>
    <cellStyle name="Normal 5 3 4 2 4 2 2" xfId="7784"/>
    <cellStyle name="Normal 5 3 4 2 4 3" xfId="5639"/>
    <cellStyle name="Normal 5 3 4 2 5" xfId="1755"/>
    <cellStyle name="Normal 5 3 4 2 5 2" xfId="3985"/>
    <cellStyle name="Normal 5 3 4 2 5 2 2" xfId="8197"/>
    <cellStyle name="Normal 5 3 4 2 5 3" xfId="6052"/>
    <cellStyle name="Normal 5 3 4 2 6" xfId="2169"/>
    <cellStyle name="Normal 5 3 4 2 6 2" xfId="4398"/>
    <cellStyle name="Normal 5 3 4 2 6 2 2" xfId="8610"/>
    <cellStyle name="Normal 5 3 4 2 6 3" xfId="6465"/>
    <cellStyle name="Normal 5 3 4 2 7" xfId="2605"/>
    <cellStyle name="Normal 5 3 4 2 7 2" xfId="6878"/>
    <cellStyle name="Normal 5 3 4 2 8" xfId="4813"/>
    <cellStyle name="Normal 5 3 4 3" xfId="452"/>
    <cellStyle name="Normal 5 3 4 3 2" xfId="927"/>
    <cellStyle name="Normal 5 3 4 3 2 2" xfId="3161"/>
    <cellStyle name="Normal 5 3 4 3 2 2 2" xfId="7373"/>
    <cellStyle name="Normal 5 3 4 3 2 3" xfId="5228"/>
    <cellStyle name="Normal 5 3 4 3 3" xfId="1344"/>
    <cellStyle name="Normal 5 3 4 3 3 2" xfId="3574"/>
    <cellStyle name="Normal 5 3 4 3 3 2 2" xfId="7786"/>
    <cellStyle name="Normal 5 3 4 3 3 3" xfId="5641"/>
    <cellStyle name="Normal 5 3 4 3 4" xfId="1757"/>
    <cellStyle name="Normal 5 3 4 3 4 2" xfId="3987"/>
    <cellStyle name="Normal 5 3 4 3 4 2 2" xfId="8199"/>
    <cellStyle name="Normal 5 3 4 3 4 3" xfId="6054"/>
    <cellStyle name="Normal 5 3 4 3 5" xfId="2171"/>
    <cellStyle name="Normal 5 3 4 3 5 2" xfId="4400"/>
    <cellStyle name="Normal 5 3 4 3 5 2 2" xfId="8612"/>
    <cellStyle name="Normal 5 3 4 3 5 3" xfId="6467"/>
    <cellStyle name="Normal 5 3 4 3 6" xfId="2607"/>
    <cellStyle name="Normal 5 3 4 3 6 2" xfId="6880"/>
    <cellStyle name="Normal 5 3 4 3 7" xfId="4815"/>
    <cellStyle name="Normal 5 3 4 4" xfId="924"/>
    <cellStyle name="Normal 5 3 4 4 2" xfId="3158"/>
    <cellStyle name="Normal 5 3 4 4 2 2" xfId="7370"/>
    <cellStyle name="Normal 5 3 4 4 3" xfId="5225"/>
    <cellStyle name="Normal 5 3 4 5" xfId="1341"/>
    <cellStyle name="Normal 5 3 4 5 2" xfId="3571"/>
    <cellStyle name="Normal 5 3 4 5 2 2" xfId="7783"/>
    <cellStyle name="Normal 5 3 4 5 3" xfId="5638"/>
    <cellStyle name="Normal 5 3 4 6" xfId="1754"/>
    <cellStyle name="Normal 5 3 4 6 2" xfId="3984"/>
    <cellStyle name="Normal 5 3 4 6 2 2" xfId="8196"/>
    <cellStyle name="Normal 5 3 4 6 3" xfId="6051"/>
    <cellStyle name="Normal 5 3 4 7" xfId="2168"/>
    <cellStyle name="Normal 5 3 4 7 2" xfId="4397"/>
    <cellStyle name="Normal 5 3 4 7 2 2" xfId="8609"/>
    <cellStyle name="Normal 5 3 4 7 3" xfId="6464"/>
    <cellStyle name="Normal 5 3 4 8" xfId="2604"/>
    <cellStyle name="Normal 5 3 4 8 2" xfId="6877"/>
    <cellStyle name="Normal 5 3 4 9" xfId="4812"/>
    <cellStyle name="Normal 5 3 5" xfId="453"/>
    <cellStyle name="Normal 5 3 5 2" xfId="454"/>
    <cellStyle name="Normal 5 3 5 2 2" xfId="929"/>
    <cellStyle name="Normal 5 3 5 2 2 2" xfId="3163"/>
    <cellStyle name="Normal 5 3 5 2 2 2 2" xfId="7375"/>
    <cellStyle name="Normal 5 3 5 2 2 3" xfId="5230"/>
    <cellStyle name="Normal 5 3 5 2 3" xfId="1346"/>
    <cellStyle name="Normal 5 3 5 2 3 2" xfId="3576"/>
    <cellStyle name="Normal 5 3 5 2 3 2 2" xfId="7788"/>
    <cellStyle name="Normal 5 3 5 2 3 3" xfId="5643"/>
    <cellStyle name="Normal 5 3 5 2 4" xfId="1759"/>
    <cellStyle name="Normal 5 3 5 2 4 2" xfId="3989"/>
    <cellStyle name="Normal 5 3 5 2 4 2 2" xfId="8201"/>
    <cellStyle name="Normal 5 3 5 2 4 3" xfId="6056"/>
    <cellStyle name="Normal 5 3 5 2 5" xfId="2173"/>
    <cellStyle name="Normal 5 3 5 2 5 2" xfId="4402"/>
    <cellStyle name="Normal 5 3 5 2 5 2 2" xfId="8614"/>
    <cellStyle name="Normal 5 3 5 2 5 3" xfId="6469"/>
    <cellStyle name="Normal 5 3 5 2 6" xfId="2609"/>
    <cellStyle name="Normal 5 3 5 2 6 2" xfId="6882"/>
    <cellStyle name="Normal 5 3 5 2 7" xfId="4817"/>
    <cellStyle name="Normal 5 3 5 3" xfId="928"/>
    <cellStyle name="Normal 5 3 5 3 2" xfId="3162"/>
    <cellStyle name="Normal 5 3 5 3 2 2" xfId="7374"/>
    <cellStyle name="Normal 5 3 5 3 3" xfId="5229"/>
    <cellStyle name="Normal 5 3 5 4" xfId="1345"/>
    <cellStyle name="Normal 5 3 5 4 2" xfId="3575"/>
    <cellStyle name="Normal 5 3 5 4 2 2" xfId="7787"/>
    <cellStyle name="Normal 5 3 5 4 3" xfId="5642"/>
    <cellStyle name="Normal 5 3 5 5" xfId="1758"/>
    <cellStyle name="Normal 5 3 5 5 2" xfId="3988"/>
    <cellStyle name="Normal 5 3 5 5 2 2" xfId="8200"/>
    <cellStyle name="Normal 5 3 5 5 3" xfId="6055"/>
    <cellStyle name="Normal 5 3 5 6" xfId="2172"/>
    <cellStyle name="Normal 5 3 5 6 2" xfId="4401"/>
    <cellStyle name="Normal 5 3 5 6 2 2" xfId="8613"/>
    <cellStyle name="Normal 5 3 5 6 3" xfId="6468"/>
    <cellStyle name="Normal 5 3 5 7" xfId="2608"/>
    <cellStyle name="Normal 5 3 5 7 2" xfId="6881"/>
    <cellStyle name="Normal 5 3 5 8" xfId="4816"/>
    <cellStyle name="Normal 5 3 6" xfId="455"/>
    <cellStyle name="Normal 5 3 6 2" xfId="930"/>
    <cellStyle name="Normal 5 3 6 2 2" xfId="3164"/>
    <cellStyle name="Normal 5 3 6 2 2 2" xfId="7376"/>
    <cellStyle name="Normal 5 3 6 2 3" xfId="5231"/>
    <cellStyle name="Normal 5 3 6 3" xfId="1347"/>
    <cellStyle name="Normal 5 3 6 3 2" xfId="3577"/>
    <cellStyle name="Normal 5 3 6 3 2 2" xfId="7789"/>
    <cellStyle name="Normal 5 3 6 3 3" xfId="5644"/>
    <cellStyle name="Normal 5 3 6 4" xfId="1760"/>
    <cellStyle name="Normal 5 3 6 4 2" xfId="3990"/>
    <cellStyle name="Normal 5 3 6 4 2 2" xfId="8202"/>
    <cellStyle name="Normal 5 3 6 4 3" xfId="6057"/>
    <cellStyle name="Normal 5 3 6 5" xfId="2174"/>
    <cellStyle name="Normal 5 3 6 5 2" xfId="4403"/>
    <cellStyle name="Normal 5 3 6 5 2 2" xfId="8615"/>
    <cellStyle name="Normal 5 3 6 5 3" xfId="6470"/>
    <cellStyle name="Normal 5 3 6 6" xfId="2610"/>
    <cellStyle name="Normal 5 3 6 6 2" xfId="6883"/>
    <cellStyle name="Normal 5 3 6 7" xfId="4818"/>
    <cellStyle name="Normal 5 3 7" xfId="914"/>
    <cellStyle name="Normal 5 3 7 2" xfId="3149"/>
    <cellStyle name="Normal 5 3 7 2 2" xfId="7361"/>
    <cellStyle name="Normal 5 3 7 3" xfId="5216"/>
    <cellStyle name="Normal 5 3 8" xfId="1332"/>
    <cellStyle name="Normal 5 3 8 2" xfId="3562"/>
    <cellStyle name="Normal 5 3 8 2 2" xfId="7774"/>
    <cellStyle name="Normal 5 3 8 3" xfId="5629"/>
    <cellStyle name="Normal 5 3 9" xfId="1745"/>
    <cellStyle name="Normal 5 3 9 2" xfId="3975"/>
    <cellStyle name="Normal 5 3 9 2 2" xfId="8187"/>
    <cellStyle name="Normal 5 3 9 3" xfId="6042"/>
    <cellStyle name="Normal 5 4" xfId="456"/>
    <cellStyle name="Normal 5 4 10" xfId="4819"/>
    <cellStyle name="Normal 5 4 2" xfId="457"/>
    <cellStyle name="Normal 5 4 2 2" xfId="458"/>
    <cellStyle name="Normal 5 4 2 2 2" xfId="459"/>
    <cellStyle name="Normal 5 4 2 2 2 2" xfId="934"/>
    <cellStyle name="Normal 5 4 2 2 2 2 2" xfId="3168"/>
    <cellStyle name="Normal 5 4 2 2 2 2 2 2" xfId="7380"/>
    <cellStyle name="Normal 5 4 2 2 2 2 3" xfId="5235"/>
    <cellStyle name="Normal 5 4 2 2 2 3" xfId="1351"/>
    <cellStyle name="Normal 5 4 2 2 2 3 2" xfId="3581"/>
    <cellStyle name="Normal 5 4 2 2 2 3 2 2" xfId="7793"/>
    <cellStyle name="Normal 5 4 2 2 2 3 3" xfId="5648"/>
    <cellStyle name="Normal 5 4 2 2 2 4" xfId="1764"/>
    <cellStyle name="Normal 5 4 2 2 2 4 2" xfId="3994"/>
    <cellStyle name="Normal 5 4 2 2 2 4 2 2" xfId="8206"/>
    <cellStyle name="Normal 5 4 2 2 2 4 3" xfId="6061"/>
    <cellStyle name="Normal 5 4 2 2 2 5" xfId="2178"/>
    <cellStyle name="Normal 5 4 2 2 2 5 2" xfId="4407"/>
    <cellStyle name="Normal 5 4 2 2 2 5 2 2" xfId="8619"/>
    <cellStyle name="Normal 5 4 2 2 2 5 3" xfId="6474"/>
    <cellStyle name="Normal 5 4 2 2 2 6" xfId="2614"/>
    <cellStyle name="Normal 5 4 2 2 2 6 2" xfId="6887"/>
    <cellStyle name="Normal 5 4 2 2 2 7" xfId="4822"/>
    <cellStyle name="Normal 5 4 2 2 3" xfId="933"/>
    <cellStyle name="Normal 5 4 2 2 3 2" xfId="3167"/>
    <cellStyle name="Normal 5 4 2 2 3 2 2" xfId="7379"/>
    <cellStyle name="Normal 5 4 2 2 3 3" xfId="5234"/>
    <cellStyle name="Normal 5 4 2 2 4" xfId="1350"/>
    <cellStyle name="Normal 5 4 2 2 4 2" xfId="3580"/>
    <cellStyle name="Normal 5 4 2 2 4 2 2" xfId="7792"/>
    <cellStyle name="Normal 5 4 2 2 4 3" xfId="5647"/>
    <cellStyle name="Normal 5 4 2 2 5" xfId="1763"/>
    <cellStyle name="Normal 5 4 2 2 5 2" xfId="3993"/>
    <cellStyle name="Normal 5 4 2 2 5 2 2" xfId="8205"/>
    <cellStyle name="Normal 5 4 2 2 5 3" xfId="6060"/>
    <cellStyle name="Normal 5 4 2 2 6" xfId="2177"/>
    <cellStyle name="Normal 5 4 2 2 6 2" xfId="4406"/>
    <cellStyle name="Normal 5 4 2 2 6 2 2" xfId="8618"/>
    <cellStyle name="Normal 5 4 2 2 6 3" xfId="6473"/>
    <cellStyle name="Normal 5 4 2 2 7" xfId="2613"/>
    <cellStyle name="Normal 5 4 2 2 7 2" xfId="6886"/>
    <cellStyle name="Normal 5 4 2 2 8" xfId="4821"/>
    <cellStyle name="Normal 5 4 2 3" xfId="460"/>
    <cellStyle name="Normal 5 4 2 3 2" xfId="935"/>
    <cellStyle name="Normal 5 4 2 3 2 2" xfId="3169"/>
    <cellStyle name="Normal 5 4 2 3 2 2 2" xfId="7381"/>
    <cellStyle name="Normal 5 4 2 3 2 3" xfId="5236"/>
    <cellStyle name="Normal 5 4 2 3 3" xfId="1352"/>
    <cellStyle name="Normal 5 4 2 3 3 2" xfId="3582"/>
    <cellStyle name="Normal 5 4 2 3 3 2 2" xfId="7794"/>
    <cellStyle name="Normal 5 4 2 3 3 3" xfId="5649"/>
    <cellStyle name="Normal 5 4 2 3 4" xfId="1765"/>
    <cellStyle name="Normal 5 4 2 3 4 2" xfId="3995"/>
    <cellStyle name="Normal 5 4 2 3 4 2 2" xfId="8207"/>
    <cellStyle name="Normal 5 4 2 3 4 3" xfId="6062"/>
    <cellStyle name="Normal 5 4 2 3 5" xfId="2179"/>
    <cellStyle name="Normal 5 4 2 3 5 2" xfId="4408"/>
    <cellStyle name="Normal 5 4 2 3 5 2 2" xfId="8620"/>
    <cellStyle name="Normal 5 4 2 3 5 3" xfId="6475"/>
    <cellStyle name="Normal 5 4 2 3 6" xfId="2615"/>
    <cellStyle name="Normal 5 4 2 3 6 2" xfId="6888"/>
    <cellStyle name="Normal 5 4 2 3 7" xfId="4823"/>
    <cellStyle name="Normal 5 4 2 4" xfId="932"/>
    <cellStyle name="Normal 5 4 2 4 2" xfId="3166"/>
    <cellStyle name="Normal 5 4 2 4 2 2" xfId="7378"/>
    <cellStyle name="Normal 5 4 2 4 3" xfId="5233"/>
    <cellStyle name="Normal 5 4 2 5" xfId="1349"/>
    <cellStyle name="Normal 5 4 2 5 2" xfId="3579"/>
    <cellStyle name="Normal 5 4 2 5 2 2" xfId="7791"/>
    <cellStyle name="Normal 5 4 2 5 3" xfId="5646"/>
    <cellStyle name="Normal 5 4 2 6" xfId="1762"/>
    <cellStyle name="Normal 5 4 2 6 2" xfId="3992"/>
    <cellStyle name="Normal 5 4 2 6 2 2" xfId="8204"/>
    <cellStyle name="Normal 5 4 2 6 3" xfId="6059"/>
    <cellStyle name="Normal 5 4 2 7" xfId="2176"/>
    <cellStyle name="Normal 5 4 2 7 2" xfId="4405"/>
    <cellStyle name="Normal 5 4 2 7 2 2" xfId="8617"/>
    <cellStyle name="Normal 5 4 2 7 3" xfId="6472"/>
    <cellStyle name="Normal 5 4 2 8" xfId="2612"/>
    <cellStyle name="Normal 5 4 2 8 2" xfId="6885"/>
    <cellStyle name="Normal 5 4 2 9" xfId="4820"/>
    <cellStyle name="Normal 5 4 3" xfId="461"/>
    <cellStyle name="Normal 5 4 3 2" xfId="462"/>
    <cellStyle name="Normal 5 4 3 2 2" xfId="937"/>
    <cellStyle name="Normal 5 4 3 2 2 2" xfId="3171"/>
    <cellStyle name="Normal 5 4 3 2 2 2 2" xfId="7383"/>
    <cellStyle name="Normal 5 4 3 2 2 3" xfId="5238"/>
    <cellStyle name="Normal 5 4 3 2 3" xfId="1354"/>
    <cellStyle name="Normal 5 4 3 2 3 2" xfId="3584"/>
    <cellStyle name="Normal 5 4 3 2 3 2 2" xfId="7796"/>
    <cellStyle name="Normal 5 4 3 2 3 3" xfId="5651"/>
    <cellStyle name="Normal 5 4 3 2 4" xfId="1767"/>
    <cellStyle name="Normal 5 4 3 2 4 2" xfId="3997"/>
    <cellStyle name="Normal 5 4 3 2 4 2 2" xfId="8209"/>
    <cellStyle name="Normal 5 4 3 2 4 3" xfId="6064"/>
    <cellStyle name="Normal 5 4 3 2 5" xfId="2181"/>
    <cellStyle name="Normal 5 4 3 2 5 2" xfId="4410"/>
    <cellStyle name="Normal 5 4 3 2 5 2 2" xfId="8622"/>
    <cellStyle name="Normal 5 4 3 2 5 3" xfId="6477"/>
    <cellStyle name="Normal 5 4 3 2 6" xfId="2617"/>
    <cellStyle name="Normal 5 4 3 2 6 2" xfId="6890"/>
    <cellStyle name="Normal 5 4 3 2 7" xfId="4825"/>
    <cellStyle name="Normal 5 4 3 3" xfId="936"/>
    <cellStyle name="Normal 5 4 3 3 2" xfId="3170"/>
    <cellStyle name="Normal 5 4 3 3 2 2" xfId="7382"/>
    <cellStyle name="Normal 5 4 3 3 3" xfId="5237"/>
    <cellStyle name="Normal 5 4 3 4" xfId="1353"/>
    <cellStyle name="Normal 5 4 3 4 2" xfId="3583"/>
    <cellStyle name="Normal 5 4 3 4 2 2" xfId="7795"/>
    <cellStyle name="Normal 5 4 3 4 3" xfId="5650"/>
    <cellStyle name="Normal 5 4 3 5" xfId="1766"/>
    <cellStyle name="Normal 5 4 3 5 2" xfId="3996"/>
    <cellStyle name="Normal 5 4 3 5 2 2" xfId="8208"/>
    <cellStyle name="Normal 5 4 3 5 3" xfId="6063"/>
    <cellStyle name="Normal 5 4 3 6" xfId="2180"/>
    <cellStyle name="Normal 5 4 3 6 2" xfId="4409"/>
    <cellStyle name="Normal 5 4 3 6 2 2" xfId="8621"/>
    <cellStyle name="Normal 5 4 3 6 3" xfId="6476"/>
    <cellStyle name="Normal 5 4 3 7" xfId="2616"/>
    <cellStyle name="Normal 5 4 3 7 2" xfId="6889"/>
    <cellStyle name="Normal 5 4 3 8" xfId="4824"/>
    <cellStyle name="Normal 5 4 4" xfId="463"/>
    <cellStyle name="Normal 5 4 4 2" xfId="938"/>
    <cellStyle name="Normal 5 4 4 2 2" xfId="3172"/>
    <cellStyle name="Normal 5 4 4 2 2 2" xfId="7384"/>
    <cellStyle name="Normal 5 4 4 2 3" xfId="5239"/>
    <cellStyle name="Normal 5 4 4 3" xfId="1355"/>
    <cellStyle name="Normal 5 4 4 3 2" xfId="3585"/>
    <cellStyle name="Normal 5 4 4 3 2 2" xfId="7797"/>
    <cellStyle name="Normal 5 4 4 3 3" xfId="5652"/>
    <cellStyle name="Normal 5 4 4 4" xfId="1768"/>
    <cellStyle name="Normal 5 4 4 4 2" xfId="3998"/>
    <cellStyle name="Normal 5 4 4 4 2 2" xfId="8210"/>
    <cellStyle name="Normal 5 4 4 4 3" xfId="6065"/>
    <cellStyle name="Normal 5 4 4 5" xfId="2182"/>
    <cellStyle name="Normal 5 4 4 5 2" xfId="4411"/>
    <cellStyle name="Normal 5 4 4 5 2 2" xfId="8623"/>
    <cellStyle name="Normal 5 4 4 5 3" xfId="6478"/>
    <cellStyle name="Normal 5 4 4 6" xfId="2618"/>
    <cellStyle name="Normal 5 4 4 6 2" xfId="6891"/>
    <cellStyle name="Normal 5 4 4 7" xfId="4826"/>
    <cellStyle name="Normal 5 4 5" xfId="931"/>
    <cellStyle name="Normal 5 4 5 2" xfId="3165"/>
    <cellStyle name="Normal 5 4 5 2 2" xfId="7377"/>
    <cellStyle name="Normal 5 4 5 3" xfId="5232"/>
    <cellStyle name="Normal 5 4 6" xfId="1348"/>
    <cellStyle name="Normal 5 4 6 2" xfId="3578"/>
    <cellStyle name="Normal 5 4 6 2 2" xfId="7790"/>
    <cellStyle name="Normal 5 4 6 3" xfId="5645"/>
    <cellStyle name="Normal 5 4 7" xfId="1761"/>
    <cellStyle name="Normal 5 4 7 2" xfId="3991"/>
    <cellStyle name="Normal 5 4 7 2 2" xfId="8203"/>
    <cellStyle name="Normal 5 4 7 3" xfId="6058"/>
    <cellStyle name="Normal 5 4 8" xfId="2175"/>
    <cellStyle name="Normal 5 4 8 2" xfId="4404"/>
    <cellStyle name="Normal 5 4 8 2 2" xfId="8616"/>
    <cellStyle name="Normal 5 4 8 3" xfId="6471"/>
    <cellStyle name="Normal 5 4 9" xfId="2611"/>
    <cellStyle name="Normal 5 4 9 2" xfId="6884"/>
    <cellStyle name="Normal 5 5" xfId="464"/>
    <cellStyle name="Normal 5 5 2" xfId="465"/>
    <cellStyle name="Normal 5 5 2 2" xfId="466"/>
    <cellStyle name="Normal 5 5 2 2 2" xfId="941"/>
    <cellStyle name="Normal 5 5 2 2 2 2" xfId="3175"/>
    <cellStyle name="Normal 5 5 2 2 2 2 2" xfId="7387"/>
    <cellStyle name="Normal 5 5 2 2 2 3" xfId="5242"/>
    <cellStyle name="Normal 5 5 2 2 3" xfId="1358"/>
    <cellStyle name="Normal 5 5 2 2 3 2" xfId="3588"/>
    <cellStyle name="Normal 5 5 2 2 3 2 2" xfId="7800"/>
    <cellStyle name="Normal 5 5 2 2 3 3" xfId="5655"/>
    <cellStyle name="Normal 5 5 2 2 4" xfId="1771"/>
    <cellStyle name="Normal 5 5 2 2 4 2" xfId="4001"/>
    <cellStyle name="Normal 5 5 2 2 4 2 2" xfId="8213"/>
    <cellStyle name="Normal 5 5 2 2 4 3" xfId="6068"/>
    <cellStyle name="Normal 5 5 2 2 5" xfId="2185"/>
    <cellStyle name="Normal 5 5 2 2 5 2" xfId="4414"/>
    <cellStyle name="Normal 5 5 2 2 5 2 2" xfId="8626"/>
    <cellStyle name="Normal 5 5 2 2 5 3" xfId="6481"/>
    <cellStyle name="Normal 5 5 2 2 6" xfId="2621"/>
    <cellStyle name="Normal 5 5 2 2 6 2" xfId="6894"/>
    <cellStyle name="Normal 5 5 2 2 7" xfId="4829"/>
    <cellStyle name="Normal 5 5 2 3" xfId="940"/>
    <cellStyle name="Normal 5 5 2 3 2" xfId="3174"/>
    <cellStyle name="Normal 5 5 2 3 2 2" xfId="7386"/>
    <cellStyle name="Normal 5 5 2 3 3" xfId="5241"/>
    <cellStyle name="Normal 5 5 2 4" xfId="1357"/>
    <cellStyle name="Normal 5 5 2 4 2" xfId="3587"/>
    <cellStyle name="Normal 5 5 2 4 2 2" xfId="7799"/>
    <cellStyle name="Normal 5 5 2 4 3" xfId="5654"/>
    <cellStyle name="Normal 5 5 2 5" xfId="1770"/>
    <cellStyle name="Normal 5 5 2 5 2" xfId="4000"/>
    <cellStyle name="Normal 5 5 2 5 2 2" xfId="8212"/>
    <cellStyle name="Normal 5 5 2 5 3" xfId="6067"/>
    <cellStyle name="Normal 5 5 2 6" xfId="2184"/>
    <cellStyle name="Normal 5 5 2 6 2" xfId="4413"/>
    <cellStyle name="Normal 5 5 2 6 2 2" xfId="8625"/>
    <cellStyle name="Normal 5 5 2 6 3" xfId="6480"/>
    <cellStyle name="Normal 5 5 2 7" xfId="2620"/>
    <cellStyle name="Normal 5 5 2 7 2" xfId="6893"/>
    <cellStyle name="Normal 5 5 2 8" xfId="4828"/>
    <cellStyle name="Normal 5 5 3" xfId="467"/>
    <cellStyle name="Normal 5 5 3 2" xfId="942"/>
    <cellStyle name="Normal 5 5 3 2 2" xfId="3176"/>
    <cellStyle name="Normal 5 5 3 2 2 2" xfId="7388"/>
    <cellStyle name="Normal 5 5 3 2 3" xfId="5243"/>
    <cellStyle name="Normal 5 5 3 3" xfId="1359"/>
    <cellStyle name="Normal 5 5 3 3 2" xfId="3589"/>
    <cellStyle name="Normal 5 5 3 3 2 2" xfId="7801"/>
    <cellStyle name="Normal 5 5 3 3 3" xfId="5656"/>
    <cellStyle name="Normal 5 5 3 4" xfId="1772"/>
    <cellStyle name="Normal 5 5 3 4 2" xfId="4002"/>
    <cellStyle name="Normal 5 5 3 4 2 2" xfId="8214"/>
    <cellStyle name="Normal 5 5 3 4 3" xfId="6069"/>
    <cellStyle name="Normal 5 5 3 5" xfId="2186"/>
    <cellStyle name="Normal 5 5 3 5 2" xfId="4415"/>
    <cellStyle name="Normal 5 5 3 5 2 2" xfId="8627"/>
    <cellStyle name="Normal 5 5 3 5 3" xfId="6482"/>
    <cellStyle name="Normal 5 5 3 6" xfId="2622"/>
    <cellStyle name="Normal 5 5 3 6 2" xfId="6895"/>
    <cellStyle name="Normal 5 5 3 7" xfId="4830"/>
    <cellStyle name="Normal 5 5 4" xfId="939"/>
    <cellStyle name="Normal 5 5 4 2" xfId="3173"/>
    <cellStyle name="Normal 5 5 4 2 2" xfId="7385"/>
    <cellStyle name="Normal 5 5 4 3" xfId="5240"/>
    <cellStyle name="Normal 5 5 5" xfId="1356"/>
    <cellStyle name="Normal 5 5 5 2" xfId="3586"/>
    <cellStyle name="Normal 5 5 5 2 2" xfId="7798"/>
    <cellStyle name="Normal 5 5 5 3" xfId="5653"/>
    <cellStyle name="Normal 5 5 6" xfId="1769"/>
    <cellStyle name="Normal 5 5 6 2" xfId="3999"/>
    <cellStyle name="Normal 5 5 6 2 2" xfId="8211"/>
    <cellStyle name="Normal 5 5 6 3" xfId="6066"/>
    <cellStyle name="Normal 5 5 7" xfId="2183"/>
    <cellStyle name="Normal 5 5 7 2" xfId="4412"/>
    <cellStyle name="Normal 5 5 7 2 2" xfId="8624"/>
    <cellStyle name="Normal 5 5 7 3" xfId="6479"/>
    <cellStyle name="Normal 5 5 8" xfId="2619"/>
    <cellStyle name="Normal 5 5 8 2" xfId="6892"/>
    <cellStyle name="Normal 5 5 9" xfId="4827"/>
    <cellStyle name="Normal 5 6" xfId="468"/>
    <cellStyle name="Normal 5 6 2" xfId="469"/>
    <cellStyle name="Normal 5 6 2 2" xfId="944"/>
    <cellStyle name="Normal 5 6 2 2 2" xfId="3178"/>
    <cellStyle name="Normal 5 6 2 2 2 2" xfId="7390"/>
    <cellStyle name="Normal 5 6 2 2 3" xfId="5245"/>
    <cellStyle name="Normal 5 6 2 3" xfId="1361"/>
    <cellStyle name="Normal 5 6 2 3 2" xfId="3591"/>
    <cellStyle name="Normal 5 6 2 3 2 2" xfId="7803"/>
    <cellStyle name="Normal 5 6 2 3 3" xfId="5658"/>
    <cellStyle name="Normal 5 6 2 4" xfId="1774"/>
    <cellStyle name="Normal 5 6 2 4 2" xfId="4004"/>
    <cellStyle name="Normal 5 6 2 4 2 2" xfId="8216"/>
    <cellStyle name="Normal 5 6 2 4 3" xfId="6071"/>
    <cellStyle name="Normal 5 6 2 5" xfId="2188"/>
    <cellStyle name="Normal 5 6 2 5 2" xfId="4417"/>
    <cellStyle name="Normal 5 6 2 5 2 2" xfId="8629"/>
    <cellStyle name="Normal 5 6 2 5 3" xfId="6484"/>
    <cellStyle name="Normal 5 6 2 6" xfId="2624"/>
    <cellStyle name="Normal 5 6 2 6 2" xfId="6897"/>
    <cellStyle name="Normal 5 6 2 7" xfId="4832"/>
    <cellStyle name="Normal 5 6 3" xfId="943"/>
    <cellStyle name="Normal 5 6 3 2" xfId="3177"/>
    <cellStyle name="Normal 5 6 3 2 2" xfId="7389"/>
    <cellStyle name="Normal 5 6 3 3" xfId="5244"/>
    <cellStyle name="Normal 5 6 4" xfId="1360"/>
    <cellStyle name="Normal 5 6 4 2" xfId="3590"/>
    <cellStyle name="Normal 5 6 4 2 2" xfId="7802"/>
    <cellStyle name="Normal 5 6 4 3" xfId="5657"/>
    <cellStyle name="Normal 5 6 5" xfId="1773"/>
    <cellStyle name="Normal 5 6 5 2" xfId="4003"/>
    <cellStyle name="Normal 5 6 5 2 2" xfId="8215"/>
    <cellStyle name="Normal 5 6 5 3" xfId="6070"/>
    <cellStyle name="Normal 5 6 6" xfId="2187"/>
    <cellStyle name="Normal 5 6 6 2" xfId="4416"/>
    <cellStyle name="Normal 5 6 6 2 2" xfId="8628"/>
    <cellStyle name="Normal 5 6 6 3" xfId="6483"/>
    <cellStyle name="Normal 5 6 7" xfId="2623"/>
    <cellStyle name="Normal 5 6 7 2" xfId="6896"/>
    <cellStyle name="Normal 5 6 8" xfId="4831"/>
    <cellStyle name="Normal 5 7" xfId="470"/>
    <cellStyle name="Normal 5 7 2" xfId="945"/>
    <cellStyle name="Normal 5 7 2 2" xfId="3179"/>
    <cellStyle name="Normal 5 7 2 2 2" xfId="7391"/>
    <cellStyle name="Normal 5 7 2 3" xfId="5246"/>
    <cellStyle name="Normal 5 7 3" xfId="1362"/>
    <cellStyle name="Normal 5 7 3 2" xfId="3592"/>
    <cellStyle name="Normal 5 7 3 2 2" xfId="7804"/>
    <cellStyle name="Normal 5 7 3 3" xfId="5659"/>
    <cellStyle name="Normal 5 7 4" xfId="1775"/>
    <cellStyle name="Normal 5 7 4 2" xfId="4005"/>
    <cellStyle name="Normal 5 7 4 2 2" xfId="8217"/>
    <cellStyle name="Normal 5 7 4 3" xfId="6072"/>
    <cellStyle name="Normal 5 7 5" xfId="2189"/>
    <cellStyle name="Normal 5 7 5 2" xfId="4418"/>
    <cellStyle name="Normal 5 7 5 2 2" xfId="8630"/>
    <cellStyle name="Normal 5 7 5 3" xfId="6485"/>
    <cellStyle name="Normal 5 7 6" xfId="2625"/>
    <cellStyle name="Normal 5 7 6 2" xfId="6898"/>
    <cellStyle name="Normal 5 7 7" xfId="4833"/>
    <cellStyle name="Normal 5 8" xfId="881"/>
    <cellStyle name="Normal 5 8 2" xfId="3116"/>
    <cellStyle name="Normal 5 8 2 2" xfId="7328"/>
    <cellStyle name="Normal 5 8 3" xfId="5183"/>
    <cellStyle name="Normal 5 9" xfId="1299"/>
    <cellStyle name="Normal 5 9 2" xfId="3529"/>
    <cellStyle name="Normal 5 9 2 2" xfId="7741"/>
    <cellStyle name="Normal 5 9 3" xfId="559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31"/>
    <cellStyle name="Normal 8 10 3" xfId="6486"/>
    <cellStyle name="Normal 8 11" xfId="2626"/>
    <cellStyle name="Normal 8 11 2" xfId="6899"/>
    <cellStyle name="Normal 8 12" xfId="4834"/>
    <cellStyle name="Normal 8 2" xfId="479"/>
    <cellStyle name="Normal 8 2 10" xfId="2627"/>
    <cellStyle name="Normal 8 2 10 2" xfId="6900"/>
    <cellStyle name="Normal 8 2 11" xfId="4835"/>
    <cellStyle name="Normal 8 2 2" xfId="480"/>
    <cellStyle name="Normal 8 2 2 10" xfId="4836"/>
    <cellStyle name="Normal 8 2 2 2" xfId="481"/>
    <cellStyle name="Normal 8 2 2 2 2" xfId="482"/>
    <cellStyle name="Normal 8 2 2 2 2 2" xfId="483"/>
    <cellStyle name="Normal 8 2 2 2 2 2 2" xfId="951"/>
    <cellStyle name="Normal 8 2 2 2 2 2 2 2" xfId="3185"/>
    <cellStyle name="Normal 8 2 2 2 2 2 2 2 2" xfId="7397"/>
    <cellStyle name="Normal 8 2 2 2 2 2 2 3" xfId="5252"/>
    <cellStyle name="Normal 8 2 2 2 2 2 3" xfId="1368"/>
    <cellStyle name="Normal 8 2 2 2 2 2 3 2" xfId="3598"/>
    <cellStyle name="Normal 8 2 2 2 2 2 3 2 2" xfId="7810"/>
    <cellStyle name="Normal 8 2 2 2 2 2 3 3" xfId="5665"/>
    <cellStyle name="Normal 8 2 2 2 2 2 4" xfId="1781"/>
    <cellStyle name="Normal 8 2 2 2 2 2 4 2" xfId="4011"/>
    <cellStyle name="Normal 8 2 2 2 2 2 4 2 2" xfId="8223"/>
    <cellStyle name="Normal 8 2 2 2 2 2 4 3" xfId="6078"/>
    <cellStyle name="Normal 8 2 2 2 2 2 5" xfId="2195"/>
    <cellStyle name="Normal 8 2 2 2 2 2 5 2" xfId="4424"/>
    <cellStyle name="Normal 8 2 2 2 2 2 5 2 2" xfId="8636"/>
    <cellStyle name="Normal 8 2 2 2 2 2 5 3" xfId="6491"/>
    <cellStyle name="Normal 8 2 2 2 2 2 6" xfId="2631"/>
    <cellStyle name="Normal 8 2 2 2 2 2 6 2" xfId="6904"/>
    <cellStyle name="Normal 8 2 2 2 2 2 7" xfId="4839"/>
    <cellStyle name="Normal 8 2 2 2 2 3" xfId="950"/>
    <cellStyle name="Normal 8 2 2 2 2 3 2" xfId="3184"/>
    <cellStyle name="Normal 8 2 2 2 2 3 2 2" xfId="7396"/>
    <cellStyle name="Normal 8 2 2 2 2 3 3" xfId="5251"/>
    <cellStyle name="Normal 8 2 2 2 2 4" xfId="1367"/>
    <cellStyle name="Normal 8 2 2 2 2 4 2" xfId="3597"/>
    <cellStyle name="Normal 8 2 2 2 2 4 2 2" xfId="7809"/>
    <cellStyle name="Normal 8 2 2 2 2 4 3" xfId="5664"/>
    <cellStyle name="Normal 8 2 2 2 2 5" xfId="1780"/>
    <cellStyle name="Normal 8 2 2 2 2 5 2" xfId="4010"/>
    <cellStyle name="Normal 8 2 2 2 2 5 2 2" xfId="8222"/>
    <cellStyle name="Normal 8 2 2 2 2 5 3" xfId="6077"/>
    <cellStyle name="Normal 8 2 2 2 2 6" xfId="2194"/>
    <cellStyle name="Normal 8 2 2 2 2 6 2" xfId="4423"/>
    <cellStyle name="Normal 8 2 2 2 2 6 2 2" xfId="8635"/>
    <cellStyle name="Normal 8 2 2 2 2 6 3" xfId="6490"/>
    <cellStyle name="Normal 8 2 2 2 2 7" xfId="2630"/>
    <cellStyle name="Normal 8 2 2 2 2 7 2" xfId="6903"/>
    <cellStyle name="Normal 8 2 2 2 2 8" xfId="4838"/>
    <cellStyle name="Normal 8 2 2 2 3" xfId="484"/>
    <cellStyle name="Normal 8 2 2 2 3 2" xfId="952"/>
    <cellStyle name="Normal 8 2 2 2 3 2 2" xfId="3186"/>
    <cellStyle name="Normal 8 2 2 2 3 2 2 2" xfId="7398"/>
    <cellStyle name="Normal 8 2 2 2 3 2 3" xfId="5253"/>
    <cellStyle name="Normal 8 2 2 2 3 3" xfId="1369"/>
    <cellStyle name="Normal 8 2 2 2 3 3 2" xfId="3599"/>
    <cellStyle name="Normal 8 2 2 2 3 3 2 2" xfId="7811"/>
    <cellStyle name="Normal 8 2 2 2 3 3 3" xfId="5666"/>
    <cellStyle name="Normal 8 2 2 2 3 4" xfId="1782"/>
    <cellStyle name="Normal 8 2 2 2 3 4 2" xfId="4012"/>
    <cellStyle name="Normal 8 2 2 2 3 4 2 2" xfId="8224"/>
    <cellStyle name="Normal 8 2 2 2 3 4 3" xfId="6079"/>
    <cellStyle name="Normal 8 2 2 2 3 5" xfId="2196"/>
    <cellStyle name="Normal 8 2 2 2 3 5 2" xfId="4425"/>
    <cellStyle name="Normal 8 2 2 2 3 5 2 2" xfId="8637"/>
    <cellStyle name="Normal 8 2 2 2 3 5 3" xfId="6492"/>
    <cellStyle name="Normal 8 2 2 2 3 6" xfId="2632"/>
    <cellStyle name="Normal 8 2 2 2 3 6 2" xfId="6905"/>
    <cellStyle name="Normal 8 2 2 2 3 7" xfId="4840"/>
    <cellStyle name="Normal 8 2 2 2 4" xfId="949"/>
    <cellStyle name="Normal 8 2 2 2 4 2" xfId="3183"/>
    <cellStyle name="Normal 8 2 2 2 4 2 2" xfId="7395"/>
    <cellStyle name="Normal 8 2 2 2 4 3" xfId="5250"/>
    <cellStyle name="Normal 8 2 2 2 5" xfId="1366"/>
    <cellStyle name="Normal 8 2 2 2 5 2" xfId="3596"/>
    <cellStyle name="Normal 8 2 2 2 5 2 2" xfId="7808"/>
    <cellStyle name="Normal 8 2 2 2 5 3" xfId="5663"/>
    <cellStyle name="Normal 8 2 2 2 6" xfId="1779"/>
    <cellStyle name="Normal 8 2 2 2 6 2" xfId="4009"/>
    <cellStyle name="Normal 8 2 2 2 6 2 2" xfId="8221"/>
    <cellStyle name="Normal 8 2 2 2 6 3" xfId="6076"/>
    <cellStyle name="Normal 8 2 2 2 7" xfId="2193"/>
    <cellStyle name="Normal 8 2 2 2 7 2" xfId="4422"/>
    <cellStyle name="Normal 8 2 2 2 7 2 2" xfId="8634"/>
    <cellStyle name="Normal 8 2 2 2 7 3" xfId="6489"/>
    <cellStyle name="Normal 8 2 2 2 8" xfId="2629"/>
    <cellStyle name="Normal 8 2 2 2 8 2" xfId="6902"/>
    <cellStyle name="Normal 8 2 2 2 9" xfId="4837"/>
    <cellStyle name="Normal 8 2 2 3" xfId="485"/>
    <cellStyle name="Normal 8 2 2 3 2" xfId="486"/>
    <cellStyle name="Normal 8 2 2 3 2 2" xfId="954"/>
    <cellStyle name="Normal 8 2 2 3 2 2 2" xfId="3188"/>
    <cellStyle name="Normal 8 2 2 3 2 2 2 2" xfId="7400"/>
    <cellStyle name="Normal 8 2 2 3 2 2 3" xfId="5255"/>
    <cellStyle name="Normal 8 2 2 3 2 3" xfId="1371"/>
    <cellStyle name="Normal 8 2 2 3 2 3 2" xfId="3601"/>
    <cellStyle name="Normal 8 2 2 3 2 3 2 2" xfId="7813"/>
    <cellStyle name="Normal 8 2 2 3 2 3 3" xfId="5668"/>
    <cellStyle name="Normal 8 2 2 3 2 4" xfId="1784"/>
    <cellStyle name="Normal 8 2 2 3 2 4 2" xfId="4014"/>
    <cellStyle name="Normal 8 2 2 3 2 4 2 2" xfId="8226"/>
    <cellStyle name="Normal 8 2 2 3 2 4 3" xfId="6081"/>
    <cellStyle name="Normal 8 2 2 3 2 5" xfId="2198"/>
    <cellStyle name="Normal 8 2 2 3 2 5 2" xfId="4427"/>
    <cellStyle name="Normal 8 2 2 3 2 5 2 2" xfId="8639"/>
    <cellStyle name="Normal 8 2 2 3 2 5 3" xfId="6494"/>
    <cellStyle name="Normal 8 2 2 3 2 6" xfId="2634"/>
    <cellStyle name="Normal 8 2 2 3 2 6 2" xfId="6907"/>
    <cellStyle name="Normal 8 2 2 3 2 7" xfId="4842"/>
    <cellStyle name="Normal 8 2 2 3 3" xfId="953"/>
    <cellStyle name="Normal 8 2 2 3 3 2" xfId="3187"/>
    <cellStyle name="Normal 8 2 2 3 3 2 2" xfId="7399"/>
    <cellStyle name="Normal 8 2 2 3 3 3" xfId="5254"/>
    <cellStyle name="Normal 8 2 2 3 4" xfId="1370"/>
    <cellStyle name="Normal 8 2 2 3 4 2" xfId="3600"/>
    <cellStyle name="Normal 8 2 2 3 4 2 2" xfId="7812"/>
    <cellStyle name="Normal 8 2 2 3 4 3" xfId="5667"/>
    <cellStyle name="Normal 8 2 2 3 5" xfId="1783"/>
    <cellStyle name="Normal 8 2 2 3 5 2" xfId="4013"/>
    <cellStyle name="Normal 8 2 2 3 5 2 2" xfId="8225"/>
    <cellStyle name="Normal 8 2 2 3 5 3" xfId="6080"/>
    <cellStyle name="Normal 8 2 2 3 6" xfId="2197"/>
    <cellStyle name="Normal 8 2 2 3 6 2" xfId="4426"/>
    <cellStyle name="Normal 8 2 2 3 6 2 2" xfId="8638"/>
    <cellStyle name="Normal 8 2 2 3 6 3" xfId="6493"/>
    <cellStyle name="Normal 8 2 2 3 7" xfId="2633"/>
    <cellStyle name="Normal 8 2 2 3 7 2" xfId="6906"/>
    <cellStyle name="Normal 8 2 2 3 8" xfId="4841"/>
    <cellStyle name="Normal 8 2 2 4" xfId="487"/>
    <cellStyle name="Normal 8 2 2 4 2" xfId="955"/>
    <cellStyle name="Normal 8 2 2 4 2 2" xfId="3189"/>
    <cellStyle name="Normal 8 2 2 4 2 2 2" xfId="7401"/>
    <cellStyle name="Normal 8 2 2 4 2 3" xfId="5256"/>
    <cellStyle name="Normal 8 2 2 4 3" xfId="1372"/>
    <cellStyle name="Normal 8 2 2 4 3 2" xfId="3602"/>
    <cellStyle name="Normal 8 2 2 4 3 2 2" xfId="7814"/>
    <cellStyle name="Normal 8 2 2 4 3 3" xfId="5669"/>
    <cellStyle name="Normal 8 2 2 4 4" xfId="1785"/>
    <cellStyle name="Normal 8 2 2 4 4 2" xfId="4015"/>
    <cellStyle name="Normal 8 2 2 4 4 2 2" xfId="8227"/>
    <cellStyle name="Normal 8 2 2 4 4 3" xfId="6082"/>
    <cellStyle name="Normal 8 2 2 4 5" xfId="2199"/>
    <cellStyle name="Normal 8 2 2 4 5 2" xfId="4428"/>
    <cellStyle name="Normal 8 2 2 4 5 2 2" xfId="8640"/>
    <cellStyle name="Normal 8 2 2 4 5 3" xfId="6495"/>
    <cellStyle name="Normal 8 2 2 4 6" xfId="2635"/>
    <cellStyle name="Normal 8 2 2 4 6 2" xfId="6908"/>
    <cellStyle name="Normal 8 2 2 4 7" xfId="4843"/>
    <cellStyle name="Normal 8 2 2 5" xfId="948"/>
    <cellStyle name="Normal 8 2 2 5 2" xfId="3182"/>
    <cellStyle name="Normal 8 2 2 5 2 2" xfId="7394"/>
    <cellStyle name="Normal 8 2 2 5 3" xfId="5249"/>
    <cellStyle name="Normal 8 2 2 6" xfId="1365"/>
    <cellStyle name="Normal 8 2 2 6 2" xfId="3595"/>
    <cellStyle name="Normal 8 2 2 6 2 2" xfId="7807"/>
    <cellStyle name="Normal 8 2 2 6 3" xfId="5662"/>
    <cellStyle name="Normal 8 2 2 7" xfId="1778"/>
    <cellStyle name="Normal 8 2 2 7 2" xfId="4008"/>
    <cellStyle name="Normal 8 2 2 7 2 2" xfId="8220"/>
    <cellStyle name="Normal 8 2 2 7 3" xfId="6075"/>
    <cellStyle name="Normal 8 2 2 8" xfId="2192"/>
    <cellStyle name="Normal 8 2 2 8 2" xfId="4421"/>
    <cellStyle name="Normal 8 2 2 8 2 2" xfId="8633"/>
    <cellStyle name="Normal 8 2 2 8 3" xfId="6488"/>
    <cellStyle name="Normal 8 2 2 9" xfId="2628"/>
    <cellStyle name="Normal 8 2 2 9 2" xfId="6901"/>
    <cellStyle name="Normal 8 2 3" xfId="488"/>
    <cellStyle name="Normal 8 2 3 2" xfId="489"/>
    <cellStyle name="Normal 8 2 3 2 2" xfId="490"/>
    <cellStyle name="Normal 8 2 3 2 2 2" xfId="958"/>
    <cellStyle name="Normal 8 2 3 2 2 2 2" xfId="3192"/>
    <cellStyle name="Normal 8 2 3 2 2 2 2 2" xfId="7404"/>
    <cellStyle name="Normal 8 2 3 2 2 2 3" xfId="5259"/>
    <cellStyle name="Normal 8 2 3 2 2 3" xfId="1375"/>
    <cellStyle name="Normal 8 2 3 2 2 3 2" xfId="3605"/>
    <cellStyle name="Normal 8 2 3 2 2 3 2 2" xfId="7817"/>
    <cellStyle name="Normal 8 2 3 2 2 3 3" xfId="5672"/>
    <cellStyle name="Normal 8 2 3 2 2 4" xfId="1788"/>
    <cellStyle name="Normal 8 2 3 2 2 4 2" xfId="4018"/>
    <cellStyle name="Normal 8 2 3 2 2 4 2 2" xfId="8230"/>
    <cellStyle name="Normal 8 2 3 2 2 4 3" xfId="6085"/>
    <cellStyle name="Normal 8 2 3 2 2 5" xfId="2202"/>
    <cellStyle name="Normal 8 2 3 2 2 5 2" xfId="4431"/>
    <cellStyle name="Normal 8 2 3 2 2 5 2 2" xfId="8643"/>
    <cellStyle name="Normal 8 2 3 2 2 5 3" xfId="6498"/>
    <cellStyle name="Normal 8 2 3 2 2 6" xfId="2638"/>
    <cellStyle name="Normal 8 2 3 2 2 6 2" xfId="6911"/>
    <cellStyle name="Normal 8 2 3 2 2 7" xfId="4846"/>
    <cellStyle name="Normal 8 2 3 2 3" xfId="957"/>
    <cellStyle name="Normal 8 2 3 2 3 2" xfId="3191"/>
    <cellStyle name="Normal 8 2 3 2 3 2 2" xfId="7403"/>
    <cellStyle name="Normal 8 2 3 2 3 3" xfId="5258"/>
    <cellStyle name="Normal 8 2 3 2 4" xfId="1374"/>
    <cellStyle name="Normal 8 2 3 2 4 2" xfId="3604"/>
    <cellStyle name="Normal 8 2 3 2 4 2 2" xfId="7816"/>
    <cellStyle name="Normal 8 2 3 2 4 3" xfId="5671"/>
    <cellStyle name="Normal 8 2 3 2 5" xfId="1787"/>
    <cellStyle name="Normal 8 2 3 2 5 2" xfId="4017"/>
    <cellStyle name="Normal 8 2 3 2 5 2 2" xfId="8229"/>
    <cellStyle name="Normal 8 2 3 2 5 3" xfId="6084"/>
    <cellStyle name="Normal 8 2 3 2 6" xfId="2201"/>
    <cellStyle name="Normal 8 2 3 2 6 2" xfId="4430"/>
    <cellStyle name="Normal 8 2 3 2 6 2 2" xfId="8642"/>
    <cellStyle name="Normal 8 2 3 2 6 3" xfId="6497"/>
    <cellStyle name="Normal 8 2 3 2 7" xfId="2637"/>
    <cellStyle name="Normal 8 2 3 2 7 2" xfId="6910"/>
    <cellStyle name="Normal 8 2 3 2 8" xfId="4845"/>
    <cellStyle name="Normal 8 2 3 3" xfId="491"/>
    <cellStyle name="Normal 8 2 3 3 2" xfId="959"/>
    <cellStyle name="Normal 8 2 3 3 2 2" xfId="3193"/>
    <cellStyle name="Normal 8 2 3 3 2 2 2" xfId="7405"/>
    <cellStyle name="Normal 8 2 3 3 2 3" xfId="5260"/>
    <cellStyle name="Normal 8 2 3 3 3" xfId="1376"/>
    <cellStyle name="Normal 8 2 3 3 3 2" xfId="3606"/>
    <cellStyle name="Normal 8 2 3 3 3 2 2" xfId="7818"/>
    <cellStyle name="Normal 8 2 3 3 3 3" xfId="5673"/>
    <cellStyle name="Normal 8 2 3 3 4" xfId="1789"/>
    <cellStyle name="Normal 8 2 3 3 4 2" xfId="4019"/>
    <cellStyle name="Normal 8 2 3 3 4 2 2" xfId="8231"/>
    <cellStyle name="Normal 8 2 3 3 4 3" xfId="6086"/>
    <cellStyle name="Normal 8 2 3 3 5" xfId="2203"/>
    <cellStyle name="Normal 8 2 3 3 5 2" xfId="4432"/>
    <cellStyle name="Normal 8 2 3 3 5 2 2" xfId="8644"/>
    <cellStyle name="Normal 8 2 3 3 5 3" xfId="6499"/>
    <cellStyle name="Normal 8 2 3 3 6" xfId="2639"/>
    <cellStyle name="Normal 8 2 3 3 6 2" xfId="6912"/>
    <cellStyle name="Normal 8 2 3 3 7" xfId="4847"/>
    <cellStyle name="Normal 8 2 3 4" xfId="956"/>
    <cellStyle name="Normal 8 2 3 4 2" xfId="3190"/>
    <cellStyle name="Normal 8 2 3 4 2 2" xfId="7402"/>
    <cellStyle name="Normal 8 2 3 4 3" xfId="5257"/>
    <cellStyle name="Normal 8 2 3 5" xfId="1373"/>
    <cellStyle name="Normal 8 2 3 5 2" xfId="3603"/>
    <cellStyle name="Normal 8 2 3 5 2 2" xfId="7815"/>
    <cellStyle name="Normal 8 2 3 5 3" xfId="5670"/>
    <cellStyle name="Normal 8 2 3 6" xfId="1786"/>
    <cellStyle name="Normal 8 2 3 6 2" xfId="4016"/>
    <cellStyle name="Normal 8 2 3 6 2 2" xfId="8228"/>
    <cellStyle name="Normal 8 2 3 6 3" xfId="6083"/>
    <cellStyle name="Normal 8 2 3 7" xfId="2200"/>
    <cellStyle name="Normal 8 2 3 7 2" xfId="4429"/>
    <cellStyle name="Normal 8 2 3 7 2 2" xfId="8641"/>
    <cellStyle name="Normal 8 2 3 7 3" xfId="6496"/>
    <cellStyle name="Normal 8 2 3 8" xfId="2636"/>
    <cellStyle name="Normal 8 2 3 8 2" xfId="6909"/>
    <cellStyle name="Normal 8 2 3 9" xfId="4844"/>
    <cellStyle name="Normal 8 2 4" xfId="492"/>
    <cellStyle name="Normal 8 2 4 2" xfId="493"/>
    <cellStyle name="Normal 8 2 4 2 2" xfId="961"/>
    <cellStyle name="Normal 8 2 4 2 2 2" xfId="3195"/>
    <cellStyle name="Normal 8 2 4 2 2 2 2" xfId="7407"/>
    <cellStyle name="Normal 8 2 4 2 2 3" xfId="5262"/>
    <cellStyle name="Normal 8 2 4 2 3" xfId="1378"/>
    <cellStyle name="Normal 8 2 4 2 3 2" xfId="3608"/>
    <cellStyle name="Normal 8 2 4 2 3 2 2" xfId="7820"/>
    <cellStyle name="Normal 8 2 4 2 3 3" xfId="5675"/>
    <cellStyle name="Normal 8 2 4 2 4" xfId="1791"/>
    <cellStyle name="Normal 8 2 4 2 4 2" xfId="4021"/>
    <cellStyle name="Normal 8 2 4 2 4 2 2" xfId="8233"/>
    <cellStyle name="Normal 8 2 4 2 4 3" xfId="6088"/>
    <cellStyle name="Normal 8 2 4 2 5" xfId="2205"/>
    <cellStyle name="Normal 8 2 4 2 5 2" xfId="4434"/>
    <cellStyle name="Normal 8 2 4 2 5 2 2" xfId="8646"/>
    <cellStyle name="Normal 8 2 4 2 5 3" xfId="6501"/>
    <cellStyle name="Normal 8 2 4 2 6" xfId="2641"/>
    <cellStyle name="Normal 8 2 4 2 6 2" xfId="6914"/>
    <cellStyle name="Normal 8 2 4 2 7" xfId="4849"/>
    <cellStyle name="Normal 8 2 4 3" xfId="960"/>
    <cellStyle name="Normal 8 2 4 3 2" xfId="3194"/>
    <cellStyle name="Normal 8 2 4 3 2 2" xfId="7406"/>
    <cellStyle name="Normal 8 2 4 3 3" xfId="5261"/>
    <cellStyle name="Normal 8 2 4 4" xfId="1377"/>
    <cellStyle name="Normal 8 2 4 4 2" xfId="3607"/>
    <cellStyle name="Normal 8 2 4 4 2 2" xfId="7819"/>
    <cellStyle name="Normal 8 2 4 4 3" xfId="5674"/>
    <cellStyle name="Normal 8 2 4 5" xfId="1790"/>
    <cellStyle name="Normal 8 2 4 5 2" xfId="4020"/>
    <cellStyle name="Normal 8 2 4 5 2 2" xfId="8232"/>
    <cellStyle name="Normal 8 2 4 5 3" xfId="6087"/>
    <cellStyle name="Normal 8 2 4 6" xfId="2204"/>
    <cellStyle name="Normal 8 2 4 6 2" xfId="4433"/>
    <cellStyle name="Normal 8 2 4 6 2 2" xfId="8645"/>
    <cellStyle name="Normal 8 2 4 6 3" xfId="6500"/>
    <cellStyle name="Normal 8 2 4 7" xfId="2640"/>
    <cellStyle name="Normal 8 2 4 7 2" xfId="6913"/>
    <cellStyle name="Normal 8 2 4 8" xfId="4848"/>
    <cellStyle name="Normal 8 2 5" xfId="494"/>
    <cellStyle name="Normal 8 2 5 2" xfId="962"/>
    <cellStyle name="Normal 8 2 5 2 2" xfId="3196"/>
    <cellStyle name="Normal 8 2 5 2 2 2" xfId="7408"/>
    <cellStyle name="Normal 8 2 5 2 3" xfId="5263"/>
    <cellStyle name="Normal 8 2 5 3" xfId="1379"/>
    <cellStyle name="Normal 8 2 5 3 2" xfId="3609"/>
    <cellStyle name="Normal 8 2 5 3 2 2" xfId="7821"/>
    <cellStyle name="Normal 8 2 5 3 3" xfId="5676"/>
    <cellStyle name="Normal 8 2 5 4" xfId="1792"/>
    <cellStyle name="Normal 8 2 5 4 2" xfId="4022"/>
    <cellStyle name="Normal 8 2 5 4 2 2" xfId="8234"/>
    <cellStyle name="Normal 8 2 5 4 3" xfId="6089"/>
    <cellStyle name="Normal 8 2 5 5" xfId="2206"/>
    <cellStyle name="Normal 8 2 5 5 2" xfId="4435"/>
    <cellStyle name="Normal 8 2 5 5 2 2" xfId="8647"/>
    <cellStyle name="Normal 8 2 5 5 3" xfId="6502"/>
    <cellStyle name="Normal 8 2 5 6" xfId="2642"/>
    <cellStyle name="Normal 8 2 5 6 2" xfId="6915"/>
    <cellStyle name="Normal 8 2 5 7" xfId="4850"/>
    <cellStyle name="Normal 8 2 6" xfId="947"/>
    <cellStyle name="Normal 8 2 6 2" xfId="3181"/>
    <cellStyle name="Normal 8 2 6 2 2" xfId="7393"/>
    <cellStyle name="Normal 8 2 6 3" xfId="5248"/>
    <cellStyle name="Normal 8 2 7" xfId="1364"/>
    <cellStyle name="Normal 8 2 7 2" xfId="3594"/>
    <cellStyle name="Normal 8 2 7 2 2" xfId="7806"/>
    <cellStyle name="Normal 8 2 7 3" xfId="5661"/>
    <cellStyle name="Normal 8 2 8" xfId="1777"/>
    <cellStyle name="Normal 8 2 8 2" xfId="4007"/>
    <cellStyle name="Normal 8 2 8 2 2" xfId="8219"/>
    <cellStyle name="Normal 8 2 8 3" xfId="6074"/>
    <cellStyle name="Normal 8 2 9" xfId="2191"/>
    <cellStyle name="Normal 8 2 9 2" xfId="4420"/>
    <cellStyle name="Normal 8 2 9 2 2" xfId="8632"/>
    <cellStyle name="Normal 8 2 9 3" xfId="6487"/>
    <cellStyle name="Normal 8 3" xfId="495"/>
    <cellStyle name="Normal 8 3 10" xfId="4851"/>
    <cellStyle name="Normal 8 3 2" xfId="496"/>
    <cellStyle name="Normal 8 3 2 2" xfId="497"/>
    <cellStyle name="Normal 8 3 2 2 2" xfId="498"/>
    <cellStyle name="Normal 8 3 2 2 2 2" xfId="966"/>
    <cellStyle name="Normal 8 3 2 2 2 2 2" xfId="3200"/>
    <cellStyle name="Normal 8 3 2 2 2 2 2 2" xfId="7412"/>
    <cellStyle name="Normal 8 3 2 2 2 2 3" xfId="5267"/>
    <cellStyle name="Normal 8 3 2 2 2 3" xfId="1383"/>
    <cellStyle name="Normal 8 3 2 2 2 3 2" xfId="3613"/>
    <cellStyle name="Normal 8 3 2 2 2 3 2 2" xfId="7825"/>
    <cellStyle name="Normal 8 3 2 2 2 3 3" xfId="5680"/>
    <cellStyle name="Normal 8 3 2 2 2 4" xfId="1796"/>
    <cellStyle name="Normal 8 3 2 2 2 4 2" xfId="4026"/>
    <cellStyle name="Normal 8 3 2 2 2 4 2 2" xfId="8238"/>
    <cellStyle name="Normal 8 3 2 2 2 4 3" xfId="6093"/>
    <cellStyle name="Normal 8 3 2 2 2 5" xfId="2210"/>
    <cellStyle name="Normal 8 3 2 2 2 5 2" xfId="4439"/>
    <cellStyle name="Normal 8 3 2 2 2 5 2 2" xfId="8651"/>
    <cellStyle name="Normal 8 3 2 2 2 5 3" xfId="6506"/>
    <cellStyle name="Normal 8 3 2 2 2 6" xfId="2646"/>
    <cellStyle name="Normal 8 3 2 2 2 6 2" xfId="6919"/>
    <cellStyle name="Normal 8 3 2 2 2 7" xfId="4854"/>
    <cellStyle name="Normal 8 3 2 2 3" xfId="965"/>
    <cellStyle name="Normal 8 3 2 2 3 2" xfId="3199"/>
    <cellStyle name="Normal 8 3 2 2 3 2 2" xfId="7411"/>
    <cellStyle name="Normal 8 3 2 2 3 3" xfId="5266"/>
    <cellStyle name="Normal 8 3 2 2 4" xfId="1382"/>
    <cellStyle name="Normal 8 3 2 2 4 2" xfId="3612"/>
    <cellStyle name="Normal 8 3 2 2 4 2 2" xfId="7824"/>
    <cellStyle name="Normal 8 3 2 2 4 3" xfId="5679"/>
    <cellStyle name="Normal 8 3 2 2 5" xfId="1795"/>
    <cellStyle name="Normal 8 3 2 2 5 2" xfId="4025"/>
    <cellStyle name="Normal 8 3 2 2 5 2 2" xfId="8237"/>
    <cellStyle name="Normal 8 3 2 2 5 3" xfId="6092"/>
    <cellStyle name="Normal 8 3 2 2 6" xfId="2209"/>
    <cellStyle name="Normal 8 3 2 2 6 2" xfId="4438"/>
    <cellStyle name="Normal 8 3 2 2 6 2 2" xfId="8650"/>
    <cellStyle name="Normal 8 3 2 2 6 3" xfId="6505"/>
    <cellStyle name="Normal 8 3 2 2 7" xfId="2645"/>
    <cellStyle name="Normal 8 3 2 2 7 2" xfId="6918"/>
    <cellStyle name="Normal 8 3 2 2 8" xfId="4853"/>
    <cellStyle name="Normal 8 3 2 3" xfId="499"/>
    <cellStyle name="Normal 8 3 2 3 2" xfId="967"/>
    <cellStyle name="Normal 8 3 2 3 2 2" xfId="3201"/>
    <cellStyle name="Normal 8 3 2 3 2 2 2" xfId="7413"/>
    <cellStyle name="Normal 8 3 2 3 2 3" xfId="5268"/>
    <cellStyle name="Normal 8 3 2 3 3" xfId="1384"/>
    <cellStyle name="Normal 8 3 2 3 3 2" xfId="3614"/>
    <cellStyle name="Normal 8 3 2 3 3 2 2" xfId="7826"/>
    <cellStyle name="Normal 8 3 2 3 3 3" xfId="5681"/>
    <cellStyle name="Normal 8 3 2 3 4" xfId="1797"/>
    <cellStyle name="Normal 8 3 2 3 4 2" xfId="4027"/>
    <cellStyle name="Normal 8 3 2 3 4 2 2" xfId="8239"/>
    <cellStyle name="Normal 8 3 2 3 4 3" xfId="6094"/>
    <cellStyle name="Normal 8 3 2 3 5" xfId="2211"/>
    <cellStyle name="Normal 8 3 2 3 5 2" xfId="4440"/>
    <cellStyle name="Normal 8 3 2 3 5 2 2" xfId="8652"/>
    <cellStyle name="Normal 8 3 2 3 5 3" xfId="6507"/>
    <cellStyle name="Normal 8 3 2 3 6" xfId="2647"/>
    <cellStyle name="Normal 8 3 2 3 6 2" xfId="6920"/>
    <cellStyle name="Normal 8 3 2 3 7" xfId="4855"/>
    <cellStyle name="Normal 8 3 2 4" xfId="964"/>
    <cellStyle name="Normal 8 3 2 4 2" xfId="3198"/>
    <cellStyle name="Normal 8 3 2 4 2 2" xfId="7410"/>
    <cellStyle name="Normal 8 3 2 4 3" xfId="5265"/>
    <cellStyle name="Normal 8 3 2 5" xfId="1381"/>
    <cellStyle name="Normal 8 3 2 5 2" xfId="3611"/>
    <cellStyle name="Normal 8 3 2 5 2 2" xfId="7823"/>
    <cellStyle name="Normal 8 3 2 5 3" xfId="5678"/>
    <cellStyle name="Normal 8 3 2 6" xfId="1794"/>
    <cellStyle name="Normal 8 3 2 6 2" xfId="4024"/>
    <cellStyle name="Normal 8 3 2 6 2 2" xfId="8236"/>
    <cellStyle name="Normal 8 3 2 6 3" xfId="6091"/>
    <cellStyle name="Normal 8 3 2 7" xfId="2208"/>
    <cellStyle name="Normal 8 3 2 7 2" xfId="4437"/>
    <cellStyle name="Normal 8 3 2 7 2 2" xfId="8649"/>
    <cellStyle name="Normal 8 3 2 7 3" xfId="6504"/>
    <cellStyle name="Normal 8 3 2 8" xfId="2644"/>
    <cellStyle name="Normal 8 3 2 8 2" xfId="6917"/>
    <cellStyle name="Normal 8 3 2 9" xfId="4852"/>
    <cellStyle name="Normal 8 3 3" xfId="500"/>
    <cellStyle name="Normal 8 3 3 2" xfId="501"/>
    <cellStyle name="Normal 8 3 3 2 2" xfId="969"/>
    <cellStyle name="Normal 8 3 3 2 2 2" xfId="3203"/>
    <cellStyle name="Normal 8 3 3 2 2 2 2" xfId="7415"/>
    <cellStyle name="Normal 8 3 3 2 2 3" xfId="5270"/>
    <cellStyle name="Normal 8 3 3 2 3" xfId="1386"/>
    <cellStyle name="Normal 8 3 3 2 3 2" xfId="3616"/>
    <cellStyle name="Normal 8 3 3 2 3 2 2" xfId="7828"/>
    <cellStyle name="Normal 8 3 3 2 3 3" xfId="5683"/>
    <cellStyle name="Normal 8 3 3 2 4" xfId="1799"/>
    <cellStyle name="Normal 8 3 3 2 4 2" xfId="4029"/>
    <cellStyle name="Normal 8 3 3 2 4 2 2" xfId="8241"/>
    <cellStyle name="Normal 8 3 3 2 4 3" xfId="6096"/>
    <cellStyle name="Normal 8 3 3 2 5" xfId="2213"/>
    <cellStyle name="Normal 8 3 3 2 5 2" xfId="4442"/>
    <cellStyle name="Normal 8 3 3 2 5 2 2" xfId="8654"/>
    <cellStyle name="Normal 8 3 3 2 5 3" xfId="6509"/>
    <cellStyle name="Normal 8 3 3 2 6" xfId="2649"/>
    <cellStyle name="Normal 8 3 3 2 6 2" xfId="6922"/>
    <cellStyle name="Normal 8 3 3 2 7" xfId="4857"/>
    <cellStyle name="Normal 8 3 3 3" xfId="968"/>
    <cellStyle name="Normal 8 3 3 3 2" xfId="3202"/>
    <cellStyle name="Normal 8 3 3 3 2 2" xfId="7414"/>
    <cellStyle name="Normal 8 3 3 3 3" xfId="5269"/>
    <cellStyle name="Normal 8 3 3 4" xfId="1385"/>
    <cellStyle name="Normal 8 3 3 4 2" xfId="3615"/>
    <cellStyle name="Normal 8 3 3 4 2 2" xfId="7827"/>
    <cellStyle name="Normal 8 3 3 4 3" xfId="5682"/>
    <cellStyle name="Normal 8 3 3 5" xfId="1798"/>
    <cellStyle name="Normal 8 3 3 5 2" xfId="4028"/>
    <cellStyle name="Normal 8 3 3 5 2 2" xfId="8240"/>
    <cellStyle name="Normal 8 3 3 5 3" xfId="6095"/>
    <cellStyle name="Normal 8 3 3 6" xfId="2212"/>
    <cellStyle name="Normal 8 3 3 6 2" xfId="4441"/>
    <cellStyle name="Normal 8 3 3 6 2 2" xfId="8653"/>
    <cellStyle name="Normal 8 3 3 6 3" xfId="6508"/>
    <cellStyle name="Normal 8 3 3 7" xfId="2648"/>
    <cellStyle name="Normal 8 3 3 7 2" xfId="6921"/>
    <cellStyle name="Normal 8 3 3 8" xfId="4856"/>
    <cellStyle name="Normal 8 3 4" xfId="502"/>
    <cellStyle name="Normal 8 3 4 2" xfId="970"/>
    <cellStyle name="Normal 8 3 4 2 2" xfId="3204"/>
    <cellStyle name="Normal 8 3 4 2 2 2" xfId="7416"/>
    <cellStyle name="Normal 8 3 4 2 3" xfId="5271"/>
    <cellStyle name="Normal 8 3 4 3" xfId="1387"/>
    <cellStyle name="Normal 8 3 4 3 2" xfId="3617"/>
    <cellStyle name="Normal 8 3 4 3 2 2" xfId="7829"/>
    <cellStyle name="Normal 8 3 4 3 3" xfId="5684"/>
    <cellStyle name="Normal 8 3 4 4" xfId="1800"/>
    <cellStyle name="Normal 8 3 4 4 2" xfId="4030"/>
    <cellStyle name="Normal 8 3 4 4 2 2" xfId="8242"/>
    <cellStyle name="Normal 8 3 4 4 3" xfId="6097"/>
    <cellStyle name="Normal 8 3 4 5" xfId="2214"/>
    <cellStyle name="Normal 8 3 4 5 2" xfId="4443"/>
    <cellStyle name="Normal 8 3 4 5 2 2" xfId="8655"/>
    <cellStyle name="Normal 8 3 4 5 3" xfId="6510"/>
    <cellStyle name="Normal 8 3 4 6" xfId="2650"/>
    <cellStyle name="Normal 8 3 4 6 2" xfId="6923"/>
    <cellStyle name="Normal 8 3 4 7" xfId="4858"/>
    <cellStyle name="Normal 8 3 5" xfId="963"/>
    <cellStyle name="Normal 8 3 5 2" xfId="3197"/>
    <cellStyle name="Normal 8 3 5 2 2" xfId="7409"/>
    <cellStyle name="Normal 8 3 5 3" xfId="5264"/>
    <cellStyle name="Normal 8 3 6" xfId="1380"/>
    <cellStyle name="Normal 8 3 6 2" xfId="3610"/>
    <cellStyle name="Normal 8 3 6 2 2" xfId="7822"/>
    <cellStyle name="Normal 8 3 6 3" xfId="5677"/>
    <cellStyle name="Normal 8 3 7" xfId="1793"/>
    <cellStyle name="Normal 8 3 7 2" xfId="4023"/>
    <cellStyle name="Normal 8 3 7 2 2" xfId="8235"/>
    <cellStyle name="Normal 8 3 7 3" xfId="6090"/>
    <cellStyle name="Normal 8 3 8" xfId="2207"/>
    <cellStyle name="Normal 8 3 8 2" xfId="4436"/>
    <cellStyle name="Normal 8 3 8 2 2" xfId="8648"/>
    <cellStyle name="Normal 8 3 8 3" xfId="6503"/>
    <cellStyle name="Normal 8 3 9" xfId="2643"/>
    <cellStyle name="Normal 8 3 9 2" xfId="6916"/>
    <cellStyle name="Normal 8 4" xfId="503"/>
    <cellStyle name="Normal 8 4 2" xfId="504"/>
    <cellStyle name="Normal 8 4 2 2" xfId="505"/>
    <cellStyle name="Normal 8 4 2 2 2" xfId="973"/>
    <cellStyle name="Normal 8 4 2 2 2 2" xfId="3207"/>
    <cellStyle name="Normal 8 4 2 2 2 2 2" xfId="7419"/>
    <cellStyle name="Normal 8 4 2 2 2 3" xfId="5274"/>
    <cellStyle name="Normal 8 4 2 2 3" xfId="1390"/>
    <cellStyle name="Normal 8 4 2 2 3 2" xfId="3620"/>
    <cellStyle name="Normal 8 4 2 2 3 2 2" xfId="7832"/>
    <cellStyle name="Normal 8 4 2 2 3 3" xfId="5687"/>
    <cellStyle name="Normal 8 4 2 2 4" xfId="1803"/>
    <cellStyle name="Normal 8 4 2 2 4 2" xfId="4033"/>
    <cellStyle name="Normal 8 4 2 2 4 2 2" xfId="8245"/>
    <cellStyle name="Normal 8 4 2 2 4 3" xfId="6100"/>
    <cellStyle name="Normal 8 4 2 2 5" xfId="2217"/>
    <cellStyle name="Normal 8 4 2 2 5 2" xfId="4446"/>
    <cellStyle name="Normal 8 4 2 2 5 2 2" xfId="8658"/>
    <cellStyle name="Normal 8 4 2 2 5 3" xfId="6513"/>
    <cellStyle name="Normal 8 4 2 2 6" xfId="2653"/>
    <cellStyle name="Normal 8 4 2 2 6 2" xfId="6926"/>
    <cellStyle name="Normal 8 4 2 2 7" xfId="4861"/>
    <cellStyle name="Normal 8 4 2 3" xfId="972"/>
    <cellStyle name="Normal 8 4 2 3 2" xfId="3206"/>
    <cellStyle name="Normal 8 4 2 3 2 2" xfId="7418"/>
    <cellStyle name="Normal 8 4 2 3 3" xfId="5273"/>
    <cellStyle name="Normal 8 4 2 4" xfId="1389"/>
    <cellStyle name="Normal 8 4 2 4 2" xfId="3619"/>
    <cellStyle name="Normal 8 4 2 4 2 2" xfId="7831"/>
    <cellStyle name="Normal 8 4 2 4 3" xfId="5686"/>
    <cellStyle name="Normal 8 4 2 5" xfId="1802"/>
    <cellStyle name="Normal 8 4 2 5 2" xfId="4032"/>
    <cellStyle name="Normal 8 4 2 5 2 2" xfId="8244"/>
    <cellStyle name="Normal 8 4 2 5 3" xfId="6099"/>
    <cellStyle name="Normal 8 4 2 6" xfId="2216"/>
    <cellStyle name="Normal 8 4 2 6 2" xfId="4445"/>
    <cellStyle name="Normal 8 4 2 6 2 2" xfId="8657"/>
    <cellStyle name="Normal 8 4 2 6 3" xfId="6512"/>
    <cellStyle name="Normal 8 4 2 7" xfId="2652"/>
    <cellStyle name="Normal 8 4 2 7 2" xfId="6925"/>
    <cellStyle name="Normal 8 4 2 8" xfId="4860"/>
    <cellStyle name="Normal 8 4 3" xfId="506"/>
    <cellStyle name="Normal 8 4 3 2" xfId="974"/>
    <cellStyle name="Normal 8 4 3 2 2" xfId="3208"/>
    <cellStyle name="Normal 8 4 3 2 2 2" xfId="7420"/>
    <cellStyle name="Normal 8 4 3 2 3" xfId="5275"/>
    <cellStyle name="Normal 8 4 3 3" xfId="1391"/>
    <cellStyle name="Normal 8 4 3 3 2" xfId="3621"/>
    <cellStyle name="Normal 8 4 3 3 2 2" xfId="7833"/>
    <cellStyle name="Normal 8 4 3 3 3" xfId="5688"/>
    <cellStyle name="Normal 8 4 3 4" xfId="1804"/>
    <cellStyle name="Normal 8 4 3 4 2" xfId="4034"/>
    <cellStyle name="Normal 8 4 3 4 2 2" xfId="8246"/>
    <cellStyle name="Normal 8 4 3 4 3" xfId="6101"/>
    <cellStyle name="Normal 8 4 3 5" xfId="2218"/>
    <cellStyle name="Normal 8 4 3 5 2" xfId="4447"/>
    <cellStyle name="Normal 8 4 3 5 2 2" xfId="8659"/>
    <cellStyle name="Normal 8 4 3 5 3" xfId="6514"/>
    <cellStyle name="Normal 8 4 3 6" xfId="2654"/>
    <cellStyle name="Normal 8 4 3 6 2" xfId="6927"/>
    <cellStyle name="Normal 8 4 3 7" xfId="4862"/>
    <cellStyle name="Normal 8 4 4" xfId="971"/>
    <cellStyle name="Normal 8 4 4 2" xfId="3205"/>
    <cellStyle name="Normal 8 4 4 2 2" xfId="7417"/>
    <cellStyle name="Normal 8 4 4 3" xfId="5272"/>
    <cellStyle name="Normal 8 4 5" xfId="1388"/>
    <cellStyle name="Normal 8 4 5 2" xfId="3618"/>
    <cellStyle name="Normal 8 4 5 2 2" xfId="7830"/>
    <cellStyle name="Normal 8 4 5 3" xfId="5685"/>
    <cellStyle name="Normal 8 4 6" xfId="1801"/>
    <cellStyle name="Normal 8 4 6 2" xfId="4031"/>
    <cellStyle name="Normal 8 4 6 2 2" xfId="8243"/>
    <cellStyle name="Normal 8 4 6 3" xfId="6098"/>
    <cellStyle name="Normal 8 4 7" xfId="2215"/>
    <cellStyle name="Normal 8 4 7 2" xfId="4444"/>
    <cellStyle name="Normal 8 4 7 2 2" xfId="8656"/>
    <cellStyle name="Normal 8 4 7 3" xfId="6511"/>
    <cellStyle name="Normal 8 4 8" xfId="2651"/>
    <cellStyle name="Normal 8 4 8 2" xfId="6924"/>
    <cellStyle name="Normal 8 4 9" xfId="4859"/>
    <cellStyle name="Normal 8 5" xfId="507"/>
    <cellStyle name="Normal 8 5 2" xfId="508"/>
    <cellStyle name="Normal 8 5 2 2" xfId="976"/>
    <cellStyle name="Normal 8 5 2 2 2" xfId="3210"/>
    <cellStyle name="Normal 8 5 2 2 2 2" xfId="7422"/>
    <cellStyle name="Normal 8 5 2 2 3" xfId="5277"/>
    <cellStyle name="Normal 8 5 2 3" xfId="1393"/>
    <cellStyle name="Normal 8 5 2 3 2" xfId="3623"/>
    <cellStyle name="Normal 8 5 2 3 2 2" xfId="7835"/>
    <cellStyle name="Normal 8 5 2 3 3" xfId="5690"/>
    <cellStyle name="Normal 8 5 2 4" xfId="1806"/>
    <cellStyle name="Normal 8 5 2 4 2" xfId="4036"/>
    <cellStyle name="Normal 8 5 2 4 2 2" xfId="8248"/>
    <cellStyle name="Normal 8 5 2 4 3" xfId="6103"/>
    <cellStyle name="Normal 8 5 2 5" xfId="2220"/>
    <cellStyle name="Normal 8 5 2 5 2" xfId="4449"/>
    <cellStyle name="Normal 8 5 2 5 2 2" xfId="8661"/>
    <cellStyle name="Normal 8 5 2 5 3" xfId="6516"/>
    <cellStyle name="Normal 8 5 2 6" xfId="2656"/>
    <cellStyle name="Normal 8 5 2 6 2" xfId="6929"/>
    <cellStyle name="Normal 8 5 2 7" xfId="4864"/>
    <cellStyle name="Normal 8 5 3" xfId="975"/>
    <cellStyle name="Normal 8 5 3 2" xfId="3209"/>
    <cellStyle name="Normal 8 5 3 2 2" xfId="7421"/>
    <cellStyle name="Normal 8 5 3 3" xfId="5276"/>
    <cellStyle name="Normal 8 5 4" xfId="1392"/>
    <cellStyle name="Normal 8 5 4 2" xfId="3622"/>
    <cellStyle name="Normal 8 5 4 2 2" xfId="7834"/>
    <cellStyle name="Normal 8 5 4 3" xfId="5689"/>
    <cellStyle name="Normal 8 5 5" xfId="1805"/>
    <cellStyle name="Normal 8 5 5 2" xfId="4035"/>
    <cellStyle name="Normal 8 5 5 2 2" xfId="8247"/>
    <cellStyle name="Normal 8 5 5 3" xfId="6102"/>
    <cellStyle name="Normal 8 5 6" xfId="2219"/>
    <cellStyle name="Normal 8 5 6 2" xfId="4448"/>
    <cellStyle name="Normal 8 5 6 2 2" xfId="8660"/>
    <cellStyle name="Normal 8 5 6 3" xfId="6515"/>
    <cellStyle name="Normal 8 5 7" xfId="2655"/>
    <cellStyle name="Normal 8 5 7 2" xfId="6928"/>
    <cellStyle name="Normal 8 5 8" xfId="4863"/>
    <cellStyle name="Normal 8 6" xfId="509"/>
    <cellStyle name="Normal 8 6 2" xfId="977"/>
    <cellStyle name="Normal 8 6 2 2" xfId="3211"/>
    <cellStyle name="Normal 8 6 2 2 2" xfId="7423"/>
    <cellStyle name="Normal 8 6 2 3" xfId="5278"/>
    <cellStyle name="Normal 8 6 3" xfId="1394"/>
    <cellStyle name="Normal 8 6 3 2" xfId="3624"/>
    <cellStyle name="Normal 8 6 3 2 2" xfId="7836"/>
    <cellStyle name="Normal 8 6 3 3" xfId="5691"/>
    <cellStyle name="Normal 8 6 4" xfId="1807"/>
    <cellStyle name="Normal 8 6 4 2" xfId="4037"/>
    <cellStyle name="Normal 8 6 4 2 2" xfId="8249"/>
    <cellStyle name="Normal 8 6 4 3" xfId="6104"/>
    <cellStyle name="Normal 8 6 5" xfId="2221"/>
    <cellStyle name="Normal 8 6 5 2" xfId="4450"/>
    <cellStyle name="Normal 8 6 5 2 2" xfId="8662"/>
    <cellStyle name="Normal 8 6 5 3" xfId="6517"/>
    <cellStyle name="Normal 8 6 6" xfId="2657"/>
    <cellStyle name="Normal 8 6 6 2" xfId="6930"/>
    <cellStyle name="Normal 8 6 7" xfId="4865"/>
    <cellStyle name="Normal 8 7" xfId="946"/>
    <cellStyle name="Normal 8 7 2" xfId="3180"/>
    <cellStyle name="Normal 8 7 2 2" xfId="7392"/>
    <cellStyle name="Normal 8 7 3" xfId="5247"/>
    <cellStyle name="Normal 8 8" xfId="1363"/>
    <cellStyle name="Normal 8 8 2" xfId="3593"/>
    <cellStyle name="Normal 8 8 2 2" xfId="7805"/>
    <cellStyle name="Normal 8 8 3" xfId="5660"/>
    <cellStyle name="Normal 8 9" xfId="1776"/>
    <cellStyle name="Normal 8 9 2" xfId="4006"/>
    <cellStyle name="Normal 8 9 2 2" xfId="8218"/>
    <cellStyle name="Normal 8 9 3" xfId="6073"/>
    <cellStyle name="Normal 9" xfId="510"/>
    <cellStyle name="Normal 9 2" xfId="511"/>
    <cellStyle name="Normal 9 2 10" xfId="2658"/>
    <cellStyle name="Normal 9 2 10 2" xfId="6931"/>
    <cellStyle name="Normal 9 2 11" xfId="4866"/>
    <cellStyle name="Normal 9 2 2" xfId="512"/>
    <cellStyle name="Normal 9 2 2 10" xfId="4867"/>
    <cellStyle name="Normal 9 2 2 2" xfId="513"/>
    <cellStyle name="Normal 9 2 2 2 2" xfId="514"/>
    <cellStyle name="Normal 9 2 2 2 2 2" xfId="515"/>
    <cellStyle name="Normal 9 2 2 2 2 2 2" xfId="983"/>
    <cellStyle name="Normal 9 2 2 2 2 2 2 2" xfId="3216"/>
    <cellStyle name="Normal 9 2 2 2 2 2 2 2 2" xfId="7428"/>
    <cellStyle name="Normal 9 2 2 2 2 2 2 3" xfId="5283"/>
    <cellStyle name="Normal 9 2 2 2 2 2 3" xfId="1399"/>
    <cellStyle name="Normal 9 2 2 2 2 2 3 2" xfId="3629"/>
    <cellStyle name="Normal 9 2 2 2 2 2 3 2 2" xfId="7841"/>
    <cellStyle name="Normal 9 2 2 2 2 2 3 3" xfId="5696"/>
    <cellStyle name="Normal 9 2 2 2 2 2 4" xfId="1812"/>
    <cellStyle name="Normal 9 2 2 2 2 2 4 2" xfId="4042"/>
    <cellStyle name="Normal 9 2 2 2 2 2 4 2 2" xfId="8254"/>
    <cellStyle name="Normal 9 2 2 2 2 2 4 3" xfId="6109"/>
    <cellStyle name="Normal 9 2 2 2 2 2 5" xfId="2226"/>
    <cellStyle name="Normal 9 2 2 2 2 2 5 2" xfId="4455"/>
    <cellStyle name="Normal 9 2 2 2 2 2 5 2 2" xfId="8667"/>
    <cellStyle name="Normal 9 2 2 2 2 2 5 3" xfId="6522"/>
    <cellStyle name="Normal 9 2 2 2 2 2 6" xfId="2662"/>
    <cellStyle name="Normal 9 2 2 2 2 2 6 2" xfId="6935"/>
    <cellStyle name="Normal 9 2 2 2 2 2 7" xfId="4870"/>
    <cellStyle name="Normal 9 2 2 2 2 3" xfId="982"/>
    <cellStyle name="Normal 9 2 2 2 2 3 2" xfId="3215"/>
    <cellStyle name="Normal 9 2 2 2 2 3 2 2" xfId="7427"/>
    <cellStyle name="Normal 9 2 2 2 2 3 3" xfId="5282"/>
    <cellStyle name="Normal 9 2 2 2 2 4" xfId="1398"/>
    <cellStyle name="Normal 9 2 2 2 2 4 2" xfId="3628"/>
    <cellStyle name="Normal 9 2 2 2 2 4 2 2" xfId="7840"/>
    <cellStyle name="Normal 9 2 2 2 2 4 3" xfId="5695"/>
    <cellStyle name="Normal 9 2 2 2 2 5" xfId="1811"/>
    <cellStyle name="Normal 9 2 2 2 2 5 2" xfId="4041"/>
    <cellStyle name="Normal 9 2 2 2 2 5 2 2" xfId="8253"/>
    <cellStyle name="Normal 9 2 2 2 2 5 3" xfId="6108"/>
    <cellStyle name="Normal 9 2 2 2 2 6" xfId="2225"/>
    <cellStyle name="Normal 9 2 2 2 2 6 2" xfId="4454"/>
    <cellStyle name="Normal 9 2 2 2 2 6 2 2" xfId="8666"/>
    <cellStyle name="Normal 9 2 2 2 2 6 3" xfId="6521"/>
    <cellStyle name="Normal 9 2 2 2 2 7" xfId="2661"/>
    <cellStyle name="Normal 9 2 2 2 2 7 2" xfId="6934"/>
    <cellStyle name="Normal 9 2 2 2 2 8" xfId="4869"/>
    <cellStyle name="Normal 9 2 2 2 3" xfId="516"/>
    <cellStyle name="Normal 9 2 2 2 3 2" xfId="984"/>
    <cellStyle name="Normal 9 2 2 2 3 2 2" xfId="3217"/>
    <cellStyle name="Normal 9 2 2 2 3 2 2 2" xfId="7429"/>
    <cellStyle name="Normal 9 2 2 2 3 2 3" xfId="5284"/>
    <cellStyle name="Normal 9 2 2 2 3 3" xfId="1400"/>
    <cellStyle name="Normal 9 2 2 2 3 3 2" xfId="3630"/>
    <cellStyle name="Normal 9 2 2 2 3 3 2 2" xfId="7842"/>
    <cellStyle name="Normal 9 2 2 2 3 3 3" xfId="5697"/>
    <cellStyle name="Normal 9 2 2 2 3 4" xfId="1813"/>
    <cellStyle name="Normal 9 2 2 2 3 4 2" xfId="4043"/>
    <cellStyle name="Normal 9 2 2 2 3 4 2 2" xfId="8255"/>
    <cellStyle name="Normal 9 2 2 2 3 4 3" xfId="6110"/>
    <cellStyle name="Normal 9 2 2 2 3 5" xfId="2227"/>
    <cellStyle name="Normal 9 2 2 2 3 5 2" xfId="4456"/>
    <cellStyle name="Normal 9 2 2 2 3 5 2 2" xfId="8668"/>
    <cellStyle name="Normal 9 2 2 2 3 5 3" xfId="6523"/>
    <cellStyle name="Normal 9 2 2 2 3 6" xfId="2663"/>
    <cellStyle name="Normal 9 2 2 2 3 6 2" xfId="6936"/>
    <cellStyle name="Normal 9 2 2 2 3 7" xfId="4871"/>
    <cellStyle name="Normal 9 2 2 2 4" xfId="981"/>
    <cellStyle name="Normal 9 2 2 2 4 2" xfId="3214"/>
    <cellStyle name="Normal 9 2 2 2 4 2 2" xfId="7426"/>
    <cellStyle name="Normal 9 2 2 2 4 3" xfId="5281"/>
    <cellStyle name="Normal 9 2 2 2 5" xfId="1397"/>
    <cellStyle name="Normal 9 2 2 2 5 2" xfId="3627"/>
    <cellStyle name="Normal 9 2 2 2 5 2 2" xfId="7839"/>
    <cellStyle name="Normal 9 2 2 2 5 3" xfId="5694"/>
    <cellStyle name="Normal 9 2 2 2 6" xfId="1810"/>
    <cellStyle name="Normal 9 2 2 2 6 2" xfId="4040"/>
    <cellStyle name="Normal 9 2 2 2 6 2 2" xfId="8252"/>
    <cellStyle name="Normal 9 2 2 2 6 3" xfId="6107"/>
    <cellStyle name="Normal 9 2 2 2 7" xfId="2224"/>
    <cellStyle name="Normal 9 2 2 2 7 2" xfId="4453"/>
    <cellStyle name="Normal 9 2 2 2 7 2 2" xfId="8665"/>
    <cellStyle name="Normal 9 2 2 2 7 3" xfId="6520"/>
    <cellStyle name="Normal 9 2 2 2 8" xfId="2660"/>
    <cellStyle name="Normal 9 2 2 2 8 2" xfId="6933"/>
    <cellStyle name="Normal 9 2 2 2 9" xfId="4868"/>
    <cellStyle name="Normal 9 2 2 3" xfId="517"/>
    <cellStyle name="Normal 9 2 2 3 2" xfId="518"/>
    <cellStyle name="Normal 9 2 2 3 2 2" xfId="986"/>
    <cellStyle name="Normal 9 2 2 3 2 2 2" xfId="3219"/>
    <cellStyle name="Normal 9 2 2 3 2 2 2 2" xfId="7431"/>
    <cellStyle name="Normal 9 2 2 3 2 2 3" xfId="5286"/>
    <cellStyle name="Normal 9 2 2 3 2 3" xfId="1402"/>
    <cellStyle name="Normal 9 2 2 3 2 3 2" xfId="3632"/>
    <cellStyle name="Normal 9 2 2 3 2 3 2 2" xfId="7844"/>
    <cellStyle name="Normal 9 2 2 3 2 3 3" xfId="5699"/>
    <cellStyle name="Normal 9 2 2 3 2 4" xfId="1815"/>
    <cellStyle name="Normal 9 2 2 3 2 4 2" xfId="4045"/>
    <cellStyle name="Normal 9 2 2 3 2 4 2 2" xfId="8257"/>
    <cellStyle name="Normal 9 2 2 3 2 4 3" xfId="6112"/>
    <cellStyle name="Normal 9 2 2 3 2 5" xfId="2229"/>
    <cellStyle name="Normal 9 2 2 3 2 5 2" xfId="4458"/>
    <cellStyle name="Normal 9 2 2 3 2 5 2 2" xfId="8670"/>
    <cellStyle name="Normal 9 2 2 3 2 5 3" xfId="6525"/>
    <cellStyle name="Normal 9 2 2 3 2 6" xfId="2665"/>
    <cellStyle name="Normal 9 2 2 3 2 6 2" xfId="6938"/>
    <cellStyle name="Normal 9 2 2 3 2 7" xfId="4873"/>
    <cellStyle name="Normal 9 2 2 3 3" xfId="985"/>
    <cellStyle name="Normal 9 2 2 3 3 2" xfId="3218"/>
    <cellStyle name="Normal 9 2 2 3 3 2 2" xfId="7430"/>
    <cellStyle name="Normal 9 2 2 3 3 3" xfId="5285"/>
    <cellStyle name="Normal 9 2 2 3 4" xfId="1401"/>
    <cellStyle name="Normal 9 2 2 3 4 2" xfId="3631"/>
    <cellStyle name="Normal 9 2 2 3 4 2 2" xfId="7843"/>
    <cellStyle name="Normal 9 2 2 3 4 3" xfId="5698"/>
    <cellStyle name="Normal 9 2 2 3 5" xfId="1814"/>
    <cellStyle name="Normal 9 2 2 3 5 2" xfId="4044"/>
    <cellStyle name="Normal 9 2 2 3 5 2 2" xfId="8256"/>
    <cellStyle name="Normal 9 2 2 3 5 3" xfId="6111"/>
    <cellStyle name="Normal 9 2 2 3 6" xfId="2228"/>
    <cellStyle name="Normal 9 2 2 3 6 2" xfId="4457"/>
    <cellStyle name="Normal 9 2 2 3 6 2 2" xfId="8669"/>
    <cellStyle name="Normal 9 2 2 3 6 3" xfId="6524"/>
    <cellStyle name="Normal 9 2 2 3 7" xfId="2664"/>
    <cellStyle name="Normal 9 2 2 3 7 2" xfId="6937"/>
    <cellStyle name="Normal 9 2 2 3 8" xfId="4872"/>
    <cellStyle name="Normal 9 2 2 4" xfId="519"/>
    <cellStyle name="Normal 9 2 2 4 2" xfId="987"/>
    <cellStyle name="Normal 9 2 2 4 2 2" xfId="3220"/>
    <cellStyle name="Normal 9 2 2 4 2 2 2" xfId="7432"/>
    <cellStyle name="Normal 9 2 2 4 2 3" xfId="5287"/>
    <cellStyle name="Normal 9 2 2 4 3" xfId="1403"/>
    <cellStyle name="Normal 9 2 2 4 3 2" xfId="3633"/>
    <cellStyle name="Normal 9 2 2 4 3 2 2" xfId="7845"/>
    <cellStyle name="Normal 9 2 2 4 3 3" xfId="5700"/>
    <cellStyle name="Normal 9 2 2 4 4" xfId="1816"/>
    <cellStyle name="Normal 9 2 2 4 4 2" xfId="4046"/>
    <cellStyle name="Normal 9 2 2 4 4 2 2" xfId="8258"/>
    <cellStyle name="Normal 9 2 2 4 4 3" xfId="6113"/>
    <cellStyle name="Normal 9 2 2 4 5" xfId="2230"/>
    <cellStyle name="Normal 9 2 2 4 5 2" xfId="4459"/>
    <cellStyle name="Normal 9 2 2 4 5 2 2" xfId="8671"/>
    <cellStyle name="Normal 9 2 2 4 5 3" xfId="6526"/>
    <cellStyle name="Normal 9 2 2 4 6" xfId="2666"/>
    <cellStyle name="Normal 9 2 2 4 6 2" xfId="6939"/>
    <cellStyle name="Normal 9 2 2 4 7" xfId="4874"/>
    <cellStyle name="Normal 9 2 2 5" xfId="980"/>
    <cellStyle name="Normal 9 2 2 5 2" xfId="3213"/>
    <cellStyle name="Normal 9 2 2 5 2 2" xfId="7425"/>
    <cellStyle name="Normal 9 2 2 5 3" xfId="5280"/>
    <cellStyle name="Normal 9 2 2 6" xfId="1396"/>
    <cellStyle name="Normal 9 2 2 6 2" xfId="3626"/>
    <cellStyle name="Normal 9 2 2 6 2 2" xfId="7838"/>
    <cellStyle name="Normal 9 2 2 6 3" xfId="5693"/>
    <cellStyle name="Normal 9 2 2 7" xfId="1809"/>
    <cellStyle name="Normal 9 2 2 7 2" xfId="4039"/>
    <cellStyle name="Normal 9 2 2 7 2 2" xfId="8251"/>
    <cellStyle name="Normal 9 2 2 7 3" xfId="6106"/>
    <cellStyle name="Normal 9 2 2 8" xfId="2223"/>
    <cellStyle name="Normal 9 2 2 8 2" xfId="4452"/>
    <cellStyle name="Normal 9 2 2 8 2 2" xfId="8664"/>
    <cellStyle name="Normal 9 2 2 8 3" xfId="6519"/>
    <cellStyle name="Normal 9 2 2 9" xfId="2659"/>
    <cellStyle name="Normal 9 2 2 9 2" xfId="6932"/>
    <cellStyle name="Normal 9 2 3" xfId="520"/>
    <cellStyle name="Normal 9 2 3 2" xfId="521"/>
    <cellStyle name="Normal 9 2 3 2 2" xfId="522"/>
    <cellStyle name="Normal 9 2 3 2 2 2" xfId="990"/>
    <cellStyle name="Normal 9 2 3 2 2 2 2" xfId="3223"/>
    <cellStyle name="Normal 9 2 3 2 2 2 2 2" xfId="7435"/>
    <cellStyle name="Normal 9 2 3 2 2 2 3" xfId="5290"/>
    <cellStyle name="Normal 9 2 3 2 2 3" xfId="1406"/>
    <cellStyle name="Normal 9 2 3 2 2 3 2" xfId="3636"/>
    <cellStyle name="Normal 9 2 3 2 2 3 2 2" xfId="7848"/>
    <cellStyle name="Normal 9 2 3 2 2 3 3" xfId="5703"/>
    <cellStyle name="Normal 9 2 3 2 2 4" xfId="1819"/>
    <cellStyle name="Normal 9 2 3 2 2 4 2" xfId="4049"/>
    <cellStyle name="Normal 9 2 3 2 2 4 2 2" xfId="8261"/>
    <cellStyle name="Normal 9 2 3 2 2 4 3" xfId="6116"/>
    <cellStyle name="Normal 9 2 3 2 2 5" xfId="2233"/>
    <cellStyle name="Normal 9 2 3 2 2 5 2" xfId="4462"/>
    <cellStyle name="Normal 9 2 3 2 2 5 2 2" xfId="8674"/>
    <cellStyle name="Normal 9 2 3 2 2 5 3" xfId="6529"/>
    <cellStyle name="Normal 9 2 3 2 2 6" xfId="2669"/>
    <cellStyle name="Normal 9 2 3 2 2 6 2" xfId="6942"/>
    <cellStyle name="Normal 9 2 3 2 2 7" xfId="4877"/>
    <cellStyle name="Normal 9 2 3 2 3" xfId="989"/>
    <cellStyle name="Normal 9 2 3 2 3 2" xfId="3222"/>
    <cellStyle name="Normal 9 2 3 2 3 2 2" xfId="7434"/>
    <cellStyle name="Normal 9 2 3 2 3 3" xfId="5289"/>
    <cellStyle name="Normal 9 2 3 2 4" xfId="1405"/>
    <cellStyle name="Normal 9 2 3 2 4 2" xfId="3635"/>
    <cellStyle name="Normal 9 2 3 2 4 2 2" xfId="7847"/>
    <cellStyle name="Normal 9 2 3 2 4 3" xfId="5702"/>
    <cellStyle name="Normal 9 2 3 2 5" xfId="1818"/>
    <cellStyle name="Normal 9 2 3 2 5 2" xfId="4048"/>
    <cellStyle name="Normal 9 2 3 2 5 2 2" xfId="8260"/>
    <cellStyle name="Normal 9 2 3 2 5 3" xfId="6115"/>
    <cellStyle name="Normal 9 2 3 2 6" xfId="2232"/>
    <cellStyle name="Normal 9 2 3 2 6 2" xfId="4461"/>
    <cellStyle name="Normal 9 2 3 2 6 2 2" xfId="8673"/>
    <cellStyle name="Normal 9 2 3 2 6 3" xfId="6528"/>
    <cellStyle name="Normal 9 2 3 2 7" xfId="2668"/>
    <cellStyle name="Normal 9 2 3 2 7 2" xfId="6941"/>
    <cellStyle name="Normal 9 2 3 2 8" xfId="4876"/>
    <cellStyle name="Normal 9 2 3 3" xfId="523"/>
    <cellStyle name="Normal 9 2 3 3 2" xfId="991"/>
    <cellStyle name="Normal 9 2 3 3 2 2" xfId="3224"/>
    <cellStyle name="Normal 9 2 3 3 2 2 2" xfId="7436"/>
    <cellStyle name="Normal 9 2 3 3 2 3" xfId="5291"/>
    <cellStyle name="Normal 9 2 3 3 3" xfId="1407"/>
    <cellStyle name="Normal 9 2 3 3 3 2" xfId="3637"/>
    <cellStyle name="Normal 9 2 3 3 3 2 2" xfId="7849"/>
    <cellStyle name="Normal 9 2 3 3 3 3" xfId="5704"/>
    <cellStyle name="Normal 9 2 3 3 4" xfId="1820"/>
    <cellStyle name="Normal 9 2 3 3 4 2" xfId="4050"/>
    <cellStyle name="Normal 9 2 3 3 4 2 2" xfId="8262"/>
    <cellStyle name="Normal 9 2 3 3 4 3" xfId="6117"/>
    <cellStyle name="Normal 9 2 3 3 5" xfId="2234"/>
    <cellStyle name="Normal 9 2 3 3 5 2" xfId="4463"/>
    <cellStyle name="Normal 9 2 3 3 5 2 2" xfId="8675"/>
    <cellStyle name="Normal 9 2 3 3 5 3" xfId="6530"/>
    <cellStyle name="Normal 9 2 3 3 6" xfId="2670"/>
    <cellStyle name="Normal 9 2 3 3 6 2" xfId="6943"/>
    <cellStyle name="Normal 9 2 3 3 7" xfId="4878"/>
    <cellStyle name="Normal 9 2 3 4" xfId="988"/>
    <cellStyle name="Normal 9 2 3 4 2" xfId="3221"/>
    <cellStyle name="Normal 9 2 3 4 2 2" xfId="7433"/>
    <cellStyle name="Normal 9 2 3 4 3" xfId="5288"/>
    <cellStyle name="Normal 9 2 3 5" xfId="1404"/>
    <cellStyle name="Normal 9 2 3 5 2" xfId="3634"/>
    <cellStyle name="Normal 9 2 3 5 2 2" xfId="7846"/>
    <cellStyle name="Normal 9 2 3 5 3" xfId="5701"/>
    <cellStyle name="Normal 9 2 3 6" xfId="1817"/>
    <cellStyle name="Normal 9 2 3 6 2" xfId="4047"/>
    <cellStyle name="Normal 9 2 3 6 2 2" xfId="8259"/>
    <cellStyle name="Normal 9 2 3 6 3" xfId="6114"/>
    <cellStyle name="Normal 9 2 3 7" xfId="2231"/>
    <cellStyle name="Normal 9 2 3 7 2" xfId="4460"/>
    <cellStyle name="Normal 9 2 3 7 2 2" xfId="8672"/>
    <cellStyle name="Normal 9 2 3 7 3" xfId="6527"/>
    <cellStyle name="Normal 9 2 3 8" xfId="2667"/>
    <cellStyle name="Normal 9 2 3 8 2" xfId="6940"/>
    <cellStyle name="Normal 9 2 3 9" xfId="4875"/>
    <cellStyle name="Normal 9 2 4" xfId="524"/>
    <cellStyle name="Normal 9 2 4 2" xfId="525"/>
    <cellStyle name="Normal 9 2 4 2 2" xfId="993"/>
    <cellStyle name="Normal 9 2 4 2 2 2" xfId="3226"/>
    <cellStyle name="Normal 9 2 4 2 2 2 2" xfId="7438"/>
    <cellStyle name="Normal 9 2 4 2 2 3" xfId="5293"/>
    <cellStyle name="Normal 9 2 4 2 3" xfId="1409"/>
    <cellStyle name="Normal 9 2 4 2 3 2" xfId="3639"/>
    <cellStyle name="Normal 9 2 4 2 3 2 2" xfId="7851"/>
    <cellStyle name="Normal 9 2 4 2 3 3" xfId="5706"/>
    <cellStyle name="Normal 9 2 4 2 4" xfId="1822"/>
    <cellStyle name="Normal 9 2 4 2 4 2" xfId="4052"/>
    <cellStyle name="Normal 9 2 4 2 4 2 2" xfId="8264"/>
    <cellStyle name="Normal 9 2 4 2 4 3" xfId="6119"/>
    <cellStyle name="Normal 9 2 4 2 5" xfId="2236"/>
    <cellStyle name="Normal 9 2 4 2 5 2" xfId="4465"/>
    <cellStyle name="Normal 9 2 4 2 5 2 2" xfId="8677"/>
    <cellStyle name="Normal 9 2 4 2 5 3" xfId="6532"/>
    <cellStyle name="Normal 9 2 4 2 6" xfId="2672"/>
    <cellStyle name="Normal 9 2 4 2 6 2" xfId="6945"/>
    <cellStyle name="Normal 9 2 4 2 7" xfId="4880"/>
    <cellStyle name="Normal 9 2 4 3" xfId="992"/>
    <cellStyle name="Normal 9 2 4 3 2" xfId="3225"/>
    <cellStyle name="Normal 9 2 4 3 2 2" xfId="7437"/>
    <cellStyle name="Normal 9 2 4 3 3" xfId="5292"/>
    <cellStyle name="Normal 9 2 4 4" xfId="1408"/>
    <cellStyle name="Normal 9 2 4 4 2" xfId="3638"/>
    <cellStyle name="Normal 9 2 4 4 2 2" xfId="7850"/>
    <cellStyle name="Normal 9 2 4 4 3" xfId="5705"/>
    <cellStyle name="Normal 9 2 4 5" xfId="1821"/>
    <cellStyle name="Normal 9 2 4 5 2" xfId="4051"/>
    <cellStyle name="Normal 9 2 4 5 2 2" xfId="8263"/>
    <cellStyle name="Normal 9 2 4 5 3" xfId="6118"/>
    <cellStyle name="Normal 9 2 4 6" xfId="2235"/>
    <cellStyle name="Normal 9 2 4 6 2" xfId="4464"/>
    <cellStyle name="Normal 9 2 4 6 2 2" xfId="8676"/>
    <cellStyle name="Normal 9 2 4 6 3" xfId="6531"/>
    <cellStyle name="Normal 9 2 4 7" xfId="2671"/>
    <cellStyle name="Normal 9 2 4 7 2" xfId="6944"/>
    <cellStyle name="Normal 9 2 4 8" xfId="4879"/>
    <cellStyle name="Normal 9 2 5" xfId="526"/>
    <cellStyle name="Normal 9 2 5 2" xfId="994"/>
    <cellStyle name="Normal 9 2 5 2 2" xfId="3227"/>
    <cellStyle name="Normal 9 2 5 2 2 2" xfId="7439"/>
    <cellStyle name="Normal 9 2 5 2 3" xfId="5294"/>
    <cellStyle name="Normal 9 2 5 3" xfId="1410"/>
    <cellStyle name="Normal 9 2 5 3 2" xfId="3640"/>
    <cellStyle name="Normal 9 2 5 3 2 2" xfId="7852"/>
    <cellStyle name="Normal 9 2 5 3 3" xfId="5707"/>
    <cellStyle name="Normal 9 2 5 4" xfId="1823"/>
    <cellStyle name="Normal 9 2 5 4 2" xfId="4053"/>
    <cellStyle name="Normal 9 2 5 4 2 2" xfId="8265"/>
    <cellStyle name="Normal 9 2 5 4 3" xfId="6120"/>
    <cellStyle name="Normal 9 2 5 5" xfId="2237"/>
    <cellStyle name="Normal 9 2 5 5 2" xfId="4466"/>
    <cellStyle name="Normal 9 2 5 5 2 2" xfId="8678"/>
    <cellStyle name="Normal 9 2 5 5 3" xfId="6533"/>
    <cellStyle name="Normal 9 2 5 6" xfId="2673"/>
    <cellStyle name="Normal 9 2 5 6 2" xfId="6946"/>
    <cellStyle name="Normal 9 2 5 7" xfId="4881"/>
    <cellStyle name="Normal 9 2 6" xfId="979"/>
    <cellStyle name="Normal 9 2 6 2" xfId="3212"/>
    <cellStyle name="Normal 9 2 6 2 2" xfId="7424"/>
    <cellStyle name="Normal 9 2 6 3" xfId="5279"/>
    <cellStyle name="Normal 9 2 7" xfId="1395"/>
    <cellStyle name="Normal 9 2 7 2" xfId="3625"/>
    <cellStyle name="Normal 9 2 7 2 2" xfId="7837"/>
    <cellStyle name="Normal 9 2 7 3" xfId="5692"/>
    <cellStyle name="Normal 9 2 8" xfId="1808"/>
    <cellStyle name="Normal 9 2 8 2" xfId="4038"/>
    <cellStyle name="Normal 9 2 8 2 2" xfId="8250"/>
    <cellStyle name="Normal 9 2 8 3" xfId="6105"/>
    <cellStyle name="Normal 9 2 9" xfId="2222"/>
    <cellStyle name="Normal 9 2 9 2" xfId="4451"/>
    <cellStyle name="Normal 9 2 9 2 2" xfId="8663"/>
    <cellStyle name="Normal 9 2 9 3" xfId="6518"/>
    <cellStyle name="Normal 9 3" xfId="527"/>
    <cellStyle name="Normal 9 3 10" xfId="4882"/>
    <cellStyle name="Normal 9 3 2" xfId="528"/>
    <cellStyle name="Normal 9 3 2 2" xfId="529"/>
    <cellStyle name="Normal 9 3 2 2 2" xfId="530"/>
    <cellStyle name="Normal 9 3 2 2 2 2" xfId="998"/>
    <cellStyle name="Normal 9 3 2 2 2 2 2" xfId="3231"/>
    <cellStyle name="Normal 9 3 2 2 2 2 2 2" xfId="7443"/>
    <cellStyle name="Normal 9 3 2 2 2 2 3" xfId="5298"/>
    <cellStyle name="Normal 9 3 2 2 2 3" xfId="1414"/>
    <cellStyle name="Normal 9 3 2 2 2 3 2" xfId="3644"/>
    <cellStyle name="Normal 9 3 2 2 2 3 2 2" xfId="7856"/>
    <cellStyle name="Normal 9 3 2 2 2 3 3" xfId="5711"/>
    <cellStyle name="Normal 9 3 2 2 2 4" xfId="1827"/>
    <cellStyle name="Normal 9 3 2 2 2 4 2" xfId="4057"/>
    <cellStyle name="Normal 9 3 2 2 2 4 2 2" xfId="8269"/>
    <cellStyle name="Normal 9 3 2 2 2 4 3" xfId="6124"/>
    <cellStyle name="Normal 9 3 2 2 2 5" xfId="2241"/>
    <cellStyle name="Normal 9 3 2 2 2 5 2" xfId="4470"/>
    <cellStyle name="Normal 9 3 2 2 2 5 2 2" xfId="8682"/>
    <cellStyle name="Normal 9 3 2 2 2 5 3" xfId="6537"/>
    <cellStyle name="Normal 9 3 2 2 2 6" xfId="2677"/>
    <cellStyle name="Normal 9 3 2 2 2 6 2" xfId="6950"/>
    <cellStyle name="Normal 9 3 2 2 2 7" xfId="4885"/>
    <cellStyle name="Normal 9 3 2 2 3" xfId="997"/>
    <cellStyle name="Normal 9 3 2 2 3 2" xfId="3230"/>
    <cellStyle name="Normal 9 3 2 2 3 2 2" xfId="7442"/>
    <cellStyle name="Normal 9 3 2 2 3 3" xfId="5297"/>
    <cellStyle name="Normal 9 3 2 2 4" xfId="1413"/>
    <cellStyle name="Normal 9 3 2 2 4 2" xfId="3643"/>
    <cellStyle name="Normal 9 3 2 2 4 2 2" xfId="7855"/>
    <cellStyle name="Normal 9 3 2 2 4 3" xfId="5710"/>
    <cellStyle name="Normal 9 3 2 2 5" xfId="1826"/>
    <cellStyle name="Normal 9 3 2 2 5 2" xfId="4056"/>
    <cellStyle name="Normal 9 3 2 2 5 2 2" xfId="8268"/>
    <cellStyle name="Normal 9 3 2 2 5 3" xfId="6123"/>
    <cellStyle name="Normal 9 3 2 2 6" xfId="2240"/>
    <cellStyle name="Normal 9 3 2 2 6 2" xfId="4469"/>
    <cellStyle name="Normal 9 3 2 2 6 2 2" xfId="8681"/>
    <cellStyle name="Normal 9 3 2 2 6 3" xfId="6536"/>
    <cellStyle name="Normal 9 3 2 2 7" xfId="2676"/>
    <cellStyle name="Normal 9 3 2 2 7 2" xfId="6949"/>
    <cellStyle name="Normal 9 3 2 2 8" xfId="4884"/>
    <cellStyle name="Normal 9 3 2 3" xfId="531"/>
    <cellStyle name="Normal 9 3 2 3 2" xfId="999"/>
    <cellStyle name="Normal 9 3 2 3 2 2" xfId="3232"/>
    <cellStyle name="Normal 9 3 2 3 2 2 2" xfId="7444"/>
    <cellStyle name="Normal 9 3 2 3 2 3" xfId="5299"/>
    <cellStyle name="Normal 9 3 2 3 3" xfId="1415"/>
    <cellStyle name="Normal 9 3 2 3 3 2" xfId="3645"/>
    <cellStyle name="Normal 9 3 2 3 3 2 2" xfId="7857"/>
    <cellStyle name="Normal 9 3 2 3 3 3" xfId="5712"/>
    <cellStyle name="Normal 9 3 2 3 4" xfId="1828"/>
    <cellStyle name="Normal 9 3 2 3 4 2" xfId="4058"/>
    <cellStyle name="Normal 9 3 2 3 4 2 2" xfId="8270"/>
    <cellStyle name="Normal 9 3 2 3 4 3" xfId="6125"/>
    <cellStyle name="Normal 9 3 2 3 5" xfId="2242"/>
    <cellStyle name="Normal 9 3 2 3 5 2" xfId="4471"/>
    <cellStyle name="Normal 9 3 2 3 5 2 2" xfId="8683"/>
    <cellStyle name="Normal 9 3 2 3 5 3" xfId="6538"/>
    <cellStyle name="Normal 9 3 2 3 6" xfId="2678"/>
    <cellStyle name="Normal 9 3 2 3 6 2" xfId="6951"/>
    <cellStyle name="Normal 9 3 2 3 7" xfId="4886"/>
    <cellStyle name="Normal 9 3 2 4" xfId="996"/>
    <cellStyle name="Normal 9 3 2 4 2" xfId="3229"/>
    <cellStyle name="Normal 9 3 2 4 2 2" xfId="7441"/>
    <cellStyle name="Normal 9 3 2 4 3" xfId="5296"/>
    <cellStyle name="Normal 9 3 2 5" xfId="1412"/>
    <cellStyle name="Normal 9 3 2 5 2" xfId="3642"/>
    <cellStyle name="Normal 9 3 2 5 2 2" xfId="7854"/>
    <cellStyle name="Normal 9 3 2 5 3" xfId="5709"/>
    <cellStyle name="Normal 9 3 2 6" xfId="1825"/>
    <cellStyle name="Normal 9 3 2 6 2" xfId="4055"/>
    <cellStyle name="Normal 9 3 2 6 2 2" xfId="8267"/>
    <cellStyle name="Normal 9 3 2 6 3" xfId="6122"/>
    <cellStyle name="Normal 9 3 2 7" xfId="2239"/>
    <cellStyle name="Normal 9 3 2 7 2" xfId="4468"/>
    <cellStyle name="Normal 9 3 2 7 2 2" xfId="8680"/>
    <cellStyle name="Normal 9 3 2 7 3" xfId="6535"/>
    <cellStyle name="Normal 9 3 2 8" xfId="2675"/>
    <cellStyle name="Normal 9 3 2 8 2" xfId="6948"/>
    <cellStyle name="Normal 9 3 2 9" xfId="4883"/>
    <cellStyle name="Normal 9 3 3" xfId="532"/>
    <cellStyle name="Normal 9 3 3 2" xfId="533"/>
    <cellStyle name="Normal 9 3 3 2 2" xfId="1001"/>
    <cellStyle name="Normal 9 3 3 2 2 2" xfId="3234"/>
    <cellStyle name="Normal 9 3 3 2 2 2 2" xfId="7446"/>
    <cellStyle name="Normal 9 3 3 2 2 3" xfId="5301"/>
    <cellStyle name="Normal 9 3 3 2 3" xfId="1417"/>
    <cellStyle name="Normal 9 3 3 2 3 2" xfId="3647"/>
    <cellStyle name="Normal 9 3 3 2 3 2 2" xfId="7859"/>
    <cellStyle name="Normal 9 3 3 2 3 3" xfId="5714"/>
    <cellStyle name="Normal 9 3 3 2 4" xfId="1830"/>
    <cellStyle name="Normal 9 3 3 2 4 2" xfId="4060"/>
    <cellStyle name="Normal 9 3 3 2 4 2 2" xfId="8272"/>
    <cellStyle name="Normal 9 3 3 2 4 3" xfId="6127"/>
    <cellStyle name="Normal 9 3 3 2 5" xfId="2244"/>
    <cellStyle name="Normal 9 3 3 2 5 2" xfId="4473"/>
    <cellStyle name="Normal 9 3 3 2 5 2 2" xfId="8685"/>
    <cellStyle name="Normal 9 3 3 2 5 3" xfId="6540"/>
    <cellStyle name="Normal 9 3 3 2 6" xfId="2680"/>
    <cellStyle name="Normal 9 3 3 2 6 2" xfId="6953"/>
    <cellStyle name="Normal 9 3 3 2 7" xfId="4888"/>
    <cellStyle name="Normal 9 3 3 3" xfId="1000"/>
    <cellStyle name="Normal 9 3 3 3 2" xfId="3233"/>
    <cellStyle name="Normal 9 3 3 3 2 2" xfId="7445"/>
    <cellStyle name="Normal 9 3 3 3 3" xfId="5300"/>
    <cellStyle name="Normal 9 3 3 4" xfId="1416"/>
    <cellStyle name="Normal 9 3 3 4 2" xfId="3646"/>
    <cellStyle name="Normal 9 3 3 4 2 2" xfId="7858"/>
    <cellStyle name="Normal 9 3 3 4 3" xfId="5713"/>
    <cellStyle name="Normal 9 3 3 5" xfId="1829"/>
    <cellStyle name="Normal 9 3 3 5 2" xfId="4059"/>
    <cellStyle name="Normal 9 3 3 5 2 2" xfId="8271"/>
    <cellStyle name="Normal 9 3 3 5 3" xfId="6126"/>
    <cellStyle name="Normal 9 3 3 6" xfId="2243"/>
    <cellStyle name="Normal 9 3 3 6 2" xfId="4472"/>
    <cellStyle name="Normal 9 3 3 6 2 2" xfId="8684"/>
    <cellStyle name="Normal 9 3 3 6 3" xfId="6539"/>
    <cellStyle name="Normal 9 3 3 7" xfId="2679"/>
    <cellStyle name="Normal 9 3 3 7 2" xfId="6952"/>
    <cellStyle name="Normal 9 3 3 8" xfId="4887"/>
    <cellStyle name="Normal 9 3 4" xfId="534"/>
    <cellStyle name="Normal 9 3 4 2" xfId="1002"/>
    <cellStyle name="Normal 9 3 4 2 2" xfId="3235"/>
    <cellStyle name="Normal 9 3 4 2 2 2" xfId="7447"/>
    <cellStyle name="Normal 9 3 4 2 3" xfId="5302"/>
    <cellStyle name="Normal 9 3 4 3" xfId="1418"/>
    <cellStyle name="Normal 9 3 4 3 2" xfId="3648"/>
    <cellStyle name="Normal 9 3 4 3 2 2" xfId="7860"/>
    <cellStyle name="Normal 9 3 4 3 3" xfId="5715"/>
    <cellStyle name="Normal 9 3 4 4" xfId="1831"/>
    <cellStyle name="Normal 9 3 4 4 2" xfId="4061"/>
    <cellStyle name="Normal 9 3 4 4 2 2" xfId="8273"/>
    <cellStyle name="Normal 9 3 4 4 3" xfId="6128"/>
    <cellStyle name="Normal 9 3 4 5" xfId="2245"/>
    <cellStyle name="Normal 9 3 4 5 2" xfId="4474"/>
    <cellStyle name="Normal 9 3 4 5 2 2" xfId="8686"/>
    <cellStyle name="Normal 9 3 4 5 3" xfId="6541"/>
    <cellStyle name="Normal 9 3 4 6" xfId="2681"/>
    <cellStyle name="Normal 9 3 4 6 2" xfId="6954"/>
    <cellStyle name="Normal 9 3 4 7" xfId="4889"/>
    <cellStyle name="Normal 9 3 5" xfId="995"/>
    <cellStyle name="Normal 9 3 5 2" xfId="3228"/>
    <cellStyle name="Normal 9 3 5 2 2" xfId="7440"/>
    <cellStyle name="Normal 9 3 5 3" xfId="5295"/>
    <cellStyle name="Normal 9 3 6" xfId="1411"/>
    <cellStyle name="Normal 9 3 6 2" xfId="3641"/>
    <cellStyle name="Normal 9 3 6 2 2" xfId="7853"/>
    <cellStyle name="Normal 9 3 6 3" xfId="5708"/>
    <cellStyle name="Normal 9 3 7" xfId="1824"/>
    <cellStyle name="Normal 9 3 7 2" xfId="4054"/>
    <cellStyle name="Normal 9 3 7 2 2" xfId="8266"/>
    <cellStyle name="Normal 9 3 7 3" xfId="6121"/>
    <cellStyle name="Normal 9 3 8" xfId="2238"/>
    <cellStyle name="Normal 9 3 8 2" xfId="4467"/>
    <cellStyle name="Normal 9 3 8 2 2" xfId="8679"/>
    <cellStyle name="Normal 9 3 8 3" xfId="6534"/>
    <cellStyle name="Normal 9 3 9" xfId="2674"/>
    <cellStyle name="Normal 9 3 9 2" xfId="6947"/>
    <cellStyle name="Normal 9 4" xfId="535"/>
    <cellStyle name="Normal 9 4 2" xfId="1003"/>
    <cellStyle name="Normal 9 5" xfId="536"/>
    <cellStyle name="Normal 9 5 2" xfId="537"/>
    <cellStyle name="Normal 9 5 2 2" xfId="1005"/>
    <cellStyle name="Normal 9 5 2 2 2" xfId="3237"/>
    <cellStyle name="Normal 9 5 2 2 2 2" xfId="7449"/>
    <cellStyle name="Normal 9 5 2 2 3" xfId="5304"/>
    <cellStyle name="Normal 9 5 2 3" xfId="1420"/>
    <cellStyle name="Normal 9 5 2 3 2" xfId="3650"/>
    <cellStyle name="Normal 9 5 2 3 2 2" xfId="7862"/>
    <cellStyle name="Normal 9 5 2 3 3" xfId="5717"/>
    <cellStyle name="Normal 9 5 2 4" xfId="1833"/>
    <cellStyle name="Normal 9 5 2 4 2" xfId="4063"/>
    <cellStyle name="Normal 9 5 2 4 2 2" xfId="8275"/>
    <cellStyle name="Normal 9 5 2 4 3" xfId="6130"/>
    <cellStyle name="Normal 9 5 2 5" xfId="2247"/>
    <cellStyle name="Normal 9 5 2 5 2" xfId="4476"/>
    <cellStyle name="Normal 9 5 2 5 2 2" xfId="8688"/>
    <cellStyle name="Normal 9 5 2 5 3" xfId="6543"/>
    <cellStyle name="Normal 9 5 2 6" xfId="2683"/>
    <cellStyle name="Normal 9 5 2 6 2" xfId="6956"/>
    <cellStyle name="Normal 9 5 2 7" xfId="4891"/>
    <cellStyle name="Normal 9 5 3" xfId="1004"/>
    <cellStyle name="Normal 9 5 3 2" xfId="3236"/>
    <cellStyle name="Normal 9 5 3 2 2" xfId="7448"/>
    <cellStyle name="Normal 9 5 3 3" xfId="5303"/>
    <cellStyle name="Normal 9 5 4" xfId="1419"/>
    <cellStyle name="Normal 9 5 4 2" xfId="3649"/>
    <cellStyle name="Normal 9 5 4 2 2" xfId="7861"/>
    <cellStyle name="Normal 9 5 4 3" xfId="5716"/>
    <cellStyle name="Normal 9 5 5" xfId="1832"/>
    <cellStyle name="Normal 9 5 5 2" xfId="4062"/>
    <cellStyle name="Normal 9 5 5 2 2" xfId="8274"/>
    <cellStyle name="Normal 9 5 5 3" xfId="6129"/>
    <cellStyle name="Normal 9 5 6" xfId="2246"/>
    <cellStyle name="Normal 9 5 6 2" xfId="4475"/>
    <cellStyle name="Normal 9 5 6 2 2" xfId="8687"/>
    <cellStyle name="Normal 9 5 6 3" xfId="6542"/>
    <cellStyle name="Normal 9 5 7" xfId="2682"/>
    <cellStyle name="Normal 9 5 7 2" xfId="6955"/>
    <cellStyle name="Normal 9 5 8" xfId="4890"/>
    <cellStyle name="Normal 9 6" xfId="538"/>
    <cellStyle name="Normal 9 6 2" xfId="1006"/>
    <cellStyle name="Normal 9 6 2 2" xfId="3238"/>
    <cellStyle name="Normal 9 6 2 2 2" xfId="7450"/>
    <cellStyle name="Normal 9 6 2 3" xfId="5305"/>
    <cellStyle name="Normal 9 6 3" xfId="1421"/>
    <cellStyle name="Normal 9 6 3 2" xfId="3651"/>
    <cellStyle name="Normal 9 6 3 2 2" xfId="7863"/>
    <cellStyle name="Normal 9 6 3 3" xfId="5718"/>
    <cellStyle name="Normal 9 6 4" xfId="1834"/>
    <cellStyle name="Normal 9 6 4 2" xfId="4064"/>
    <cellStyle name="Normal 9 6 4 2 2" xfId="8276"/>
    <cellStyle name="Normal 9 6 4 3" xfId="6131"/>
    <cellStyle name="Normal 9 6 5" xfId="2248"/>
    <cellStyle name="Normal 9 6 5 2" xfId="4477"/>
    <cellStyle name="Normal 9 6 5 2 2" xfId="8689"/>
    <cellStyle name="Normal 9 6 5 3" xfId="6544"/>
    <cellStyle name="Normal 9 6 6" xfId="2684"/>
    <cellStyle name="Normal 9 6 6 2" xfId="6957"/>
    <cellStyle name="Normal 9 6 7" xfId="4892"/>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10 2" xfId="7038"/>
    <cellStyle name="Note 2 2 11" xfId="4893"/>
    <cellStyle name="Note 2 2 2" xfId="547"/>
    <cellStyle name="Note 2 2 2 10" xfId="4894"/>
    <cellStyle name="Note 2 2 2 2" xfId="548"/>
    <cellStyle name="Note 2 2 2 2 2" xfId="1009"/>
    <cellStyle name="Note 2 2 2 2 2 2" xfId="3241"/>
    <cellStyle name="Note 2 2 2 2 2 2 2" xfId="7453"/>
    <cellStyle name="Note 2 2 2 2 2 3" xfId="5308"/>
    <cellStyle name="Note 2 2 2 2 3" xfId="1424"/>
    <cellStyle name="Note 2 2 2 2 3 2" xfId="3654"/>
    <cellStyle name="Note 2 2 2 2 3 2 2" xfId="7866"/>
    <cellStyle name="Note 2 2 2 2 3 3" xfId="5721"/>
    <cellStyle name="Note 2 2 2 2 4" xfId="1838"/>
    <cellStyle name="Note 2 2 2 2 4 2" xfId="4067"/>
    <cellStyle name="Note 2 2 2 2 4 2 2" xfId="8279"/>
    <cellStyle name="Note 2 2 2 2 4 3" xfId="6134"/>
    <cellStyle name="Note 2 2 2 2 5" xfId="2251"/>
    <cellStyle name="Note 2 2 2 2 5 2" xfId="4480"/>
    <cellStyle name="Note 2 2 2 2 5 2 2" xfId="8692"/>
    <cellStyle name="Note 2 2 2 2 5 3" xfId="6547"/>
    <cellStyle name="Note 2 2 2 2 6" xfId="2687"/>
    <cellStyle name="Note 2 2 2 2 6 2" xfId="6960"/>
    <cellStyle name="Note 2 2 2 2 7" xfId="2746"/>
    <cellStyle name="Note 2 2 2 2 8" xfId="2827"/>
    <cellStyle name="Note 2 2 2 2 8 2" xfId="7040"/>
    <cellStyle name="Note 2 2 2 2 9" xfId="4895"/>
    <cellStyle name="Note 2 2 2 3" xfId="1008"/>
    <cellStyle name="Note 2 2 2 3 2" xfId="3240"/>
    <cellStyle name="Note 2 2 2 3 2 2" xfId="7452"/>
    <cellStyle name="Note 2 2 2 3 3" xfId="5307"/>
    <cellStyle name="Note 2 2 2 4" xfId="1423"/>
    <cellStyle name="Note 2 2 2 4 2" xfId="3653"/>
    <cellStyle name="Note 2 2 2 4 2 2" xfId="7865"/>
    <cellStyle name="Note 2 2 2 4 3" xfId="5720"/>
    <cellStyle name="Note 2 2 2 5" xfId="1837"/>
    <cellStyle name="Note 2 2 2 5 2" xfId="4066"/>
    <cellStyle name="Note 2 2 2 5 2 2" xfId="8278"/>
    <cellStyle name="Note 2 2 2 5 3" xfId="6133"/>
    <cellStyle name="Note 2 2 2 6" xfId="2250"/>
    <cellStyle name="Note 2 2 2 6 2" xfId="4479"/>
    <cellStyle name="Note 2 2 2 6 2 2" xfId="8691"/>
    <cellStyle name="Note 2 2 2 6 3" xfId="6546"/>
    <cellStyle name="Note 2 2 2 7" xfId="2686"/>
    <cellStyle name="Note 2 2 2 7 2" xfId="6959"/>
    <cellStyle name="Note 2 2 2 8" xfId="2745"/>
    <cellStyle name="Note 2 2 2 9" xfId="2826"/>
    <cellStyle name="Note 2 2 2 9 2" xfId="7039"/>
    <cellStyle name="Note 2 2 3" xfId="549"/>
    <cellStyle name="Note 2 2 3 2" xfId="1010"/>
    <cellStyle name="Note 2 2 3 2 2" xfId="3242"/>
    <cellStyle name="Note 2 2 3 2 2 2" xfId="7454"/>
    <cellStyle name="Note 2 2 3 2 3" xfId="5309"/>
    <cellStyle name="Note 2 2 3 3" xfId="1425"/>
    <cellStyle name="Note 2 2 3 3 2" xfId="3655"/>
    <cellStyle name="Note 2 2 3 3 2 2" xfId="7867"/>
    <cellStyle name="Note 2 2 3 3 3" xfId="5722"/>
    <cellStyle name="Note 2 2 3 4" xfId="1839"/>
    <cellStyle name="Note 2 2 3 4 2" xfId="4068"/>
    <cellStyle name="Note 2 2 3 4 2 2" xfId="8280"/>
    <cellStyle name="Note 2 2 3 4 3" xfId="6135"/>
    <cellStyle name="Note 2 2 3 5" xfId="2252"/>
    <cellStyle name="Note 2 2 3 5 2" xfId="4481"/>
    <cellStyle name="Note 2 2 3 5 2 2" xfId="8693"/>
    <cellStyle name="Note 2 2 3 5 3" xfId="6548"/>
    <cellStyle name="Note 2 2 3 6" xfId="2688"/>
    <cellStyle name="Note 2 2 3 6 2" xfId="6961"/>
    <cellStyle name="Note 2 2 3 7" xfId="2747"/>
    <cellStyle name="Note 2 2 3 8" xfId="2828"/>
    <cellStyle name="Note 2 2 3 8 2" xfId="7041"/>
    <cellStyle name="Note 2 2 3 9" xfId="4896"/>
    <cellStyle name="Note 2 2 4" xfId="1007"/>
    <cellStyle name="Note 2 2 4 2" xfId="3239"/>
    <cellStyle name="Note 2 2 4 2 2" xfId="7451"/>
    <cellStyle name="Note 2 2 4 3" xfId="5306"/>
    <cellStyle name="Note 2 2 5" xfId="1422"/>
    <cellStyle name="Note 2 2 5 2" xfId="3652"/>
    <cellStyle name="Note 2 2 5 2 2" xfId="7864"/>
    <cellStyle name="Note 2 2 5 3" xfId="5719"/>
    <cellStyle name="Note 2 2 6" xfId="1836"/>
    <cellStyle name="Note 2 2 6 2" xfId="4065"/>
    <cellStyle name="Note 2 2 6 2 2" xfId="8277"/>
    <cellStyle name="Note 2 2 6 3" xfId="6132"/>
    <cellStyle name="Note 2 2 7" xfId="2249"/>
    <cellStyle name="Note 2 2 7 2" xfId="4478"/>
    <cellStyle name="Note 2 2 7 2 2" xfId="8690"/>
    <cellStyle name="Note 2 2 7 3" xfId="6545"/>
    <cellStyle name="Note 2 2 8" xfId="2685"/>
    <cellStyle name="Note 2 2 8 2" xfId="6958"/>
    <cellStyle name="Note 2 2 9" xfId="2744"/>
    <cellStyle name="Note 2 3" xfId="550"/>
    <cellStyle name="Note 2 3 10" xfId="4897"/>
    <cellStyle name="Note 2 3 2" xfId="551"/>
    <cellStyle name="Note 2 3 2 2" xfId="1012"/>
    <cellStyle name="Note 2 3 2 2 2" xfId="3244"/>
    <cellStyle name="Note 2 3 2 2 2 2" xfId="7456"/>
    <cellStyle name="Note 2 3 2 2 3" xfId="5311"/>
    <cellStyle name="Note 2 3 2 3" xfId="1427"/>
    <cellStyle name="Note 2 3 2 3 2" xfId="3657"/>
    <cellStyle name="Note 2 3 2 3 2 2" xfId="7869"/>
    <cellStyle name="Note 2 3 2 3 3" xfId="5724"/>
    <cellStyle name="Note 2 3 2 4" xfId="1841"/>
    <cellStyle name="Note 2 3 2 4 2" xfId="4070"/>
    <cellStyle name="Note 2 3 2 4 2 2" xfId="8282"/>
    <cellStyle name="Note 2 3 2 4 3" xfId="6137"/>
    <cellStyle name="Note 2 3 2 5" xfId="2254"/>
    <cellStyle name="Note 2 3 2 5 2" xfId="4483"/>
    <cellStyle name="Note 2 3 2 5 2 2" xfId="8695"/>
    <cellStyle name="Note 2 3 2 5 3" xfId="6550"/>
    <cellStyle name="Note 2 3 2 6" xfId="2690"/>
    <cellStyle name="Note 2 3 2 6 2" xfId="6963"/>
    <cellStyle name="Note 2 3 2 7" xfId="2749"/>
    <cellStyle name="Note 2 3 2 8" xfId="2830"/>
    <cellStyle name="Note 2 3 2 8 2" xfId="7043"/>
    <cellStyle name="Note 2 3 2 9" xfId="4898"/>
    <cellStyle name="Note 2 3 3" xfId="1011"/>
    <cellStyle name="Note 2 3 3 2" xfId="3243"/>
    <cellStyle name="Note 2 3 3 2 2" xfId="7455"/>
    <cellStyle name="Note 2 3 3 3" xfId="5310"/>
    <cellStyle name="Note 2 3 4" xfId="1426"/>
    <cellStyle name="Note 2 3 4 2" xfId="3656"/>
    <cellStyle name="Note 2 3 4 2 2" xfId="7868"/>
    <cellStyle name="Note 2 3 4 3" xfId="5723"/>
    <cellStyle name="Note 2 3 5" xfId="1840"/>
    <cellStyle name="Note 2 3 5 2" xfId="4069"/>
    <cellStyle name="Note 2 3 5 2 2" xfId="8281"/>
    <cellStyle name="Note 2 3 5 3" xfId="6136"/>
    <cellStyle name="Note 2 3 6" xfId="2253"/>
    <cellStyle name="Note 2 3 6 2" xfId="4482"/>
    <cellStyle name="Note 2 3 6 2 2" xfId="8694"/>
    <cellStyle name="Note 2 3 6 3" xfId="6549"/>
    <cellStyle name="Note 2 3 7" xfId="2689"/>
    <cellStyle name="Note 2 3 7 2" xfId="6962"/>
    <cellStyle name="Note 2 3 8" xfId="2748"/>
    <cellStyle name="Note 2 3 9" xfId="2829"/>
    <cellStyle name="Note 2 3 9 2" xfId="7042"/>
    <cellStyle name="Note 2 4" xfId="552"/>
    <cellStyle name="Note 2 4 2" xfId="1013"/>
    <cellStyle name="Note 2 4 2 2" xfId="3245"/>
    <cellStyle name="Note 2 4 2 2 2" xfId="7457"/>
    <cellStyle name="Note 2 4 2 3" xfId="5312"/>
    <cellStyle name="Note 2 4 3" xfId="1428"/>
    <cellStyle name="Note 2 4 3 2" xfId="3658"/>
    <cellStyle name="Note 2 4 3 2 2" xfId="7870"/>
    <cellStyle name="Note 2 4 3 3" xfId="5725"/>
    <cellStyle name="Note 2 4 4" xfId="1842"/>
    <cellStyle name="Note 2 4 4 2" xfId="4071"/>
    <cellStyle name="Note 2 4 4 2 2" xfId="8283"/>
    <cellStyle name="Note 2 4 4 3" xfId="6138"/>
    <cellStyle name="Note 2 4 5" xfId="2255"/>
    <cellStyle name="Note 2 4 5 2" xfId="4484"/>
    <cellStyle name="Note 2 4 5 2 2" xfId="8696"/>
    <cellStyle name="Note 2 4 5 3" xfId="6551"/>
    <cellStyle name="Note 2 4 6" xfId="2691"/>
    <cellStyle name="Note 2 4 6 2" xfId="6964"/>
    <cellStyle name="Note 2 4 7" xfId="2750"/>
    <cellStyle name="Note 2 4 8" xfId="2831"/>
    <cellStyle name="Note 2 4 8 2" xfId="7044"/>
    <cellStyle name="Note 2 4 9" xfId="4899"/>
    <cellStyle name="Note 2 5" xfId="553"/>
    <cellStyle name="Note 2 5 2" xfId="1014"/>
    <cellStyle name="Note 2 5 2 2" xfId="3246"/>
    <cellStyle name="Note 2 5 2 2 2" xfId="7458"/>
    <cellStyle name="Note 2 5 2 3" xfId="5313"/>
    <cellStyle name="Note 2 5 3" xfId="1429"/>
    <cellStyle name="Note 2 5 3 2" xfId="3659"/>
    <cellStyle name="Note 2 5 3 2 2" xfId="7871"/>
    <cellStyle name="Note 2 5 3 3" xfId="5726"/>
    <cellStyle name="Note 2 5 4" xfId="1843"/>
    <cellStyle name="Note 2 5 4 2" xfId="4072"/>
    <cellStyle name="Note 2 5 4 2 2" xfId="8284"/>
    <cellStyle name="Note 2 5 4 3" xfId="6139"/>
    <cellStyle name="Note 2 5 5" xfId="2256"/>
    <cellStyle name="Note 2 5 5 2" xfId="4485"/>
    <cellStyle name="Note 2 5 5 2 2" xfId="8697"/>
    <cellStyle name="Note 2 5 5 3" xfId="6552"/>
    <cellStyle name="Note 2 5 6" xfId="2692"/>
    <cellStyle name="Note 2 5 6 2" xfId="6965"/>
    <cellStyle name="Note 2 5 7" xfId="2751"/>
    <cellStyle name="Note 2 5 8" xfId="2832"/>
    <cellStyle name="Note 2 5 8 2" xfId="7045"/>
    <cellStyle name="Note 2 5 9" xfId="4900"/>
    <cellStyle name="Note 3" xfId="554"/>
    <cellStyle name="Note 3 2" xfId="555"/>
    <cellStyle name="Note 3 2 10" xfId="2833"/>
    <cellStyle name="Note 3 2 10 2" xfId="7046"/>
    <cellStyle name="Note 3 2 11" xfId="4901"/>
    <cellStyle name="Note 3 2 2" xfId="556"/>
    <cellStyle name="Note 3 2 2 10" xfId="4902"/>
    <cellStyle name="Note 3 2 2 2" xfId="557"/>
    <cellStyle name="Note 3 2 2 2 2" xfId="1017"/>
    <cellStyle name="Note 3 2 2 2 2 2" xfId="3249"/>
    <cellStyle name="Note 3 2 2 2 2 2 2" xfId="7461"/>
    <cellStyle name="Note 3 2 2 2 2 3" xfId="5316"/>
    <cellStyle name="Note 3 2 2 2 3" xfId="1432"/>
    <cellStyle name="Note 3 2 2 2 3 2" xfId="3662"/>
    <cellStyle name="Note 3 2 2 2 3 2 2" xfId="7874"/>
    <cellStyle name="Note 3 2 2 2 3 3" xfId="5729"/>
    <cellStyle name="Note 3 2 2 2 4" xfId="1846"/>
    <cellStyle name="Note 3 2 2 2 4 2" xfId="4075"/>
    <cellStyle name="Note 3 2 2 2 4 2 2" xfId="8287"/>
    <cellStyle name="Note 3 2 2 2 4 3" xfId="6142"/>
    <cellStyle name="Note 3 2 2 2 5" xfId="2259"/>
    <cellStyle name="Note 3 2 2 2 5 2" xfId="4488"/>
    <cellStyle name="Note 3 2 2 2 5 2 2" xfId="8700"/>
    <cellStyle name="Note 3 2 2 2 5 3" xfId="6555"/>
    <cellStyle name="Note 3 2 2 2 6" xfId="2695"/>
    <cellStyle name="Note 3 2 2 2 6 2" xfId="6968"/>
    <cellStyle name="Note 3 2 2 2 7" xfId="2754"/>
    <cellStyle name="Note 3 2 2 2 8" xfId="2835"/>
    <cellStyle name="Note 3 2 2 2 8 2" xfId="7048"/>
    <cellStyle name="Note 3 2 2 2 9" xfId="4903"/>
    <cellStyle name="Note 3 2 2 3" xfId="1016"/>
    <cellStyle name="Note 3 2 2 3 2" xfId="3248"/>
    <cellStyle name="Note 3 2 2 3 2 2" xfId="7460"/>
    <cellStyle name="Note 3 2 2 3 3" xfId="5315"/>
    <cellStyle name="Note 3 2 2 4" xfId="1431"/>
    <cellStyle name="Note 3 2 2 4 2" xfId="3661"/>
    <cellStyle name="Note 3 2 2 4 2 2" xfId="7873"/>
    <cellStyle name="Note 3 2 2 4 3" xfId="5728"/>
    <cellStyle name="Note 3 2 2 5" xfId="1845"/>
    <cellStyle name="Note 3 2 2 5 2" xfId="4074"/>
    <cellStyle name="Note 3 2 2 5 2 2" xfId="8286"/>
    <cellStyle name="Note 3 2 2 5 3" xfId="6141"/>
    <cellStyle name="Note 3 2 2 6" xfId="2258"/>
    <cellStyle name="Note 3 2 2 6 2" xfId="4487"/>
    <cellStyle name="Note 3 2 2 6 2 2" xfId="8699"/>
    <cellStyle name="Note 3 2 2 6 3" xfId="6554"/>
    <cellStyle name="Note 3 2 2 7" xfId="2694"/>
    <cellStyle name="Note 3 2 2 7 2" xfId="6967"/>
    <cellStyle name="Note 3 2 2 8" xfId="2753"/>
    <cellStyle name="Note 3 2 2 9" xfId="2834"/>
    <cellStyle name="Note 3 2 2 9 2" xfId="7047"/>
    <cellStyle name="Note 3 2 3" xfId="558"/>
    <cellStyle name="Note 3 2 3 2" xfId="1018"/>
    <cellStyle name="Note 3 2 3 2 2" xfId="3250"/>
    <cellStyle name="Note 3 2 3 2 2 2" xfId="7462"/>
    <cellStyle name="Note 3 2 3 2 3" xfId="5317"/>
    <cellStyle name="Note 3 2 3 3" xfId="1433"/>
    <cellStyle name="Note 3 2 3 3 2" xfId="3663"/>
    <cellStyle name="Note 3 2 3 3 2 2" xfId="7875"/>
    <cellStyle name="Note 3 2 3 3 3" xfId="5730"/>
    <cellStyle name="Note 3 2 3 4" xfId="1847"/>
    <cellStyle name="Note 3 2 3 4 2" xfId="4076"/>
    <cellStyle name="Note 3 2 3 4 2 2" xfId="8288"/>
    <cellStyle name="Note 3 2 3 4 3" xfId="6143"/>
    <cellStyle name="Note 3 2 3 5" xfId="2260"/>
    <cellStyle name="Note 3 2 3 5 2" xfId="4489"/>
    <cellStyle name="Note 3 2 3 5 2 2" xfId="8701"/>
    <cellStyle name="Note 3 2 3 5 3" xfId="6556"/>
    <cellStyle name="Note 3 2 3 6" xfId="2696"/>
    <cellStyle name="Note 3 2 3 6 2" xfId="6969"/>
    <cellStyle name="Note 3 2 3 7" xfId="2755"/>
    <cellStyle name="Note 3 2 3 8" xfId="2836"/>
    <cellStyle name="Note 3 2 3 8 2" xfId="7049"/>
    <cellStyle name="Note 3 2 3 9" xfId="4904"/>
    <cellStyle name="Note 3 2 4" xfId="1015"/>
    <cellStyle name="Note 3 2 4 2" xfId="3247"/>
    <cellStyle name="Note 3 2 4 2 2" xfId="7459"/>
    <cellStyle name="Note 3 2 4 3" xfId="5314"/>
    <cellStyle name="Note 3 2 5" xfId="1430"/>
    <cellStyle name="Note 3 2 5 2" xfId="3660"/>
    <cellStyle name="Note 3 2 5 2 2" xfId="7872"/>
    <cellStyle name="Note 3 2 5 3" xfId="5727"/>
    <cellStyle name="Note 3 2 6" xfId="1844"/>
    <cellStyle name="Note 3 2 6 2" xfId="4073"/>
    <cellStyle name="Note 3 2 6 2 2" xfId="8285"/>
    <cellStyle name="Note 3 2 6 3" xfId="6140"/>
    <cellStyle name="Note 3 2 7" xfId="2257"/>
    <cellStyle name="Note 3 2 7 2" xfId="4486"/>
    <cellStyle name="Note 3 2 7 2 2" xfId="8698"/>
    <cellStyle name="Note 3 2 7 3" xfId="6553"/>
    <cellStyle name="Note 3 2 8" xfId="2693"/>
    <cellStyle name="Note 3 2 8 2" xfId="6966"/>
    <cellStyle name="Note 3 2 9" xfId="2752"/>
    <cellStyle name="Note 3 3" xfId="559"/>
    <cellStyle name="Note 3 3 10" xfId="4905"/>
    <cellStyle name="Note 3 3 2" xfId="560"/>
    <cellStyle name="Note 3 3 2 2" xfId="1020"/>
    <cellStyle name="Note 3 3 2 2 2" xfId="3252"/>
    <cellStyle name="Note 3 3 2 2 2 2" xfId="7464"/>
    <cellStyle name="Note 3 3 2 2 3" xfId="5319"/>
    <cellStyle name="Note 3 3 2 3" xfId="1435"/>
    <cellStyle name="Note 3 3 2 3 2" xfId="3665"/>
    <cellStyle name="Note 3 3 2 3 2 2" xfId="7877"/>
    <cellStyle name="Note 3 3 2 3 3" xfId="5732"/>
    <cellStyle name="Note 3 3 2 4" xfId="1849"/>
    <cellStyle name="Note 3 3 2 4 2" xfId="4078"/>
    <cellStyle name="Note 3 3 2 4 2 2" xfId="8290"/>
    <cellStyle name="Note 3 3 2 4 3" xfId="6145"/>
    <cellStyle name="Note 3 3 2 5" xfId="2262"/>
    <cellStyle name="Note 3 3 2 5 2" xfId="4491"/>
    <cellStyle name="Note 3 3 2 5 2 2" xfId="8703"/>
    <cellStyle name="Note 3 3 2 5 3" xfId="6558"/>
    <cellStyle name="Note 3 3 2 6" xfId="2698"/>
    <cellStyle name="Note 3 3 2 6 2" xfId="6971"/>
    <cellStyle name="Note 3 3 2 7" xfId="2757"/>
    <cellStyle name="Note 3 3 2 8" xfId="2838"/>
    <cellStyle name="Note 3 3 2 8 2" xfId="7051"/>
    <cellStyle name="Note 3 3 2 9" xfId="4906"/>
    <cellStyle name="Note 3 3 3" xfId="1019"/>
    <cellStyle name="Note 3 3 3 2" xfId="3251"/>
    <cellStyle name="Note 3 3 3 2 2" xfId="7463"/>
    <cellStyle name="Note 3 3 3 3" xfId="5318"/>
    <cellStyle name="Note 3 3 4" xfId="1434"/>
    <cellStyle name="Note 3 3 4 2" xfId="3664"/>
    <cellStyle name="Note 3 3 4 2 2" xfId="7876"/>
    <cellStyle name="Note 3 3 4 3" xfId="5731"/>
    <cellStyle name="Note 3 3 5" xfId="1848"/>
    <cellStyle name="Note 3 3 5 2" xfId="4077"/>
    <cellStyle name="Note 3 3 5 2 2" xfId="8289"/>
    <cellStyle name="Note 3 3 5 3" xfId="6144"/>
    <cellStyle name="Note 3 3 6" xfId="2261"/>
    <cellStyle name="Note 3 3 6 2" xfId="4490"/>
    <cellStyle name="Note 3 3 6 2 2" xfId="8702"/>
    <cellStyle name="Note 3 3 6 3" xfId="6557"/>
    <cellStyle name="Note 3 3 7" xfId="2697"/>
    <cellStyle name="Note 3 3 7 2" xfId="6970"/>
    <cellStyle name="Note 3 3 8" xfId="2756"/>
    <cellStyle name="Note 3 3 9" xfId="2837"/>
    <cellStyle name="Note 3 3 9 2" xfId="7050"/>
    <cellStyle name="Note 3 4" xfId="561"/>
    <cellStyle name="Note 3 4 2" xfId="1021"/>
    <cellStyle name="Note 3 4 2 2" xfId="3253"/>
    <cellStyle name="Note 3 4 2 2 2" xfId="7465"/>
    <cellStyle name="Note 3 4 2 3" xfId="5320"/>
    <cellStyle name="Note 3 4 3" xfId="1436"/>
    <cellStyle name="Note 3 4 3 2" xfId="3666"/>
    <cellStyle name="Note 3 4 3 2 2" xfId="7878"/>
    <cellStyle name="Note 3 4 3 3" xfId="5733"/>
    <cellStyle name="Note 3 4 4" xfId="1850"/>
    <cellStyle name="Note 3 4 4 2" xfId="4079"/>
    <cellStyle name="Note 3 4 4 2 2" xfId="8291"/>
    <cellStyle name="Note 3 4 4 3" xfId="6146"/>
    <cellStyle name="Note 3 4 5" xfId="2263"/>
    <cellStyle name="Note 3 4 5 2" xfId="4492"/>
    <cellStyle name="Note 3 4 5 2 2" xfId="8704"/>
    <cellStyle name="Note 3 4 5 3" xfId="6559"/>
    <cellStyle name="Note 3 4 6" xfId="2699"/>
    <cellStyle name="Note 3 4 6 2" xfId="6972"/>
    <cellStyle name="Note 3 4 7" xfId="2758"/>
    <cellStyle name="Note 3 4 8" xfId="2839"/>
    <cellStyle name="Note 3 4 8 2" xfId="7052"/>
    <cellStyle name="Note 3 4 9" xfId="4907"/>
    <cellStyle name="Note 3 5" xfId="562"/>
    <cellStyle name="Note 3 5 2" xfId="1022"/>
    <cellStyle name="Note 3 5 2 2" xfId="3254"/>
    <cellStyle name="Note 3 5 2 2 2" xfId="7466"/>
    <cellStyle name="Note 3 5 2 3" xfId="5321"/>
    <cellStyle name="Note 3 5 3" xfId="1437"/>
    <cellStyle name="Note 3 5 3 2" xfId="3667"/>
    <cellStyle name="Note 3 5 3 2 2" xfId="7879"/>
    <cellStyle name="Note 3 5 3 3" xfId="5734"/>
    <cellStyle name="Note 3 5 4" xfId="1851"/>
    <cellStyle name="Note 3 5 4 2" xfId="4080"/>
    <cellStyle name="Note 3 5 4 2 2" xfId="8292"/>
    <cellStyle name="Note 3 5 4 3" xfId="6147"/>
    <cellStyle name="Note 3 5 5" xfId="2264"/>
    <cellStyle name="Note 3 5 5 2" xfId="4493"/>
    <cellStyle name="Note 3 5 5 2 2" xfId="8705"/>
    <cellStyle name="Note 3 5 5 3" xfId="6560"/>
    <cellStyle name="Note 3 5 6" xfId="2700"/>
    <cellStyle name="Note 3 5 6 2" xfId="6973"/>
    <cellStyle name="Note 3 5 7" xfId="2759"/>
    <cellStyle name="Note 3 5 8" xfId="2840"/>
    <cellStyle name="Note 3 5 8 2" xfId="7053"/>
    <cellStyle name="Note 3 5 9" xfId="4908"/>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8" t="s">
        <v>596</v>
      </c>
      <c r="B1" s="958"/>
      <c r="C1" s="958"/>
      <c r="D1" s="958"/>
      <c r="E1" s="958"/>
      <c r="F1" s="958"/>
      <c r="G1" s="958"/>
      <c r="H1" s="958"/>
      <c r="I1" s="958"/>
      <c r="J1" s="958"/>
      <c r="K1" s="958"/>
      <c r="L1" s="958"/>
      <c r="M1" s="958"/>
      <c r="N1" s="958"/>
      <c r="O1" s="958"/>
      <c r="P1" s="958"/>
      <c r="Q1" s="958"/>
      <c r="R1" s="958"/>
      <c r="S1" s="958"/>
      <c r="T1" s="958"/>
      <c r="U1" s="958"/>
      <c r="V1" s="958"/>
      <c r="W1" s="958"/>
      <c r="X1" s="958"/>
      <c r="Y1" s="958"/>
      <c r="Z1" s="958"/>
      <c r="AA1" s="958"/>
      <c r="AB1" s="958"/>
      <c r="AC1" s="958"/>
      <c r="AD1" s="958"/>
      <c r="AE1" s="958"/>
      <c r="AF1" s="958"/>
      <c r="AG1" s="958"/>
      <c r="AH1" s="958"/>
      <c r="AI1" s="958"/>
      <c r="AJ1" s="958"/>
      <c r="AK1" s="958"/>
      <c r="AL1" s="958"/>
    </row>
    <row r="2" spans="1:38" ht="13.5" thickBot="1">
      <c r="A2" s="959"/>
      <c r="B2" s="959"/>
      <c r="C2" s="959"/>
      <c r="D2" s="959"/>
      <c r="E2" s="959"/>
      <c r="F2" s="959"/>
      <c r="G2" s="959"/>
      <c r="H2" s="959"/>
      <c r="I2" s="959"/>
      <c r="J2" s="959"/>
      <c r="K2" s="959"/>
      <c r="L2" s="959"/>
      <c r="M2" s="959"/>
      <c r="N2" s="959"/>
      <c r="O2" s="959"/>
      <c r="P2" s="959"/>
      <c r="Q2" s="959"/>
      <c r="R2" s="959"/>
      <c r="S2" s="959"/>
      <c r="T2" s="959"/>
      <c r="U2" s="959"/>
      <c r="V2" s="959"/>
      <c r="W2" s="959"/>
      <c r="X2" s="959"/>
      <c r="Y2" s="959"/>
      <c r="Z2" s="959"/>
      <c r="AA2" s="959"/>
      <c r="AB2" s="959"/>
      <c r="AC2" s="959"/>
      <c r="AD2" s="959"/>
      <c r="AE2" s="959"/>
      <c r="AF2" s="959"/>
      <c r="AG2" s="959"/>
      <c r="AH2" s="959"/>
      <c r="AI2" s="959"/>
      <c r="AJ2" s="959"/>
      <c r="AK2" s="959"/>
      <c r="AL2" s="959"/>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0" t="s">
        <v>1432</v>
      </c>
      <c r="E7" s="960"/>
      <c r="F7" s="960"/>
      <c r="G7" s="960"/>
      <c r="H7" s="960"/>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0"/>
      <c r="AL7" s="770"/>
    </row>
    <row r="8" spans="1:38">
      <c r="A8" s="337"/>
      <c r="B8" s="335"/>
      <c r="C8" s="336"/>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770"/>
    </row>
    <row r="9" spans="1:38">
      <c r="A9" s="337"/>
      <c r="B9" s="335"/>
      <c r="C9" s="336"/>
      <c r="D9" s="960"/>
      <c r="E9" s="960"/>
      <c r="F9" s="960"/>
      <c r="G9" s="960"/>
      <c r="H9" s="960"/>
      <c r="I9" s="960"/>
      <c r="J9" s="960"/>
      <c r="K9" s="960"/>
      <c r="L9" s="960"/>
      <c r="M9" s="960"/>
      <c r="N9" s="960"/>
      <c r="O9" s="960"/>
      <c r="P9" s="960"/>
      <c r="Q9" s="960"/>
      <c r="R9" s="960"/>
      <c r="S9" s="960"/>
      <c r="T9" s="960"/>
      <c r="U9" s="960"/>
      <c r="V9" s="960"/>
      <c r="W9" s="960"/>
      <c r="X9" s="960"/>
      <c r="Y9" s="960"/>
      <c r="Z9" s="960"/>
      <c r="AA9" s="960"/>
      <c r="AB9" s="960"/>
      <c r="AC9" s="960"/>
      <c r="AD9" s="960"/>
      <c r="AE9" s="960"/>
      <c r="AF9" s="960"/>
      <c r="AG9" s="960"/>
      <c r="AH9" s="960"/>
      <c r="AI9" s="960"/>
      <c r="AJ9" s="960"/>
      <c r="AK9" s="96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0" t="s">
        <v>1440</v>
      </c>
      <c r="E11" s="960"/>
      <c r="F11" s="960"/>
      <c r="G11" s="960"/>
      <c r="H11" s="960"/>
      <c r="I11" s="960"/>
      <c r="J11" s="960"/>
      <c r="K11" s="960"/>
      <c r="L11" s="960"/>
      <c r="M11" s="960"/>
      <c r="N11" s="960"/>
      <c r="O11" s="960"/>
      <c r="P11" s="960"/>
      <c r="Q11" s="960"/>
      <c r="R11" s="960"/>
      <c r="S11" s="960"/>
      <c r="T11" s="960"/>
      <c r="U11" s="960"/>
      <c r="V11" s="960"/>
      <c r="W11" s="960"/>
      <c r="X11" s="960"/>
      <c r="Y11" s="960"/>
      <c r="Z11" s="960"/>
      <c r="AA11" s="960"/>
      <c r="AB11" s="960"/>
      <c r="AC11" s="960"/>
      <c r="AD11" s="960"/>
      <c r="AE11" s="960"/>
      <c r="AF11" s="960"/>
      <c r="AG11" s="960"/>
      <c r="AH11" s="960"/>
      <c r="AI11" s="960"/>
      <c r="AJ11" s="960"/>
      <c r="AK11" s="960"/>
      <c r="AL11" s="770"/>
    </row>
    <row r="12" spans="1:38">
      <c r="A12" s="337"/>
      <c r="B12" s="335"/>
      <c r="C12" s="336"/>
      <c r="D12" s="960"/>
      <c r="E12" s="960"/>
      <c r="F12" s="960"/>
      <c r="G12" s="960"/>
      <c r="H12" s="960"/>
      <c r="I12" s="960"/>
      <c r="J12" s="960"/>
      <c r="K12" s="960"/>
      <c r="L12" s="960"/>
      <c r="M12" s="960"/>
      <c r="N12" s="960"/>
      <c r="O12" s="960"/>
      <c r="P12" s="960"/>
      <c r="Q12" s="960"/>
      <c r="R12" s="960"/>
      <c r="S12" s="960"/>
      <c r="T12" s="960"/>
      <c r="U12" s="960"/>
      <c r="V12" s="960"/>
      <c r="W12" s="960"/>
      <c r="X12" s="960"/>
      <c r="Y12" s="960"/>
      <c r="Z12" s="960"/>
      <c r="AA12" s="960"/>
      <c r="AB12" s="960"/>
      <c r="AC12" s="960"/>
      <c r="AD12" s="960"/>
      <c r="AE12" s="960"/>
      <c r="AF12" s="960"/>
      <c r="AG12" s="960"/>
      <c r="AH12" s="960"/>
      <c r="AI12" s="960"/>
      <c r="AJ12" s="960"/>
      <c r="AK12" s="960"/>
      <c r="AL12" s="770"/>
    </row>
    <row r="13" spans="1:38" s="741" customFormat="1">
      <c r="A13" s="337"/>
      <c r="B13" s="335"/>
      <c r="C13" s="336"/>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770"/>
    </row>
    <row r="14" spans="1:38" s="741" customFormat="1" ht="13.15" customHeight="1">
      <c r="A14" s="337"/>
      <c r="B14" s="335"/>
      <c r="C14" s="336"/>
      <c r="E14" s="962" t="s">
        <v>1433</v>
      </c>
      <c r="F14" s="962"/>
      <c r="G14" s="962"/>
      <c r="H14" s="962"/>
      <c r="I14" s="962"/>
      <c r="J14" s="962"/>
      <c r="K14" s="962"/>
      <c r="L14" s="962"/>
      <c r="M14" s="962"/>
      <c r="N14" s="962"/>
      <c r="O14" s="962"/>
      <c r="P14" s="962"/>
      <c r="Q14" s="962"/>
      <c r="R14" s="962"/>
      <c r="S14" s="962"/>
      <c r="T14" s="962"/>
      <c r="U14" s="962"/>
      <c r="V14" s="962"/>
      <c r="W14" s="962"/>
      <c r="X14" s="962"/>
      <c r="Y14" s="962"/>
      <c r="Z14" s="962"/>
      <c r="AA14" s="962"/>
      <c r="AB14" s="962"/>
      <c r="AC14" s="962"/>
      <c r="AD14" s="962"/>
      <c r="AE14" s="962"/>
      <c r="AF14" s="962"/>
      <c r="AG14" s="962"/>
      <c r="AH14" s="962"/>
      <c r="AI14" s="962"/>
      <c r="AJ14" s="962"/>
      <c r="AK14" s="962"/>
      <c r="AL14" s="770"/>
    </row>
    <row r="15" spans="1:38" s="741" customFormat="1">
      <c r="A15" s="337"/>
      <c r="B15" s="335"/>
      <c r="C15" s="336"/>
      <c r="D15" s="770"/>
      <c r="E15" s="962"/>
      <c r="F15" s="962"/>
      <c r="G15" s="962"/>
      <c r="H15" s="962"/>
      <c r="I15" s="962"/>
      <c r="J15" s="962"/>
      <c r="K15" s="962"/>
      <c r="L15" s="962"/>
      <c r="M15" s="962"/>
      <c r="N15" s="962"/>
      <c r="O15" s="962"/>
      <c r="P15" s="962"/>
      <c r="Q15" s="962"/>
      <c r="R15" s="962"/>
      <c r="S15" s="962"/>
      <c r="T15" s="962"/>
      <c r="U15" s="962"/>
      <c r="V15" s="962"/>
      <c r="W15" s="962"/>
      <c r="X15" s="962"/>
      <c r="Y15" s="962"/>
      <c r="Z15" s="962"/>
      <c r="AA15" s="962"/>
      <c r="AB15" s="962"/>
      <c r="AC15" s="962"/>
      <c r="AD15" s="962"/>
      <c r="AE15" s="962"/>
      <c r="AF15" s="962"/>
      <c r="AG15" s="962"/>
      <c r="AH15" s="962"/>
      <c r="AI15" s="962"/>
      <c r="AJ15" s="962"/>
      <c r="AK15" s="962"/>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2" t="s">
        <v>1597</v>
      </c>
      <c r="E17" s="962"/>
      <c r="F17" s="962"/>
      <c r="G17" s="962"/>
      <c r="H17" s="962"/>
      <c r="I17" s="962"/>
      <c r="J17" s="962"/>
      <c r="K17" s="962"/>
      <c r="L17" s="962"/>
      <c r="M17" s="962"/>
      <c r="N17" s="962"/>
      <c r="O17" s="962"/>
      <c r="P17" s="962"/>
      <c r="Q17" s="962"/>
      <c r="R17" s="962"/>
      <c r="S17" s="962"/>
      <c r="T17" s="962"/>
      <c r="U17" s="962"/>
      <c r="V17" s="962"/>
      <c r="W17" s="962"/>
      <c r="X17" s="962"/>
      <c r="Y17" s="962"/>
      <c r="Z17" s="962"/>
      <c r="AA17" s="962"/>
      <c r="AB17" s="962"/>
      <c r="AC17" s="962"/>
      <c r="AD17" s="962"/>
      <c r="AE17" s="962"/>
      <c r="AF17" s="962"/>
      <c r="AG17" s="962"/>
      <c r="AH17" s="962"/>
      <c r="AI17" s="962"/>
      <c r="AJ17" s="962"/>
      <c r="AK17" s="962"/>
      <c r="AL17" s="335"/>
    </row>
    <row r="18" spans="1:38">
      <c r="A18" s="337"/>
      <c r="B18" s="335"/>
      <c r="C18" s="336"/>
      <c r="D18" s="962"/>
      <c r="E18" s="962"/>
      <c r="F18" s="962"/>
      <c r="G18" s="962"/>
      <c r="H18" s="962"/>
      <c r="I18" s="962"/>
      <c r="J18" s="962"/>
      <c r="K18" s="962"/>
      <c r="L18" s="962"/>
      <c r="M18" s="962"/>
      <c r="N18" s="962"/>
      <c r="O18" s="962"/>
      <c r="P18" s="962"/>
      <c r="Q18" s="962"/>
      <c r="R18" s="962"/>
      <c r="S18" s="962"/>
      <c r="T18" s="962"/>
      <c r="U18" s="962"/>
      <c r="V18" s="962"/>
      <c r="W18" s="962"/>
      <c r="X18" s="962"/>
      <c r="Y18" s="962"/>
      <c r="Z18" s="962"/>
      <c r="AA18" s="962"/>
      <c r="AB18" s="962"/>
      <c r="AC18" s="962"/>
      <c r="AD18" s="962"/>
      <c r="AE18" s="962"/>
      <c r="AF18" s="962"/>
      <c r="AG18" s="962"/>
      <c r="AH18" s="962"/>
      <c r="AI18" s="962"/>
      <c r="AJ18" s="962"/>
      <c r="AK18" s="962"/>
      <c r="AL18" s="335"/>
    </row>
    <row r="19" spans="1:38" s="741" customFormat="1">
      <c r="A19" s="337"/>
      <c r="B19" s="335"/>
      <c r="C19" s="336"/>
      <c r="D19" s="962"/>
      <c r="E19" s="962"/>
      <c r="F19" s="962"/>
      <c r="G19" s="962"/>
      <c r="H19" s="962"/>
      <c r="I19" s="962"/>
      <c r="J19" s="962"/>
      <c r="K19" s="962"/>
      <c r="L19" s="962"/>
      <c r="M19" s="962"/>
      <c r="N19" s="962"/>
      <c r="O19" s="962"/>
      <c r="P19" s="962"/>
      <c r="Q19" s="962"/>
      <c r="R19" s="962"/>
      <c r="S19" s="962"/>
      <c r="T19" s="962"/>
      <c r="U19" s="962"/>
      <c r="V19" s="962"/>
      <c r="W19" s="962"/>
      <c r="X19" s="962"/>
      <c r="Y19" s="962"/>
      <c r="Z19" s="962"/>
      <c r="AA19" s="962"/>
      <c r="AB19" s="962"/>
      <c r="AC19" s="962"/>
      <c r="AD19" s="962"/>
      <c r="AE19" s="962"/>
      <c r="AF19" s="962"/>
      <c r="AG19" s="962"/>
      <c r="AH19" s="962"/>
      <c r="AI19" s="962"/>
      <c r="AJ19" s="962"/>
      <c r="AK19" s="962"/>
      <c r="AL19" s="335"/>
    </row>
    <row r="20" spans="1:38" s="741" customFormat="1" ht="13.15" customHeight="1">
      <c r="A20" s="337"/>
      <c r="B20" s="335"/>
      <c r="C20" s="336"/>
      <c r="D20" s="962"/>
      <c r="E20" s="962"/>
      <c r="F20" s="962"/>
      <c r="G20" s="962"/>
      <c r="H20" s="962"/>
      <c r="I20" s="962"/>
      <c r="J20" s="962"/>
      <c r="K20" s="962"/>
      <c r="L20" s="962"/>
      <c r="M20" s="962"/>
      <c r="N20" s="962"/>
      <c r="O20" s="962"/>
      <c r="P20" s="962"/>
      <c r="Q20" s="962"/>
      <c r="R20" s="962"/>
      <c r="S20" s="962"/>
      <c r="T20" s="962"/>
      <c r="U20" s="962"/>
      <c r="V20" s="962"/>
      <c r="W20" s="962"/>
      <c r="X20" s="962"/>
      <c r="Y20" s="962"/>
      <c r="Z20" s="962"/>
      <c r="AA20" s="962"/>
      <c r="AB20" s="962"/>
      <c r="AC20" s="962"/>
      <c r="AD20" s="962"/>
      <c r="AE20" s="962"/>
      <c r="AF20" s="962"/>
      <c r="AG20" s="962"/>
      <c r="AH20" s="962"/>
      <c r="AI20" s="962"/>
      <c r="AJ20" s="962"/>
      <c r="AK20" s="962"/>
      <c r="AL20" s="335"/>
    </row>
    <row r="21" spans="1:38" s="741" customFormat="1">
      <c r="A21" s="337"/>
      <c r="B21" s="335"/>
      <c r="C21" s="336"/>
      <c r="D21" s="962"/>
      <c r="E21" s="962"/>
      <c r="F21" s="962"/>
      <c r="G21" s="962"/>
      <c r="H21" s="962"/>
      <c r="I21" s="962"/>
      <c r="J21" s="962"/>
      <c r="K21" s="962"/>
      <c r="L21" s="962"/>
      <c r="M21" s="962"/>
      <c r="N21" s="962"/>
      <c r="O21" s="962"/>
      <c r="P21" s="962"/>
      <c r="Q21" s="962"/>
      <c r="R21" s="962"/>
      <c r="S21" s="962"/>
      <c r="T21" s="962"/>
      <c r="U21" s="962"/>
      <c r="V21" s="962"/>
      <c r="W21" s="962"/>
      <c r="X21" s="962"/>
      <c r="Y21" s="962"/>
      <c r="Z21" s="962"/>
      <c r="AA21" s="962"/>
      <c r="AB21" s="962"/>
      <c r="AC21" s="962"/>
      <c r="AD21" s="962"/>
      <c r="AE21" s="962"/>
      <c r="AF21" s="962"/>
      <c r="AG21" s="962"/>
      <c r="AH21" s="962"/>
      <c r="AI21" s="962"/>
      <c r="AJ21" s="962"/>
      <c r="AK21" s="962"/>
      <c r="AL21" s="335"/>
    </row>
    <row r="22" spans="1:38" s="741" customFormat="1">
      <c r="A22" s="337"/>
      <c r="B22" s="335"/>
      <c r="C22" s="336"/>
      <c r="D22" s="962"/>
      <c r="E22" s="962"/>
      <c r="F22" s="962"/>
      <c r="G22" s="962"/>
      <c r="H22" s="962"/>
      <c r="I22" s="962"/>
      <c r="J22" s="962"/>
      <c r="K22" s="962"/>
      <c r="L22" s="962"/>
      <c r="M22" s="962"/>
      <c r="N22" s="962"/>
      <c r="O22" s="962"/>
      <c r="P22" s="962"/>
      <c r="Q22" s="962"/>
      <c r="R22" s="962"/>
      <c r="S22" s="962"/>
      <c r="T22" s="962"/>
      <c r="U22" s="962"/>
      <c r="V22" s="962"/>
      <c r="W22" s="962"/>
      <c r="X22" s="962"/>
      <c r="Y22" s="962"/>
      <c r="Z22" s="962"/>
      <c r="AA22" s="962"/>
      <c r="AB22" s="962"/>
      <c r="AC22" s="962"/>
      <c r="AD22" s="962"/>
      <c r="AE22" s="962"/>
      <c r="AF22" s="962"/>
      <c r="AG22" s="962"/>
      <c r="AH22" s="962"/>
      <c r="AI22" s="962"/>
      <c r="AJ22" s="962"/>
      <c r="AK22" s="962"/>
      <c r="AL22" s="335"/>
    </row>
    <row r="23" spans="1:38">
      <c r="A23" s="337"/>
      <c r="B23" s="335"/>
      <c r="C23" s="336"/>
      <c r="D23" s="962"/>
      <c r="E23" s="962"/>
      <c r="F23" s="962"/>
      <c r="G23" s="962"/>
      <c r="H23" s="962"/>
      <c r="I23" s="962"/>
      <c r="J23" s="962"/>
      <c r="K23" s="962"/>
      <c r="L23" s="962"/>
      <c r="M23" s="962"/>
      <c r="N23" s="962"/>
      <c r="O23" s="962"/>
      <c r="P23" s="962"/>
      <c r="Q23" s="962"/>
      <c r="R23" s="962"/>
      <c r="S23" s="962"/>
      <c r="T23" s="962"/>
      <c r="U23" s="962"/>
      <c r="V23" s="962"/>
      <c r="W23" s="962"/>
      <c r="X23" s="962"/>
      <c r="Y23" s="962"/>
      <c r="Z23" s="962"/>
      <c r="AA23" s="962"/>
      <c r="AB23" s="962"/>
      <c r="AC23" s="962"/>
      <c r="AD23" s="962"/>
      <c r="AE23" s="962"/>
      <c r="AF23" s="962"/>
      <c r="AG23" s="962"/>
      <c r="AH23" s="962"/>
      <c r="AI23" s="962"/>
      <c r="AJ23" s="962"/>
      <c r="AK23" s="962"/>
      <c r="AL23" s="335"/>
    </row>
    <row r="24" spans="1:38" s="741" customFormat="1">
      <c r="A24" s="337"/>
      <c r="B24" s="335"/>
      <c r="C24" s="336"/>
      <c r="D24" s="962"/>
      <c r="E24" s="962"/>
      <c r="F24" s="962"/>
      <c r="G24" s="962"/>
      <c r="H24" s="962"/>
      <c r="I24" s="962"/>
      <c r="J24" s="962"/>
      <c r="K24" s="962"/>
      <c r="L24" s="962"/>
      <c r="M24" s="962"/>
      <c r="N24" s="962"/>
      <c r="O24" s="962"/>
      <c r="P24" s="962"/>
      <c r="Q24" s="962"/>
      <c r="R24" s="962"/>
      <c r="S24" s="962"/>
      <c r="T24" s="962"/>
      <c r="U24" s="962"/>
      <c r="V24" s="962"/>
      <c r="W24" s="962"/>
      <c r="X24" s="962"/>
      <c r="Y24" s="962"/>
      <c r="Z24" s="962"/>
      <c r="AA24" s="962"/>
      <c r="AB24" s="962"/>
      <c r="AC24" s="962"/>
      <c r="AD24" s="962"/>
      <c r="AE24" s="962"/>
      <c r="AF24" s="962"/>
      <c r="AG24" s="962"/>
      <c r="AH24" s="962"/>
      <c r="AI24" s="962"/>
      <c r="AJ24" s="962"/>
      <c r="AK24" s="962"/>
      <c r="AL24" s="335"/>
    </row>
    <row r="25" spans="1:38" s="741" customFormat="1">
      <c r="A25" s="337"/>
      <c r="B25" s="335"/>
      <c r="C25" s="336"/>
      <c r="D25" s="962"/>
      <c r="E25" s="962"/>
      <c r="F25" s="962"/>
      <c r="G25" s="962"/>
      <c r="H25" s="962"/>
      <c r="I25" s="962"/>
      <c r="J25" s="962"/>
      <c r="K25" s="962"/>
      <c r="L25" s="962"/>
      <c r="M25" s="962"/>
      <c r="N25" s="962"/>
      <c r="O25" s="962"/>
      <c r="P25" s="962"/>
      <c r="Q25" s="962"/>
      <c r="R25" s="962"/>
      <c r="S25" s="962"/>
      <c r="T25" s="962"/>
      <c r="U25" s="962"/>
      <c r="V25" s="962"/>
      <c r="W25" s="962"/>
      <c r="X25" s="962"/>
      <c r="Y25" s="962"/>
      <c r="Z25" s="962"/>
      <c r="AA25" s="962"/>
      <c r="AB25" s="962"/>
      <c r="AC25" s="962"/>
      <c r="AD25" s="962"/>
      <c r="AE25" s="962"/>
      <c r="AF25" s="962"/>
      <c r="AG25" s="962"/>
      <c r="AH25" s="962"/>
      <c r="AI25" s="962"/>
      <c r="AJ25" s="962"/>
      <c r="AK25" s="962"/>
      <c r="AL25" s="335"/>
    </row>
    <row r="26" spans="1:38" s="741" customFormat="1" ht="11.85" customHeight="1">
      <c r="A26" s="337"/>
      <c r="B26" s="335"/>
      <c r="C26" s="336"/>
      <c r="D26" s="962"/>
      <c r="E26" s="962"/>
      <c r="F26" s="962"/>
      <c r="G26" s="962"/>
      <c r="H26" s="962"/>
      <c r="I26" s="962"/>
      <c r="J26" s="962"/>
      <c r="K26" s="962"/>
      <c r="L26" s="962"/>
      <c r="M26" s="962"/>
      <c r="N26" s="962"/>
      <c r="O26" s="962"/>
      <c r="P26" s="962"/>
      <c r="Q26" s="962"/>
      <c r="R26" s="962"/>
      <c r="S26" s="962"/>
      <c r="T26" s="962"/>
      <c r="U26" s="962"/>
      <c r="V26" s="962"/>
      <c r="W26" s="962"/>
      <c r="X26" s="962"/>
      <c r="Y26" s="962"/>
      <c r="Z26" s="962"/>
      <c r="AA26" s="962"/>
      <c r="AB26" s="962"/>
      <c r="AC26" s="962"/>
      <c r="AD26" s="962"/>
      <c r="AE26" s="962"/>
      <c r="AF26" s="962"/>
      <c r="AG26" s="962"/>
      <c r="AH26" s="962"/>
      <c r="AI26" s="962"/>
      <c r="AJ26" s="962"/>
      <c r="AK26" s="962"/>
      <c r="AL26" s="335"/>
    </row>
    <row r="27" spans="1:38" s="741" customFormat="1" ht="13.15" customHeight="1">
      <c r="A27" s="337"/>
      <c r="B27" s="335"/>
      <c r="C27" s="336"/>
      <c r="E27" s="962" t="s">
        <v>1441</v>
      </c>
      <c r="F27" s="962"/>
      <c r="G27" s="962"/>
      <c r="H27" s="962"/>
      <c r="I27" s="962"/>
      <c r="J27" s="962"/>
      <c r="K27" s="962"/>
      <c r="L27" s="962"/>
      <c r="M27" s="962"/>
      <c r="N27" s="962"/>
      <c r="O27" s="962"/>
      <c r="P27" s="962"/>
      <c r="Q27" s="962"/>
      <c r="R27" s="962"/>
      <c r="S27" s="962"/>
      <c r="T27" s="962"/>
      <c r="U27" s="962"/>
      <c r="V27" s="962"/>
      <c r="W27" s="962"/>
      <c r="X27" s="962"/>
      <c r="Y27" s="962"/>
      <c r="Z27" s="962"/>
      <c r="AA27" s="962"/>
      <c r="AB27" s="962"/>
      <c r="AC27" s="962"/>
      <c r="AD27" s="962"/>
      <c r="AE27" s="962"/>
      <c r="AF27" s="962"/>
      <c r="AG27" s="962"/>
      <c r="AH27" s="962"/>
      <c r="AI27" s="962"/>
      <c r="AJ27" s="962"/>
      <c r="AK27" s="962"/>
      <c r="AL27" s="335"/>
    </row>
    <row r="28" spans="1:38" s="741" customFormat="1">
      <c r="A28" s="337"/>
      <c r="B28" s="335"/>
      <c r="C28" s="336"/>
      <c r="D28" s="770"/>
      <c r="E28" s="962"/>
      <c r="F28" s="962"/>
      <c r="G28" s="962"/>
      <c r="H28" s="962"/>
      <c r="I28" s="962"/>
      <c r="J28" s="962"/>
      <c r="K28" s="962"/>
      <c r="L28" s="962"/>
      <c r="M28" s="962"/>
      <c r="N28" s="962"/>
      <c r="O28" s="962"/>
      <c r="P28" s="962"/>
      <c r="Q28" s="962"/>
      <c r="R28" s="962"/>
      <c r="S28" s="962"/>
      <c r="T28" s="962"/>
      <c r="U28" s="962"/>
      <c r="V28" s="962"/>
      <c r="W28" s="962"/>
      <c r="X28" s="962"/>
      <c r="Y28" s="962"/>
      <c r="Z28" s="962"/>
      <c r="AA28" s="962"/>
      <c r="AB28" s="962"/>
      <c r="AC28" s="962"/>
      <c r="AD28" s="962"/>
      <c r="AE28" s="962"/>
      <c r="AF28" s="962"/>
      <c r="AG28" s="962"/>
      <c r="AH28" s="962"/>
      <c r="AI28" s="962"/>
      <c r="AJ28" s="962"/>
      <c r="AK28" s="962"/>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3" t="s">
        <v>1442</v>
      </c>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c r="AL30" s="335"/>
    </row>
    <row r="31" spans="1:38" s="741" customFormat="1">
      <c r="A31" s="337"/>
      <c r="B31" s="335"/>
      <c r="C31" s="336"/>
      <c r="D31" s="770"/>
      <c r="E31" s="969" t="s">
        <v>1507</v>
      </c>
      <c r="F31" s="969"/>
      <c r="G31" s="969"/>
      <c r="H31" s="969"/>
      <c r="I31" s="969"/>
      <c r="J31" s="969"/>
      <c r="K31" s="969"/>
      <c r="L31" s="969"/>
      <c r="M31" s="969"/>
      <c r="N31" s="969"/>
      <c r="O31" s="969"/>
      <c r="P31" s="969"/>
      <c r="Q31" s="969"/>
      <c r="R31" s="969"/>
      <c r="S31" s="969"/>
      <c r="T31" s="969"/>
      <c r="U31" s="969"/>
      <c r="V31" s="969"/>
      <c r="W31" s="969"/>
      <c r="X31" s="969"/>
      <c r="Y31" s="969"/>
      <c r="Z31" s="969"/>
      <c r="AA31" s="969"/>
      <c r="AB31" s="969"/>
      <c r="AC31" s="969"/>
      <c r="AD31" s="969"/>
      <c r="AE31" s="969"/>
      <c r="AF31" s="969"/>
      <c r="AG31" s="969"/>
      <c r="AH31" s="969"/>
      <c r="AI31" s="969"/>
      <c r="AJ31" s="969"/>
      <c r="AK31" s="969"/>
      <c r="AL31" s="335"/>
    </row>
    <row r="32" spans="1:38">
      <c r="A32" s="152"/>
      <c r="C32" s="5"/>
    </row>
    <row r="33" spans="1:38">
      <c r="A33" s="152"/>
      <c r="D33" s="961" t="s">
        <v>1427</v>
      </c>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row>
    <row r="34" spans="1:38">
      <c r="A34" s="152"/>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row>
    <row r="35" spans="1:38">
      <c r="A35" s="152"/>
      <c r="D35" s="259"/>
      <c r="E35" s="968" t="s">
        <v>1132</v>
      </c>
      <c r="F35" s="968"/>
      <c r="G35" s="968"/>
      <c r="H35" s="968"/>
      <c r="I35" s="968"/>
      <c r="J35" s="968"/>
      <c r="K35" s="968"/>
      <c r="L35" s="968"/>
      <c r="M35" s="968"/>
      <c r="N35" s="968"/>
      <c r="O35" s="968"/>
      <c r="P35" s="968"/>
      <c r="Q35" s="968"/>
      <c r="R35" s="968"/>
      <c r="S35" s="968"/>
      <c r="T35" s="968"/>
      <c r="U35" s="968"/>
      <c r="V35" s="968"/>
      <c r="W35" s="968"/>
      <c r="X35" s="968"/>
      <c r="Y35" s="968"/>
      <c r="Z35" s="968"/>
      <c r="AA35" s="968"/>
      <c r="AB35" s="968"/>
      <c r="AC35" s="968"/>
      <c r="AD35" s="968"/>
      <c r="AE35" s="968"/>
      <c r="AF35" s="968"/>
      <c r="AG35" s="968"/>
      <c r="AH35" s="968"/>
      <c r="AI35" s="968"/>
      <c r="AJ35" s="968"/>
      <c r="AK35" s="968"/>
    </row>
    <row r="36" spans="1:38">
      <c r="A36" s="152"/>
      <c r="D36" s="259"/>
      <c r="E36" s="968" t="s">
        <v>1439</v>
      </c>
      <c r="F36" s="968"/>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2" customFormat="1" ht="13.15" customHeight="1">
      <c r="A40" s="152"/>
      <c r="B40"/>
      <c r="C40" s="5"/>
      <c r="D40" s="152"/>
      <c r="E40" s="152" t="s">
        <v>706</v>
      </c>
      <c r="F40" s="962" t="s">
        <v>1400</v>
      </c>
    </row>
    <row r="41" spans="1:38" s="962"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3" t="s">
        <v>1529</v>
      </c>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c r="AL43" s="973"/>
    </row>
    <row r="44" spans="1:38" s="794" customFormat="1">
      <c r="A44" s="152"/>
      <c r="B44" s="741"/>
      <c r="C44" s="5"/>
      <c r="D44" s="152"/>
      <c r="E44" s="152"/>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c r="AL44" s="973"/>
    </row>
    <row r="45" spans="1:38" s="794" customFormat="1" ht="13.15" customHeight="1">
      <c r="A45" s="152"/>
      <c r="B45" s="741"/>
      <c r="C45" s="5"/>
      <c r="D45" s="152"/>
      <c r="E45" s="152"/>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c r="AD45" s="973"/>
      <c r="AE45" s="973"/>
      <c r="AF45" s="973"/>
      <c r="AG45" s="973"/>
      <c r="AH45" s="973"/>
      <c r="AI45" s="973"/>
      <c r="AJ45" s="973"/>
      <c r="AK45" s="973"/>
      <c r="AL45" s="973"/>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2" t="s">
        <v>1530</v>
      </c>
      <c r="G48" s="962"/>
      <c r="H48" s="962"/>
      <c r="I48" s="962"/>
      <c r="J48" s="962"/>
      <c r="K48" s="962"/>
      <c r="L48" s="962"/>
      <c r="M48" s="962"/>
      <c r="N48" s="962"/>
      <c r="O48" s="962"/>
      <c r="P48" s="962"/>
      <c r="Q48" s="962"/>
      <c r="R48" s="962"/>
      <c r="S48" s="962"/>
      <c r="T48" s="962"/>
      <c r="U48" s="962"/>
      <c r="V48" s="962"/>
      <c r="W48" s="962"/>
      <c r="X48" s="962"/>
      <c r="Y48" s="962"/>
      <c r="Z48" s="962"/>
      <c r="AA48" s="962"/>
      <c r="AB48" s="962"/>
      <c r="AC48" s="962"/>
      <c r="AD48" s="962"/>
      <c r="AE48" s="962"/>
      <c r="AF48" s="962"/>
      <c r="AG48" s="962"/>
      <c r="AH48" s="962"/>
      <c r="AI48" s="962"/>
      <c r="AJ48" s="962"/>
      <c r="AK48" s="962"/>
    </row>
    <row r="49" spans="1:38">
      <c r="A49" s="152"/>
      <c r="C49" s="5"/>
      <c r="D49" s="152"/>
      <c r="E49" s="152"/>
      <c r="F49" s="962"/>
      <c r="G49" s="962"/>
      <c r="H49" s="962"/>
      <c r="I49" s="962"/>
      <c r="J49" s="962"/>
      <c r="K49" s="962"/>
      <c r="L49" s="962"/>
      <c r="M49" s="962"/>
      <c r="N49" s="962"/>
      <c r="O49" s="962"/>
      <c r="P49" s="962"/>
      <c r="Q49" s="962"/>
      <c r="R49" s="962"/>
      <c r="S49" s="962"/>
      <c r="T49" s="962"/>
      <c r="U49" s="962"/>
      <c r="V49" s="962"/>
      <c r="W49" s="962"/>
      <c r="X49" s="962"/>
      <c r="Y49" s="962"/>
      <c r="Z49" s="962"/>
      <c r="AA49" s="962"/>
      <c r="AB49" s="962"/>
      <c r="AC49" s="962"/>
      <c r="AD49" s="962"/>
      <c r="AE49" s="962"/>
      <c r="AF49" s="962"/>
      <c r="AG49" s="962"/>
      <c r="AH49" s="962"/>
      <c r="AI49" s="962"/>
      <c r="AJ49" s="962"/>
      <c r="AK49" s="962"/>
    </row>
    <row r="50" spans="1:38">
      <c r="A50" s="152"/>
      <c r="C50" s="5"/>
      <c r="D50" s="152"/>
      <c r="F50" s="962"/>
      <c r="G50" s="962"/>
      <c r="H50" s="962"/>
      <c r="I50" s="962"/>
      <c r="J50" s="962"/>
      <c r="K50" s="962"/>
      <c r="L50" s="962"/>
      <c r="M50" s="962"/>
      <c r="N50" s="962"/>
      <c r="O50" s="962"/>
      <c r="P50" s="962"/>
      <c r="Q50" s="962"/>
      <c r="R50" s="962"/>
      <c r="S50" s="962"/>
      <c r="T50" s="962"/>
      <c r="U50" s="962"/>
      <c r="V50" s="962"/>
      <c r="W50" s="962"/>
      <c r="X50" s="962"/>
      <c r="Y50" s="962"/>
      <c r="Z50" s="962"/>
      <c r="AA50" s="962"/>
      <c r="AB50" s="962"/>
      <c r="AC50" s="962"/>
      <c r="AD50" s="962"/>
      <c r="AE50" s="962"/>
      <c r="AF50" s="962"/>
      <c r="AG50" s="962"/>
      <c r="AH50" s="962"/>
      <c r="AI50" s="962"/>
      <c r="AJ50" s="962"/>
      <c r="AK50" s="962"/>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4" t="s">
        <v>1443</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625</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72" t="s">
        <v>1531</v>
      </c>
      <c r="H57" s="972"/>
      <c r="I57" s="972"/>
      <c r="J57" s="972"/>
      <c r="K57" s="972"/>
      <c r="L57" s="972"/>
      <c r="M57" s="972"/>
      <c r="N57" s="972"/>
      <c r="O57" s="972"/>
      <c r="P57" s="972"/>
      <c r="Q57" s="972"/>
      <c r="R57" s="972"/>
      <c r="S57" s="972"/>
      <c r="T57" s="972"/>
      <c r="U57" s="972"/>
      <c r="V57" s="972"/>
      <c r="W57" s="972"/>
      <c r="X57" s="972"/>
      <c r="Y57" s="972"/>
      <c r="Z57" s="972"/>
      <c r="AA57" s="972"/>
      <c r="AB57" s="972"/>
      <c r="AC57" s="972"/>
      <c r="AD57" s="972"/>
      <c r="AE57" s="972"/>
      <c r="AF57" s="972"/>
      <c r="AG57" s="972"/>
      <c r="AH57" s="972"/>
      <c r="AI57" s="972"/>
      <c r="AJ57" s="972"/>
      <c r="AK57" s="972"/>
      <c r="AL57" s="972"/>
    </row>
    <row r="58" spans="1:38" s="2" customFormat="1">
      <c r="A58" s="337"/>
      <c r="B58" s="335"/>
      <c r="C58" s="336"/>
      <c r="D58" s="336"/>
      <c r="E58" s="337"/>
      <c r="F58" s="341"/>
      <c r="G58" s="972"/>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c r="AL58" s="972"/>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2" t="s">
        <v>1402</v>
      </c>
      <c r="H64" s="962"/>
      <c r="I64" s="962"/>
      <c r="J64" s="962"/>
      <c r="K64" s="962"/>
      <c r="L64" s="962"/>
      <c r="M64" s="962"/>
      <c r="N64" s="962"/>
      <c r="O64" s="962"/>
      <c r="P64" s="962"/>
      <c r="Q64" s="962"/>
      <c r="R64" s="962"/>
      <c r="S64" s="962"/>
      <c r="T64" s="962"/>
      <c r="U64" s="962"/>
      <c r="V64" s="962"/>
      <c r="W64" s="962"/>
      <c r="X64" s="962"/>
      <c r="Y64" s="962"/>
      <c r="Z64" s="962"/>
      <c r="AA64" s="962"/>
      <c r="AB64" s="962"/>
      <c r="AC64" s="962"/>
      <c r="AD64" s="962"/>
      <c r="AE64" s="962"/>
      <c r="AF64" s="962"/>
      <c r="AG64" s="962"/>
      <c r="AH64" s="962"/>
      <c r="AI64" s="962"/>
      <c r="AJ64" s="962"/>
      <c r="AK64" s="962"/>
    </row>
    <row r="65" spans="1:37">
      <c r="A65" s="152"/>
      <c r="C65" s="5"/>
      <c r="D65" s="152"/>
      <c r="E65" s="152"/>
      <c r="F65" s="9"/>
      <c r="G65" s="962"/>
      <c r="H65" s="962"/>
      <c r="I65" s="962"/>
      <c r="J65" s="962"/>
      <c r="K65" s="962"/>
      <c r="L65" s="962"/>
      <c r="M65" s="962"/>
      <c r="N65" s="962"/>
      <c r="O65" s="962"/>
      <c r="P65" s="962"/>
      <c r="Q65" s="962"/>
      <c r="R65" s="962"/>
      <c r="S65" s="962"/>
      <c r="T65" s="962"/>
      <c r="U65" s="962"/>
      <c r="V65" s="962"/>
      <c r="W65" s="962"/>
      <c r="X65" s="962"/>
      <c r="Y65" s="962"/>
      <c r="Z65" s="962"/>
      <c r="AA65" s="962"/>
      <c r="AB65" s="962"/>
      <c r="AC65" s="962"/>
      <c r="AD65" s="962"/>
      <c r="AE65" s="962"/>
      <c r="AF65" s="962"/>
      <c r="AG65" s="962"/>
      <c r="AH65" s="962"/>
      <c r="AI65" s="962"/>
      <c r="AJ65" s="962"/>
      <c r="AK65" s="962"/>
    </row>
    <row r="66" spans="1:37">
      <c r="A66" s="152"/>
      <c r="C66" s="5"/>
      <c r="D66" s="152"/>
      <c r="E66" s="152"/>
      <c r="F66" s="9"/>
      <c r="G66" s="962"/>
      <c r="H66" s="962"/>
      <c r="I66" s="962"/>
      <c r="J66" s="962"/>
      <c r="K66" s="962"/>
      <c r="L66" s="962"/>
      <c r="M66" s="962"/>
      <c r="N66" s="962"/>
      <c r="O66" s="962"/>
      <c r="P66" s="962"/>
      <c r="Q66" s="962"/>
      <c r="R66" s="962"/>
      <c r="S66" s="962"/>
      <c r="T66" s="962"/>
      <c r="U66" s="962"/>
      <c r="V66" s="962"/>
      <c r="W66" s="962"/>
      <c r="X66" s="962"/>
      <c r="Y66" s="962"/>
      <c r="Z66" s="962"/>
      <c r="AA66" s="962"/>
      <c r="AB66" s="962"/>
      <c r="AC66" s="962"/>
      <c r="AD66" s="962"/>
      <c r="AE66" s="962"/>
      <c r="AF66" s="962"/>
      <c r="AG66" s="962"/>
      <c r="AH66" s="962"/>
      <c r="AI66" s="962"/>
      <c r="AJ66" s="962"/>
      <c r="AK66" s="962"/>
    </row>
    <row r="67" spans="1:37" ht="13.15" customHeight="1">
      <c r="A67" s="152"/>
      <c r="C67" s="5"/>
      <c r="D67" s="152"/>
      <c r="E67" s="152"/>
      <c r="F67" s="9" t="s">
        <v>555</v>
      </c>
      <c r="G67" s="962" t="s">
        <v>1403</v>
      </c>
      <c r="H67" s="962"/>
      <c r="I67" s="962"/>
      <c r="J67" s="962"/>
      <c r="K67" s="962"/>
      <c r="L67" s="962"/>
      <c r="M67" s="962"/>
      <c r="N67" s="962"/>
      <c r="O67" s="962"/>
      <c r="P67" s="962"/>
      <c r="Q67" s="962"/>
      <c r="R67" s="962"/>
      <c r="S67" s="962"/>
      <c r="T67" s="962"/>
      <c r="U67" s="962"/>
      <c r="V67" s="962"/>
      <c r="W67" s="962"/>
      <c r="X67" s="962"/>
      <c r="Y67" s="962"/>
      <c r="Z67" s="962"/>
      <c r="AA67" s="962"/>
      <c r="AB67" s="962"/>
      <c r="AC67" s="962"/>
      <c r="AD67" s="962"/>
      <c r="AE67" s="962"/>
      <c r="AF67" s="962"/>
      <c r="AG67" s="962"/>
      <c r="AH67" s="962"/>
      <c r="AI67" s="962"/>
      <c r="AJ67" s="962"/>
      <c r="AK67" s="962"/>
    </row>
    <row r="68" spans="1:37">
      <c r="A68" s="152"/>
      <c r="C68" s="5"/>
      <c r="D68" s="152"/>
      <c r="E68" s="152"/>
      <c r="F68" s="396"/>
      <c r="G68" s="962"/>
      <c r="H68" s="962"/>
      <c r="I68" s="962"/>
      <c r="J68" s="962"/>
      <c r="K68" s="962"/>
      <c r="L68" s="962"/>
      <c r="M68" s="962"/>
      <c r="N68" s="962"/>
      <c r="O68" s="962"/>
      <c r="P68" s="962"/>
      <c r="Q68" s="962"/>
      <c r="R68" s="962"/>
      <c r="S68" s="962"/>
      <c r="T68" s="962"/>
      <c r="U68" s="962"/>
      <c r="V68" s="962"/>
      <c r="W68" s="962"/>
      <c r="X68" s="962"/>
      <c r="Y68" s="962"/>
      <c r="Z68" s="962"/>
      <c r="AA68" s="962"/>
      <c r="AB68" s="962"/>
      <c r="AC68" s="962"/>
      <c r="AD68" s="962"/>
      <c r="AE68" s="962"/>
      <c r="AF68" s="962"/>
      <c r="AG68" s="962"/>
      <c r="AH68" s="962"/>
      <c r="AI68" s="962"/>
      <c r="AJ68" s="962"/>
      <c r="AK68" s="962"/>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2" t="s">
        <v>1404</v>
      </c>
      <c r="H70" s="962"/>
      <c r="I70" s="962"/>
      <c r="J70" s="962"/>
      <c r="K70" s="962"/>
      <c r="L70" s="962"/>
      <c r="M70" s="962"/>
      <c r="N70" s="962"/>
      <c r="O70" s="962"/>
      <c r="P70" s="962"/>
      <c r="Q70" s="962"/>
      <c r="R70" s="962"/>
      <c r="S70" s="962"/>
      <c r="T70" s="962"/>
      <c r="U70" s="962"/>
      <c r="V70" s="962"/>
      <c r="W70" s="962"/>
      <c r="X70" s="962"/>
      <c r="Y70" s="962"/>
      <c r="Z70" s="962"/>
      <c r="AA70" s="962"/>
      <c r="AB70" s="962"/>
      <c r="AC70" s="962"/>
      <c r="AD70" s="962"/>
      <c r="AE70" s="962"/>
      <c r="AF70" s="962"/>
      <c r="AG70" s="962"/>
      <c r="AH70" s="962"/>
      <c r="AI70" s="962"/>
      <c r="AJ70" s="962"/>
      <c r="AK70" s="962"/>
    </row>
    <row r="71" spans="1:37">
      <c r="A71" s="152"/>
      <c r="C71" s="5"/>
      <c r="D71" s="152"/>
      <c r="E71" s="152"/>
      <c r="F71" s="258"/>
      <c r="G71" s="962"/>
      <c r="H71" s="962"/>
      <c r="I71" s="962"/>
      <c r="J71" s="962"/>
      <c r="K71" s="962"/>
      <c r="L71" s="962"/>
      <c r="M71" s="962"/>
      <c r="N71" s="962"/>
      <c r="O71" s="962"/>
      <c r="P71" s="962"/>
      <c r="Q71" s="962"/>
      <c r="R71" s="962"/>
      <c r="S71" s="962"/>
      <c r="T71" s="962"/>
      <c r="U71" s="962"/>
      <c r="V71" s="962"/>
      <c r="W71" s="962"/>
      <c r="X71" s="962"/>
      <c r="Y71" s="962"/>
      <c r="Z71" s="962"/>
      <c r="AA71" s="962"/>
      <c r="AB71" s="962"/>
      <c r="AC71" s="962"/>
      <c r="AD71" s="962"/>
      <c r="AE71" s="962"/>
      <c r="AF71" s="962"/>
      <c r="AG71" s="962"/>
      <c r="AH71" s="962"/>
      <c r="AI71" s="962"/>
      <c r="AJ71" s="962"/>
      <c r="AK71" s="962"/>
    </row>
    <row r="72" spans="1:37">
      <c r="A72" s="152"/>
      <c r="C72" s="5"/>
      <c r="D72" s="152"/>
      <c r="E72" s="152"/>
      <c r="F72" s="258" t="s">
        <v>555</v>
      </c>
      <c r="G72" s="962" t="s">
        <v>1405</v>
      </c>
      <c r="H72" s="962"/>
      <c r="I72" s="962"/>
      <c r="J72" s="962"/>
      <c r="K72" s="962"/>
      <c r="L72" s="962"/>
      <c r="M72" s="962"/>
      <c r="N72" s="962"/>
      <c r="O72" s="962"/>
      <c r="P72" s="962"/>
      <c r="Q72" s="962"/>
      <c r="R72" s="962"/>
      <c r="S72" s="962"/>
      <c r="T72" s="962"/>
      <c r="U72" s="962"/>
      <c r="V72" s="962"/>
      <c r="W72" s="962"/>
      <c r="X72" s="962"/>
      <c r="Y72" s="962"/>
      <c r="Z72" s="962"/>
      <c r="AA72" s="962"/>
      <c r="AB72" s="962"/>
      <c r="AC72" s="962"/>
      <c r="AD72" s="962"/>
      <c r="AE72" s="962"/>
      <c r="AF72" s="962"/>
      <c r="AG72" s="962"/>
      <c r="AH72" s="962"/>
      <c r="AI72" s="962"/>
      <c r="AJ72" s="962"/>
      <c r="AK72" s="962"/>
    </row>
    <row r="73" spans="1:37">
      <c r="A73" s="152"/>
      <c r="C73" s="5"/>
      <c r="D73" s="152"/>
      <c r="E73" s="152"/>
      <c r="F73" s="258"/>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2" t="s">
        <v>1406</v>
      </c>
      <c r="H80" s="962"/>
      <c r="I80" s="962"/>
      <c r="J80" s="962"/>
      <c r="K80" s="962"/>
      <c r="L80" s="962"/>
      <c r="M80" s="962"/>
      <c r="N80" s="962"/>
      <c r="O80" s="962"/>
      <c r="P80" s="962"/>
      <c r="Q80" s="962"/>
      <c r="R80" s="962"/>
      <c r="S80" s="962"/>
      <c r="T80" s="962"/>
      <c r="U80" s="962"/>
      <c r="V80" s="962"/>
      <c r="W80" s="962"/>
      <c r="X80" s="962"/>
      <c r="Y80" s="962"/>
      <c r="Z80" s="962"/>
      <c r="AA80" s="962"/>
      <c r="AB80" s="962"/>
      <c r="AC80" s="962"/>
      <c r="AD80" s="962"/>
      <c r="AE80" s="962"/>
      <c r="AF80" s="962"/>
      <c r="AG80" s="962"/>
      <c r="AH80" s="962"/>
      <c r="AI80" s="962"/>
      <c r="AJ80" s="962"/>
      <c r="AK80" s="962"/>
    </row>
    <row r="81" spans="1:38">
      <c r="A81" s="152"/>
      <c r="C81" s="5"/>
      <c r="D81" s="152"/>
      <c r="E81" s="152"/>
      <c r="F81" s="152"/>
      <c r="G81" s="962"/>
      <c r="H81" s="962"/>
      <c r="I81" s="962"/>
      <c r="J81" s="962"/>
      <c r="K81" s="962"/>
      <c r="L81" s="962"/>
      <c r="M81" s="962"/>
      <c r="N81" s="962"/>
      <c r="O81" s="962"/>
      <c r="P81" s="962"/>
      <c r="Q81" s="962"/>
      <c r="R81" s="962"/>
      <c r="S81" s="962"/>
      <c r="T81" s="962"/>
      <c r="U81" s="962"/>
      <c r="V81" s="962"/>
      <c r="W81" s="962"/>
      <c r="X81" s="962"/>
      <c r="Y81" s="962"/>
      <c r="Z81" s="962"/>
      <c r="AA81" s="962"/>
      <c r="AB81" s="962"/>
      <c r="AC81" s="962"/>
      <c r="AD81" s="962"/>
      <c r="AE81" s="962"/>
      <c r="AF81" s="962"/>
      <c r="AG81" s="962"/>
      <c r="AH81" s="962"/>
      <c r="AI81" s="962"/>
      <c r="AJ81" s="962"/>
      <c r="AK81" s="962"/>
    </row>
    <row r="82" spans="1:38" s="741" customFormat="1">
      <c r="A82" s="152"/>
      <c r="C82" s="5"/>
      <c r="D82" s="152"/>
      <c r="E82" s="152"/>
      <c r="F82" s="152"/>
      <c r="G82" s="962"/>
      <c r="H82" s="962"/>
      <c r="I82" s="962"/>
      <c r="J82" s="962"/>
      <c r="K82" s="962"/>
      <c r="L82" s="962"/>
      <c r="M82" s="962"/>
      <c r="N82" s="962"/>
      <c r="O82" s="962"/>
      <c r="P82" s="962"/>
      <c r="Q82" s="962"/>
      <c r="R82" s="962"/>
      <c r="S82" s="962"/>
      <c r="T82" s="962"/>
      <c r="U82" s="962"/>
      <c r="V82" s="962"/>
      <c r="W82" s="962"/>
      <c r="X82" s="962"/>
      <c r="Y82" s="962"/>
      <c r="Z82" s="962"/>
      <c r="AA82" s="962"/>
      <c r="AB82" s="962"/>
      <c r="AC82" s="962"/>
      <c r="AD82" s="962"/>
      <c r="AE82" s="962"/>
      <c r="AF82" s="962"/>
      <c r="AG82" s="962"/>
      <c r="AH82" s="962"/>
      <c r="AI82" s="962"/>
      <c r="AJ82" s="962"/>
      <c r="AK82" s="962"/>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2" t="s">
        <v>1407</v>
      </c>
      <c r="H84" s="962"/>
      <c r="I84" s="962"/>
      <c r="J84" s="962"/>
      <c r="K84" s="962"/>
      <c r="L84" s="962"/>
      <c r="M84" s="962"/>
      <c r="N84" s="962"/>
      <c r="O84" s="962"/>
      <c r="P84" s="962"/>
      <c r="Q84" s="962"/>
      <c r="R84" s="962"/>
      <c r="S84" s="962"/>
      <c r="T84" s="962"/>
      <c r="U84" s="962"/>
      <c r="V84" s="962"/>
      <c r="W84" s="962"/>
      <c r="X84" s="962"/>
      <c r="Y84" s="962"/>
      <c r="Z84" s="962"/>
      <c r="AA84" s="962"/>
      <c r="AB84" s="962"/>
      <c r="AC84" s="962"/>
      <c r="AD84" s="962"/>
      <c r="AE84" s="962"/>
      <c r="AF84" s="962"/>
      <c r="AG84" s="962"/>
      <c r="AH84" s="962"/>
      <c r="AI84" s="962"/>
      <c r="AJ84" s="962"/>
      <c r="AK84" s="962"/>
    </row>
    <row r="85" spans="1:38">
      <c r="A85" s="152"/>
      <c r="C85" s="5"/>
      <c r="D85" s="152"/>
      <c r="E85" s="152"/>
      <c r="F85" s="152"/>
      <c r="G85" s="962"/>
      <c r="H85" s="962"/>
      <c r="I85" s="962"/>
      <c r="J85" s="962"/>
      <c r="K85" s="962"/>
      <c r="L85" s="962"/>
      <c r="M85" s="962"/>
      <c r="N85" s="962"/>
      <c r="O85" s="962"/>
      <c r="P85" s="962"/>
      <c r="Q85" s="962"/>
      <c r="R85" s="962"/>
      <c r="S85" s="962"/>
      <c r="T85" s="962"/>
      <c r="U85" s="962"/>
      <c r="V85" s="962"/>
      <c r="W85" s="962"/>
      <c r="X85" s="962"/>
      <c r="Y85" s="962"/>
      <c r="Z85" s="962"/>
      <c r="AA85" s="962"/>
      <c r="AB85" s="962"/>
      <c r="AC85" s="962"/>
      <c r="AD85" s="962"/>
      <c r="AE85" s="962"/>
      <c r="AF85" s="962"/>
      <c r="AG85" s="962"/>
      <c r="AH85" s="962"/>
      <c r="AI85" s="962"/>
      <c r="AJ85" s="962"/>
      <c r="AK85" s="962"/>
    </row>
    <row r="86" spans="1:38">
      <c r="A86" s="152"/>
      <c r="C86" s="5"/>
      <c r="D86" s="152"/>
      <c r="E86" s="152"/>
      <c r="G86" s="962"/>
      <c r="H86" s="962"/>
      <c r="I86" s="962"/>
      <c r="J86" s="962"/>
      <c r="K86" s="962"/>
      <c r="L86" s="962"/>
      <c r="M86" s="962"/>
      <c r="N86" s="962"/>
      <c r="O86" s="962"/>
      <c r="P86" s="962"/>
      <c r="Q86" s="962"/>
      <c r="R86" s="962"/>
      <c r="S86" s="962"/>
      <c r="T86" s="962"/>
      <c r="U86" s="962"/>
      <c r="V86" s="962"/>
      <c r="W86" s="962"/>
      <c r="X86" s="962"/>
      <c r="Y86" s="962"/>
      <c r="Z86" s="962"/>
      <c r="AA86" s="962"/>
      <c r="AB86" s="962"/>
      <c r="AC86" s="962"/>
      <c r="AD86" s="962"/>
      <c r="AE86" s="962"/>
      <c r="AF86" s="962"/>
      <c r="AG86" s="962"/>
      <c r="AH86" s="962"/>
      <c r="AI86" s="962"/>
      <c r="AJ86" s="962"/>
      <c r="AK86" s="962"/>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70" t="s">
        <v>1408</v>
      </c>
      <c r="H88" s="970"/>
      <c r="I88" s="970"/>
      <c r="J88" s="970"/>
      <c r="K88" s="970"/>
      <c r="L88" s="970"/>
      <c r="M88" s="970"/>
      <c r="N88" s="970"/>
      <c r="O88" s="970"/>
      <c r="P88" s="970"/>
      <c r="Q88" s="970"/>
      <c r="R88" s="970"/>
      <c r="S88" s="970"/>
      <c r="T88" s="970"/>
      <c r="U88" s="970"/>
      <c r="V88" s="970"/>
      <c r="W88" s="970"/>
      <c r="X88" s="970"/>
      <c r="Y88" s="970"/>
      <c r="Z88" s="970"/>
      <c r="AA88" s="970"/>
      <c r="AB88" s="970"/>
      <c r="AC88" s="970"/>
      <c r="AD88" s="970"/>
      <c r="AE88" s="970"/>
      <c r="AF88" s="970"/>
      <c r="AG88" s="970"/>
      <c r="AH88" s="970"/>
      <c r="AI88" s="970"/>
      <c r="AJ88" s="970"/>
      <c r="AK88" s="970"/>
    </row>
    <row r="89" spans="1:38" s="741" customFormat="1">
      <c r="A89" s="152"/>
      <c r="C89" s="5"/>
      <c r="D89" s="152"/>
      <c r="E89" s="152"/>
      <c r="G89" s="970"/>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152"/>
      <c r="C90" s="5"/>
      <c r="D90" s="152"/>
      <c r="E90" s="152"/>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2" t="s">
        <v>1409</v>
      </c>
      <c r="H92" s="962"/>
      <c r="I92" s="962"/>
      <c r="J92" s="962"/>
      <c r="K92" s="962"/>
      <c r="L92" s="962"/>
      <c r="M92" s="962"/>
      <c r="N92" s="962"/>
      <c r="O92" s="962"/>
      <c r="P92" s="962"/>
      <c r="Q92" s="962"/>
      <c r="R92" s="962"/>
      <c r="S92" s="962"/>
      <c r="T92" s="962"/>
      <c r="U92" s="962"/>
      <c r="V92" s="962"/>
      <c r="W92" s="962"/>
      <c r="X92" s="962"/>
      <c r="Y92" s="962"/>
      <c r="Z92" s="962"/>
      <c r="AA92" s="962"/>
      <c r="AB92" s="962"/>
      <c r="AC92" s="962"/>
      <c r="AD92" s="962"/>
      <c r="AE92" s="962"/>
      <c r="AF92" s="962"/>
      <c r="AG92" s="962"/>
      <c r="AH92" s="962"/>
      <c r="AI92" s="962"/>
      <c r="AJ92" s="962"/>
      <c r="AK92" s="962"/>
    </row>
    <row r="93" spans="1:38">
      <c r="A93" s="152"/>
      <c r="C93" s="5"/>
      <c r="D93" s="152"/>
      <c r="E93" s="152"/>
      <c r="G93" s="962"/>
      <c r="H93" s="962"/>
      <c r="I93" s="962"/>
      <c r="J93" s="962"/>
      <c r="K93" s="962"/>
      <c r="L93" s="962"/>
      <c r="M93" s="962"/>
      <c r="N93" s="962"/>
      <c r="O93" s="962"/>
      <c r="P93" s="962"/>
      <c r="Q93" s="962"/>
      <c r="R93" s="962"/>
      <c r="S93" s="962"/>
      <c r="T93" s="962"/>
      <c r="U93" s="962"/>
      <c r="V93" s="962"/>
      <c r="W93" s="962"/>
      <c r="X93" s="962"/>
      <c r="Y93" s="962"/>
      <c r="Z93" s="962"/>
      <c r="AA93" s="962"/>
      <c r="AB93" s="962"/>
      <c r="AC93" s="962"/>
      <c r="AD93" s="962"/>
      <c r="AE93" s="962"/>
      <c r="AF93" s="962"/>
      <c r="AG93" s="962"/>
      <c r="AH93" s="962"/>
      <c r="AI93" s="962"/>
      <c r="AJ93" s="962"/>
      <c r="AK93" s="962"/>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2" t="s">
        <v>1410</v>
      </c>
      <c r="H95" s="962"/>
      <c r="I95" s="962"/>
      <c r="J95" s="962"/>
      <c r="K95" s="962"/>
      <c r="L95" s="962"/>
      <c r="M95" s="962"/>
      <c r="N95" s="962"/>
      <c r="O95" s="962"/>
      <c r="P95" s="962"/>
      <c r="Q95" s="962"/>
      <c r="R95" s="962"/>
      <c r="S95" s="962"/>
      <c r="T95" s="962"/>
      <c r="U95" s="962"/>
      <c r="V95" s="962"/>
      <c r="W95" s="962"/>
      <c r="X95" s="962"/>
      <c r="Y95" s="962"/>
      <c r="Z95" s="962"/>
      <c r="AA95" s="962"/>
      <c r="AB95" s="962"/>
      <c r="AC95" s="962"/>
      <c r="AD95" s="962"/>
      <c r="AE95" s="962"/>
      <c r="AF95" s="962"/>
      <c r="AG95" s="962"/>
      <c r="AH95" s="962"/>
      <c r="AI95" s="962"/>
      <c r="AJ95" s="962"/>
      <c r="AK95" s="962"/>
    </row>
    <row r="96" spans="1:38">
      <c r="A96" s="152"/>
      <c r="C96" s="188"/>
      <c r="D96" s="187"/>
      <c r="E96" s="187"/>
      <c r="F96" s="2"/>
      <c r="G96" s="962"/>
      <c r="H96" s="962"/>
      <c r="I96" s="962"/>
      <c r="J96" s="962"/>
      <c r="K96" s="962"/>
      <c r="L96" s="962"/>
      <c r="M96" s="962"/>
      <c r="N96" s="962"/>
      <c r="O96" s="962"/>
      <c r="P96" s="962"/>
      <c r="Q96" s="962"/>
      <c r="R96" s="962"/>
      <c r="S96" s="962"/>
      <c r="T96" s="962"/>
      <c r="U96" s="962"/>
      <c r="V96" s="962"/>
      <c r="W96" s="962"/>
      <c r="X96" s="962"/>
      <c r="Y96" s="962"/>
      <c r="Z96" s="962"/>
      <c r="AA96" s="962"/>
      <c r="AB96" s="962"/>
      <c r="AC96" s="962"/>
      <c r="AD96" s="962"/>
      <c r="AE96" s="962"/>
      <c r="AF96" s="962"/>
      <c r="AG96" s="962"/>
      <c r="AH96" s="962"/>
      <c r="AI96" s="962"/>
      <c r="AJ96" s="962"/>
      <c r="AK96" s="962"/>
      <c r="AL96" s="2"/>
    </row>
    <row r="97" spans="1:38">
      <c r="A97" s="152"/>
      <c r="C97" s="188"/>
      <c r="D97" s="187"/>
      <c r="E97" s="187"/>
      <c r="F97" s="2"/>
      <c r="G97" s="962"/>
      <c r="H97" s="962"/>
      <c r="I97" s="962"/>
      <c r="J97" s="962"/>
      <c r="K97" s="962"/>
      <c r="L97" s="962"/>
      <c r="M97" s="962"/>
      <c r="N97" s="962"/>
      <c r="O97" s="962"/>
      <c r="P97" s="962"/>
      <c r="Q97" s="962"/>
      <c r="R97" s="962"/>
      <c r="S97" s="962"/>
      <c r="T97" s="962"/>
      <c r="U97" s="962"/>
      <c r="V97" s="962"/>
      <c r="W97" s="962"/>
      <c r="X97" s="962"/>
      <c r="Y97" s="962"/>
      <c r="Z97" s="962"/>
      <c r="AA97" s="962"/>
      <c r="AB97" s="962"/>
      <c r="AC97" s="962"/>
      <c r="AD97" s="962"/>
      <c r="AE97" s="962"/>
      <c r="AF97" s="962"/>
      <c r="AG97" s="962"/>
      <c r="AH97" s="962"/>
      <c r="AI97" s="962"/>
      <c r="AJ97" s="962"/>
      <c r="AK97" s="962"/>
      <c r="AL97" s="2"/>
    </row>
    <row r="98" spans="1:38">
      <c r="A98" s="152"/>
      <c r="C98" s="2"/>
      <c r="D98" s="508"/>
      <c r="E98" s="971" t="s">
        <v>1411</v>
      </c>
      <c r="F98" s="971"/>
      <c r="G98" s="971"/>
      <c r="H98" s="971"/>
      <c r="I98" s="971"/>
      <c r="J98" s="971"/>
      <c r="K98" s="971"/>
      <c r="L98" s="971"/>
      <c r="M98" s="971"/>
      <c r="N98" s="971"/>
      <c r="O98" s="971"/>
      <c r="P98" s="971"/>
      <c r="Q98" s="971"/>
      <c r="R98" s="971"/>
      <c r="S98" s="971"/>
      <c r="T98" s="971"/>
      <c r="U98" s="971"/>
      <c r="V98" s="971"/>
      <c r="W98" s="971"/>
      <c r="X98" s="971"/>
      <c r="Y98" s="971"/>
      <c r="Z98" s="971"/>
      <c r="AA98" s="971"/>
      <c r="AB98" s="971"/>
      <c r="AC98" s="971"/>
      <c r="AD98" s="971"/>
      <c r="AE98" s="971"/>
      <c r="AF98" s="971"/>
      <c r="AG98" s="971"/>
      <c r="AH98" s="971"/>
      <c r="AI98" s="971"/>
      <c r="AJ98" s="971"/>
      <c r="AK98" s="971"/>
      <c r="AL98" s="2"/>
    </row>
    <row r="99" spans="1:38">
      <c r="A99" s="152"/>
      <c r="D99" s="156"/>
      <c r="E99" s="971"/>
      <c r="F99" s="971"/>
      <c r="G99" s="971"/>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2" t="s">
        <v>1412</v>
      </c>
      <c r="H205" s="962"/>
      <c r="I205" s="962"/>
      <c r="J205" s="962"/>
      <c r="K205" s="962"/>
      <c r="L205" s="962"/>
      <c r="M205" s="962"/>
      <c r="N205" s="962"/>
      <c r="O205" s="962"/>
      <c r="P205" s="962"/>
      <c r="Q205" s="962"/>
      <c r="R205" s="962"/>
      <c r="S205" s="962"/>
      <c r="T205" s="962"/>
      <c r="U205" s="962"/>
      <c r="V205" s="962"/>
      <c r="W205" s="962"/>
      <c r="X205" s="962"/>
      <c r="Y205" s="962"/>
      <c r="Z205" s="962"/>
      <c r="AA205" s="962"/>
      <c r="AB205" s="962"/>
      <c r="AC205" s="962"/>
      <c r="AD205" s="962"/>
      <c r="AE205" s="962"/>
      <c r="AF205" s="962"/>
      <c r="AG205" s="962"/>
      <c r="AH205" s="962"/>
      <c r="AI205" s="962"/>
      <c r="AJ205" s="962"/>
      <c r="AK205" s="962"/>
    </row>
    <row r="206" spans="2:37">
      <c r="B206" s="152"/>
      <c r="C206" s="152"/>
      <c r="D206" s="5"/>
      <c r="G206" s="962"/>
      <c r="H206" s="962"/>
      <c r="I206" s="962"/>
      <c r="J206" s="962"/>
      <c r="K206" s="962"/>
      <c r="L206" s="962"/>
      <c r="M206" s="962"/>
      <c r="N206" s="962"/>
      <c r="O206" s="962"/>
      <c r="P206" s="962"/>
      <c r="Q206" s="962"/>
      <c r="R206" s="962"/>
      <c r="S206" s="962"/>
      <c r="T206" s="962"/>
      <c r="U206" s="962"/>
      <c r="V206" s="962"/>
      <c r="W206" s="962"/>
      <c r="X206" s="962"/>
      <c r="Y206" s="962"/>
      <c r="Z206" s="962"/>
      <c r="AA206" s="962"/>
      <c r="AB206" s="962"/>
      <c r="AC206" s="962"/>
      <c r="AD206" s="962"/>
      <c r="AE206" s="962"/>
      <c r="AF206" s="962"/>
      <c r="AG206" s="962"/>
      <c r="AH206" s="962"/>
      <c r="AI206" s="962"/>
      <c r="AJ206" s="962"/>
      <c r="AK206" s="962"/>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2" t="s">
        <v>1387</v>
      </c>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J336" s="962"/>
      <c r="AK336" s="962"/>
    </row>
    <row r="337" spans="2:37">
      <c r="B337" s="5"/>
      <c r="E337" s="15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J337" s="962"/>
      <c r="AK337" s="962"/>
    </row>
    <row r="338" spans="2:37">
      <c r="B338" s="5"/>
      <c r="E338" s="152"/>
      <c r="F338" s="962"/>
      <c r="G338" s="962"/>
      <c r="H338" s="962"/>
      <c r="I338" s="962"/>
      <c r="J338" s="962"/>
      <c r="K338" s="962"/>
      <c r="L338" s="962"/>
      <c r="M338" s="962"/>
      <c r="N338" s="962"/>
      <c r="O338" s="962"/>
      <c r="P338" s="962"/>
      <c r="Q338" s="962"/>
      <c r="R338" s="962"/>
      <c r="S338" s="962"/>
      <c r="T338" s="962"/>
      <c r="U338" s="962"/>
      <c r="V338" s="962"/>
      <c r="W338" s="962"/>
      <c r="X338" s="962"/>
      <c r="Y338" s="962"/>
      <c r="Z338" s="962"/>
      <c r="AA338" s="962"/>
      <c r="AB338" s="962"/>
      <c r="AC338" s="962"/>
      <c r="AD338" s="962"/>
      <c r="AE338" s="962"/>
      <c r="AF338" s="962"/>
      <c r="AG338" s="962"/>
      <c r="AH338" s="962"/>
      <c r="AI338" s="962"/>
      <c r="AJ338" s="962"/>
      <c r="AK338" s="962"/>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4" t="s">
        <v>1503</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62" t="s">
        <v>1505</v>
      </c>
      <c r="G346" s="962"/>
      <c r="H346" s="962"/>
      <c r="I346" s="962"/>
      <c r="J346" s="962"/>
      <c r="K346" s="962"/>
      <c r="L346" s="962"/>
      <c r="M346" s="962"/>
      <c r="N346" s="962"/>
      <c r="O346" s="962"/>
      <c r="P346" s="962"/>
      <c r="Q346" s="962"/>
      <c r="R346" s="962"/>
      <c r="S346" s="962"/>
      <c r="T346" s="962"/>
      <c r="U346" s="962"/>
      <c r="V346" s="962"/>
      <c r="W346" s="962"/>
      <c r="X346" s="962"/>
      <c r="Y346" s="962"/>
      <c r="Z346" s="962"/>
      <c r="AA346" s="962"/>
      <c r="AB346" s="962"/>
      <c r="AC346" s="962"/>
      <c r="AD346" s="962"/>
      <c r="AE346" s="962"/>
      <c r="AF346" s="962"/>
      <c r="AG346" s="962"/>
      <c r="AH346" s="962"/>
      <c r="AI346" s="962"/>
      <c r="AJ346" s="962"/>
      <c r="AK346" s="962"/>
    </row>
    <row r="347" spans="2:37" s="741" customFormat="1">
      <c r="B347" s="5"/>
      <c r="E347" s="6"/>
      <c r="F347" s="962"/>
      <c r="G347" s="962"/>
      <c r="H347" s="962"/>
      <c r="I347" s="962"/>
      <c r="J347" s="962"/>
      <c r="K347" s="962"/>
      <c r="L347" s="962"/>
      <c r="M347" s="962"/>
      <c r="N347" s="962"/>
      <c r="O347" s="962"/>
      <c r="P347" s="962"/>
      <c r="Q347" s="962"/>
      <c r="R347" s="962"/>
      <c r="S347" s="962"/>
      <c r="T347" s="962"/>
      <c r="U347" s="962"/>
      <c r="V347" s="962"/>
      <c r="W347" s="962"/>
      <c r="X347" s="962"/>
      <c r="Y347" s="962"/>
      <c r="Z347" s="962"/>
      <c r="AA347" s="962"/>
      <c r="AB347" s="962"/>
      <c r="AC347" s="962"/>
      <c r="AD347" s="962"/>
      <c r="AE347" s="962"/>
      <c r="AF347" s="962"/>
      <c r="AG347" s="962"/>
      <c r="AH347" s="962"/>
      <c r="AI347" s="962"/>
      <c r="AJ347" s="962"/>
      <c r="AK347" s="962"/>
    </row>
    <row r="348" spans="2:37" s="741" customFormat="1">
      <c r="B348" s="5"/>
      <c r="E348" s="6"/>
      <c r="F348" s="962"/>
      <c r="G348" s="962"/>
      <c r="H348" s="962"/>
      <c r="I348" s="962"/>
      <c r="J348" s="962"/>
      <c r="K348" s="962"/>
      <c r="L348" s="962"/>
      <c r="M348" s="962"/>
      <c r="N348" s="962"/>
      <c r="O348" s="962"/>
      <c r="P348" s="962"/>
      <c r="Q348" s="962"/>
      <c r="R348" s="962"/>
      <c r="S348" s="962"/>
      <c r="T348" s="962"/>
      <c r="U348" s="962"/>
      <c r="V348" s="962"/>
      <c r="W348" s="962"/>
      <c r="X348" s="962"/>
      <c r="Y348" s="962"/>
      <c r="Z348" s="962"/>
      <c r="AA348" s="962"/>
      <c r="AB348" s="962"/>
      <c r="AC348" s="962"/>
      <c r="AD348" s="962"/>
      <c r="AE348" s="962"/>
      <c r="AF348" s="962"/>
      <c r="AG348" s="962"/>
      <c r="AH348" s="962"/>
      <c r="AI348" s="962"/>
      <c r="AJ348" s="962"/>
      <c r="AK348" s="962"/>
    </row>
    <row r="349" spans="2:37" s="741" customFormat="1">
      <c r="B349" s="5"/>
      <c r="E349" s="6"/>
      <c r="F349" s="962"/>
      <c r="G349" s="962"/>
      <c r="H349" s="962"/>
      <c r="I349" s="962"/>
      <c r="J349" s="962"/>
      <c r="K349" s="962"/>
      <c r="L349" s="962"/>
      <c r="M349" s="962"/>
      <c r="N349" s="962"/>
      <c r="O349" s="962"/>
      <c r="P349" s="962"/>
      <c r="Q349" s="962"/>
      <c r="R349" s="962"/>
      <c r="S349" s="962"/>
      <c r="T349" s="962"/>
      <c r="U349" s="962"/>
      <c r="V349" s="962"/>
      <c r="W349" s="962"/>
      <c r="X349" s="962"/>
      <c r="Y349" s="962"/>
      <c r="Z349" s="962"/>
      <c r="AA349" s="962"/>
      <c r="AB349" s="962"/>
      <c r="AC349" s="962"/>
      <c r="AD349" s="962"/>
      <c r="AE349" s="962"/>
      <c r="AF349" s="962"/>
      <c r="AG349" s="962"/>
      <c r="AH349" s="962"/>
      <c r="AI349" s="962"/>
      <c r="AJ349" s="962"/>
      <c r="AK349" s="962"/>
    </row>
    <row r="350" spans="2:37" s="741" customFormat="1">
      <c r="B350" s="5"/>
      <c r="E350" s="6" t="s">
        <v>120</v>
      </c>
      <c r="F350" s="962" t="s">
        <v>1504</v>
      </c>
      <c r="G350" s="962"/>
      <c r="H350" s="962"/>
      <c r="I350" s="962"/>
      <c r="J350" s="962"/>
      <c r="K350" s="962"/>
      <c r="L350" s="962"/>
      <c r="M350" s="962"/>
      <c r="N350" s="962"/>
      <c r="O350" s="962"/>
      <c r="P350" s="962"/>
      <c r="Q350" s="962"/>
      <c r="R350" s="962"/>
      <c r="S350" s="962"/>
      <c r="T350" s="962"/>
      <c r="U350" s="962"/>
      <c r="V350" s="962"/>
      <c r="W350" s="962"/>
      <c r="X350" s="962"/>
      <c r="Y350" s="962"/>
      <c r="Z350" s="962"/>
      <c r="AA350" s="962"/>
      <c r="AB350" s="962"/>
      <c r="AC350" s="962"/>
      <c r="AD350" s="962"/>
      <c r="AE350" s="962"/>
      <c r="AF350" s="962"/>
      <c r="AG350" s="962"/>
      <c r="AH350" s="962"/>
      <c r="AI350" s="962"/>
      <c r="AJ350" s="962"/>
      <c r="AK350" s="962"/>
    </row>
    <row r="351" spans="2:37" s="741" customFormat="1">
      <c r="B351" s="5"/>
      <c r="F351" s="962"/>
      <c r="G351" s="962"/>
      <c r="H351" s="962"/>
      <c r="I351" s="962"/>
      <c r="J351" s="962"/>
      <c r="K351" s="962"/>
      <c r="L351" s="962"/>
      <c r="M351" s="962"/>
      <c r="N351" s="962"/>
      <c r="O351" s="962"/>
      <c r="P351" s="962"/>
      <c r="Q351" s="962"/>
      <c r="R351" s="962"/>
      <c r="S351" s="962"/>
      <c r="T351" s="962"/>
      <c r="U351" s="962"/>
      <c r="V351" s="962"/>
      <c r="W351" s="962"/>
      <c r="X351" s="962"/>
      <c r="Y351" s="962"/>
      <c r="Z351" s="962"/>
      <c r="AA351" s="962"/>
      <c r="AB351" s="962"/>
      <c r="AC351" s="962"/>
      <c r="AD351" s="962"/>
      <c r="AE351" s="962"/>
      <c r="AF351" s="962"/>
      <c r="AG351" s="962"/>
      <c r="AH351" s="962"/>
      <c r="AI351" s="962"/>
      <c r="AJ351" s="962"/>
      <c r="AK351" s="962"/>
    </row>
    <row r="352" spans="2:37" s="741" customFormat="1">
      <c r="B352" s="5"/>
      <c r="F352" s="962"/>
      <c r="G352" s="962"/>
      <c r="H352" s="962"/>
      <c r="I352" s="962"/>
      <c r="J352" s="962"/>
      <c r="K352" s="962"/>
      <c r="L352" s="962"/>
      <c r="M352" s="962"/>
      <c r="N352" s="962"/>
      <c r="O352" s="962"/>
      <c r="P352" s="962"/>
      <c r="Q352" s="962"/>
      <c r="R352" s="962"/>
      <c r="S352" s="962"/>
      <c r="T352" s="962"/>
      <c r="U352" s="962"/>
      <c r="V352" s="962"/>
      <c r="W352" s="962"/>
      <c r="X352" s="962"/>
      <c r="Y352" s="962"/>
      <c r="Z352" s="962"/>
      <c r="AA352" s="962"/>
      <c r="AB352" s="962"/>
      <c r="AC352" s="962"/>
      <c r="AD352" s="962"/>
      <c r="AE352" s="962"/>
      <c r="AF352" s="962"/>
      <c r="AG352" s="962"/>
      <c r="AH352" s="962"/>
      <c r="AI352" s="962"/>
      <c r="AJ352" s="962"/>
      <c r="AK352" s="962"/>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5" t="s">
        <v>1494</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1546</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3" t="s">
        <v>1561</v>
      </c>
      <c r="G386" s="963"/>
      <c r="H386" s="963"/>
      <c r="I386" s="963"/>
      <c r="J386" s="963"/>
      <c r="K386" s="963"/>
      <c r="L386" s="963"/>
      <c r="M386" s="963"/>
      <c r="N386" s="963"/>
      <c r="O386" s="963"/>
      <c r="P386" s="963"/>
      <c r="Q386" s="963"/>
      <c r="R386" s="963"/>
      <c r="S386" s="963"/>
      <c r="T386" s="963"/>
      <c r="U386" s="963"/>
      <c r="V386" s="963"/>
      <c r="W386" s="963"/>
      <c r="X386" s="963"/>
      <c r="Y386" s="963"/>
      <c r="Z386" s="963"/>
      <c r="AA386" s="963"/>
      <c r="AB386" s="963"/>
      <c r="AC386" s="963"/>
      <c r="AD386" s="963"/>
      <c r="AE386" s="963"/>
      <c r="AF386" s="963"/>
      <c r="AG386" s="963"/>
      <c r="AH386" s="963"/>
      <c r="AI386" s="963"/>
      <c r="AJ386" s="963"/>
      <c r="AK386" s="963"/>
      <c r="AL386" s="701"/>
    </row>
    <row r="387" spans="1:38" s="741" customFormat="1">
      <c r="A387" s="701"/>
      <c r="B387" s="188"/>
      <c r="C387" s="701"/>
      <c r="D387" s="701"/>
      <c r="E387" s="702"/>
      <c r="F387" s="963"/>
      <c r="G387" s="963"/>
      <c r="H387" s="963"/>
      <c r="I387" s="963"/>
      <c r="J387" s="963"/>
      <c r="K387" s="963"/>
      <c r="L387" s="963"/>
      <c r="M387" s="963"/>
      <c r="N387" s="963"/>
      <c r="O387" s="963"/>
      <c r="P387" s="963"/>
      <c r="Q387" s="963"/>
      <c r="R387" s="963"/>
      <c r="S387" s="963"/>
      <c r="T387" s="963"/>
      <c r="U387" s="963"/>
      <c r="V387" s="963"/>
      <c r="W387" s="963"/>
      <c r="X387" s="963"/>
      <c r="Y387" s="963"/>
      <c r="Z387" s="963"/>
      <c r="AA387" s="963"/>
      <c r="AB387" s="963"/>
      <c r="AC387" s="963"/>
      <c r="AD387" s="963"/>
      <c r="AE387" s="963"/>
      <c r="AF387" s="963"/>
      <c r="AG387" s="963"/>
      <c r="AH387" s="963"/>
      <c r="AI387" s="963"/>
      <c r="AJ387" s="963"/>
      <c r="AK387" s="963"/>
      <c r="AL387" s="701"/>
    </row>
    <row r="388" spans="1:38" s="741" customFormat="1">
      <c r="A388" s="701"/>
      <c r="B388" s="188"/>
      <c r="C388" s="701"/>
      <c r="D388" s="701"/>
      <c r="E388" s="702"/>
      <c r="F388" s="963"/>
      <c r="G388" s="963"/>
      <c r="H388" s="963"/>
      <c r="I388" s="963"/>
      <c r="J388" s="963"/>
      <c r="K388" s="963"/>
      <c r="L388" s="963"/>
      <c r="M388" s="963"/>
      <c r="N388" s="963"/>
      <c r="O388" s="963"/>
      <c r="P388" s="963"/>
      <c r="Q388" s="963"/>
      <c r="R388" s="963"/>
      <c r="S388" s="963"/>
      <c r="T388" s="963"/>
      <c r="U388" s="963"/>
      <c r="V388" s="963"/>
      <c r="W388" s="963"/>
      <c r="X388" s="963"/>
      <c r="Y388" s="963"/>
      <c r="Z388" s="963"/>
      <c r="AA388" s="963"/>
      <c r="AB388" s="963"/>
      <c r="AC388" s="963"/>
      <c r="AD388" s="963"/>
      <c r="AE388" s="963"/>
      <c r="AF388" s="963"/>
      <c r="AG388" s="963"/>
      <c r="AH388" s="963"/>
      <c r="AI388" s="963"/>
      <c r="AJ388" s="963"/>
      <c r="AK388" s="963"/>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A25" zoomScaleNormal="100" zoomScaleSheetLayoutView="100" workbookViewId="0">
      <selection activeCell="E8" sqref="E8"/>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7" t="s">
        <v>1009</v>
      </c>
      <c r="B1" s="1707"/>
      <c r="C1" s="1707"/>
      <c r="D1" s="1707"/>
      <c r="E1" s="1707"/>
      <c r="F1" s="1707"/>
      <c r="G1" s="1707"/>
      <c r="H1" s="1707"/>
      <c r="I1" s="1707"/>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8</v>
      </c>
      <c r="C4" s="682">
        <f>Application!K709</f>
        <v>679</v>
      </c>
      <c r="D4" s="683"/>
      <c r="E4" s="493">
        <v>1279</v>
      </c>
      <c r="F4" s="684">
        <f>E4*B4</f>
        <v>10232</v>
      </c>
      <c r="G4" s="685"/>
      <c r="H4" s="682">
        <f>IF(E4=0," ",(E4-C4))</f>
        <v>600</v>
      </c>
      <c r="I4" s="684">
        <f>IF(E4=0," ",(H4*B4))</f>
        <v>4800</v>
      </c>
      <c r="J4" s="335"/>
      <c r="K4" s="490"/>
    </row>
    <row r="5" spans="1:11">
      <c r="A5" s="682" t="str">
        <f>Application!B710</f>
        <v>SRO/Studio</v>
      </c>
      <c r="B5" s="691">
        <f>Application!G710</f>
        <v>27</v>
      </c>
      <c r="C5" s="682">
        <f>Application!K710</f>
        <v>545</v>
      </c>
      <c r="D5" s="683"/>
      <c r="E5" s="493">
        <v>1279</v>
      </c>
      <c r="F5" s="684">
        <f t="shared" ref="F5:F28" si="0">E5*B5</f>
        <v>34533</v>
      </c>
      <c r="G5" s="685"/>
      <c r="H5" s="682">
        <f t="shared" ref="H5:H28" si="1">IF(E5=0," ",(E5-C5))</f>
        <v>734</v>
      </c>
      <c r="I5" s="684">
        <f t="shared" ref="I5:I28" si="2">IF(E5=0," ",(H5*B5))</f>
        <v>19818</v>
      </c>
      <c r="J5" s="335"/>
      <c r="K5" s="490"/>
    </row>
    <row r="6" spans="1:11">
      <c r="A6" s="682" t="str">
        <f>Application!B711</f>
        <v>1 Bedroom</v>
      </c>
      <c r="B6" s="691">
        <f>Application!G711</f>
        <v>15</v>
      </c>
      <c r="C6" s="682">
        <f>Application!K711</f>
        <v>545</v>
      </c>
      <c r="D6" s="683"/>
      <c r="E6" s="493">
        <v>1668</v>
      </c>
      <c r="F6" s="684">
        <f t="shared" si="0"/>
        <v>25020</v>
      </c>
      <c r="G6" s="685"/>
      <c r="H6" s="682">
        <f t="shared" si="1"/>
        <v>1123</v>
      </c>
      <c r="I6" s="684">
        <f t="shared" si="2"/>
        <v>16845</v>
      </c>
      <c r="J6" s="335"/>
      <c r="K6" s="490"/>
    </row>
    <row r="7" spans="1:11">
      <c r="A7" s="682" t="str">
        <f>Application!B712</f>
        <v>1 Bedroom</v>
      </c>
      <c r="B7" s="691">
        <f>Application!G712</f>
        <v>4</v>
      </c>
      <c r="C7" s="682">
        <f>Application!K712</f>
        <v>727</v>
      </c>
      <c r="D7" s="683"/>
      <c r="E7" s="493">
        <v>1668</v>
      </c>
      <c r="F7" s="684">
        <f t="shared" si="0"/>
        <v>6672</v>
      </c>
      <c r="G7" s="685"/>
      <c r="H7" s="682">
        <f t="shared" si="1"/>
        <v>941</v>
      </c>
      <c r="I7" s="684">
        <f t="shared" si="2"/>
        <v>3764</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31230</v>
      </c>
      <c r="D30" s="683"/>
      <c r="E30" s="683"/>
      <c r="F30" s="688">
        <f>SUM(F4:F28)*12</f>
        <v>917484</v>
      </c>
      <c r="G30" s="689"/>
      <c r="H30" s="687"/>
      <c r="I30" s="688">
        <f>SUM(I4:I28)*12</f>
        <v>542724</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1390000</v>
      </c>
      <c r="C5" s="438">
        <f>'Sources and Uses Budget'!$C4</f>
        <v>1390000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150000</v>
      </c>
      <c r="C6" s="438">
        <f>'Sources and Uses Budget'!$C5</f>
        <v>150000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1540000</v>
      </c>
      <c r="C9" s="442">
        <f>SUM(C5:C8)</f>
        <v>1540000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1540000</v>
      </c>
      <c r="C13" s="442">
        <f>SUM(C9+C12)</f>
        <v>1540000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199130</v>
      </c>
      <c r="C14" s="438">
        <f>'Sources and Uses Budget'!$C13</f>
        <v>199130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1200000</v>
      </c>
      <c r="C29" s="438">
        <f>'Sources and Uses Budget'!$C28</f>
        <v>1200000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13700000</v>
      </c>
      <c r="C30" s="438">
        <f>'Sources and Uses Budget'!$C29</f>
        <v>13700000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700000</v>
      </c>
      <c r="C31" s="438">
        <f>'Sources and Uses Budget'!$C30</f>
        <v>700000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650000</v>
      </c>
      <c r="C32" s="438">
        <f>'Sources and Uses Budget'!$C31</f>
        <v>650000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650000</v>
      </c>
      <c r="C33" s="438">
        <f>'Sources and Uses Budget'!$C32</f>
        <v>650000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160881</v>
      </c>
      <c r="C35" s="438">
        <f>'Sources and Uses Budget'!$C34</f>
        <v>160881</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250000</v>
      </c>
      <c r="C36" s="438">
        <f>'Sources and Uses Budget'!$C35</f>
        <v>250000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17310881</v>
      </c>
      <c r="C37" s="442">
        <f>SUM(C29:C36)</f>
        <v>17310881</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725000</v>
      </c>
      <c r="C39" s="438">
        <f>'Sources and Uses Budget'!$C38</f>
        <v>725000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725000</v>
      </c>
      <c r="C41" s="442">
        <f>SUM(C39:C40)</f>
        <v>725000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300000</v>
      </c>
      <c r="C42" s="438">
        <f>'Sources and Uses Budget'!$C41</f>
        <v>300000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701968</v>
      </c>
      <c r="C44" s="438">
        <f>'Sources and Uses Budget'!$C43</f>
        <v>701968</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125000</v>
      </c>
      <c r="C45" s="438">
        <f>'Sources and Uses Budget'!$C44</f>
        <v>125000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175000</v>
      </c>
      <c r="C48" s="438">
        <f>'Sources and Uses Budget'!$C47</f>
        <v>175000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60000</v>
      </c>
      <c r="C49" s="438">
        <f>'Sources and Uses Budget'!$C48</f>
        <v>60000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25000</v>
      </c>
      <c r="C50" s="438">
        <f>'Sources and Uses Budget'!$C49</f>
        <v>25000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150000</v>
      </c>
      <c r="C51" s="438">
        <f>'Sources and Uses Budget'!$C50</f>
        <v>150000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32000</v>
      </c>
      <c r="C52" s="438">
        <f>'Sources and Uses Budget'!$C51</f>
        <v>32000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150000</v>
      </c>
      <c r="C53" s="438">
        <f>'Sources and Uses Budget'!$C52</f>
        <v>150000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1418968</v>
      </c>
      <c r="C54" s="445">
        <f>SUM(C44:C53)</f>
        <v>1418968</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50000</v>
      </c>
      <c r="C56" s="438">
        <f>'Sources and Uses Budget'!$C55</f>
        <v>50000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400000</v>
      </c>
      <c r="C61" s="438">
        <f>'Sources and Uses Budget'!$C60</f>
        <v>400000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450000</v>
      </c>
      <c r="C63" s="442">
        <f>SUM(C56:C62)</f>
        <v>450000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21943979</v>
      </c>
      <c r="C64" s="442">
        <f>SUM(C9+C12+C14+C15+C17+C26+C27+C37+C41+C42+C54+C63)</f>
        <v>21943979</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125000</v>
      </c>
      <c r="C66" s="438">
        <f>'Sources and Uses Budget'!$C65</f>
        <v>125000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112500</v>
      </c>
      <c r="C67" s="438">
        <f>'Sources and Uses Budget'!$C66</f>
        <v>112500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237500</v>
      </c>
      <c r="C68" s="442">
        <f>SUM(C66:C67)</f>
        <v>237500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194000</v>
      </c>
      <c r="C73" s="438">
        <f>'Sources and Uses Budget'!$C72</f>
        <v>194000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194000</v>
      </c>
      <c r="C75" s="442">
        <f>SUM(C70:C74)</f>
        <v>194000</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1222261</v>
      </c>
      <c r="C77" s="438">
        <f>'Sources and Uses Budget'!$C76</f>
        <v>1222261</v>
      </c>
      <c r="D77" s="442">
        <f t="shared" si="1"/>
        <v>0</v>
      </c>
      <c r="E77" s="440"/>
      <c r="F77" s="439"/>
      <c r="G77" s="577"/>
    </row>
    <row r="78" spans="1:253" s="571" customFormat="1">
      <c r="A78" s="893" t="s">
        <v>63</v>
      </c>
      <c r="B78" s="438">
        <f>'Sources and Uses Budget'!$C77</f>
        <v>218748</v>
      </c>
      <c r="C78" s="438">
        <f>'Sources and Uses Budget'!$C77</f>
        <v>218748</v>
      </c>
      <c r="D78" s="442">
        <f t="shared" ref="D78" si="2">C78-B78</f>
        <v>0</v>
      </c>
      <c r="E78" s="440"/>
      <c r="F78" s="439"/>
      <c r="G78" s="577"/>
    </row>
    <row r="79" spans="1:253" s="571" customFormat="1">
      <c r="A79" s="443" t="s">
        <v>1468</v>
      </c>
      <c r="B79" s="442">
        <f>SUM(B77:B78)</f>
        <v>1441009</v>
      </c>
      <c r="C79" s="442">
        <f>SUM(C77:C78)</f>
        <v>1441009</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40000</v>
      </c>
      <c r="C81" s="438">
        <f>'Sources and Uses Budget'!$C80</f>
        <v>40000</v>
      </c>
      <c r="D81" s="442">
        <f t="shared" si="1"/>
        <v>0</v>
      </c>
      <c r="E81" s="440"/>
      <c r="F81" s="439"/>
      <c r="G81" s="577"/>
    </row>
    <row r="82" spans="1:7" s="571" customFormat="1">
      <c r="A82" s="441" t="s">
        <v>845</v>
      </c>
      <c r="B82" s="438">
        <f>'Sources and Uses Budget'!$C81</f>
        <v>59999.7</v>
      </c>
      <c r="C82" s="438">
        <f>'Sources and Uses Budget'!$C81</f>
        <v>59999.7</v>
      </c>
      <c r="D82" s="442">
        <f t="shared" si="1"/>
        <v>0</v>
      </c>
      <c r="E82" s="440"/>
      <c r="F82" s="439"/>
      <c r="G82" s="577"/>
    </row>
    <row r="83" spans="1:7" s="571" customFormat="1">
      <c r="A83" s="441" t="s">
        <v>846</v>
      </c>
      <c r="B83" s="438">
        <f>'Sources and Uses Budget'!$C82</f>
        <v>145693.70000000001</v>
      </c>
      <c r="C83" s="438">
        <f>'Sources and Uses Budget'!$C82</f>
        <v>145693.70000000001</v>
      </c>
      <c r="D83" s="442">
        <f t="shared" si="1"/>
        <v>0</v>
      </c>
      <c r="E83" s="440"/>
      <c r="F83" s="439"/>
      <c r="G83" s="577"/>
    </row>
    <row r="84" spans="1:7" s="571" customFormat="1">
      <c r="A84" s="441" t="s">
        <v>847</v>
      </c>
      <c r="B84" s="438">
        <f>'Sources and Uses Budget'!$C83</f>
        <v>360306</v>
      </c>
      <c r="C84" s="438">
        <f>'Sources and Uses Budget'!$C83</f>
        <v>360306</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75000</v>
      </c>
      <c r="C86" s="438">
        <f>'Sources and Uses Budget'!$C85</f>
        <v>75000</v>
      </c>
      <c r="D86" s="442">
        <f t="shared" si="1"/>
        <v>0</v>
      </c>
      <c r="E86" s="440"/>
      <c r="F86" s="439"/>
      <c r="G86" s="577"/>
    </row>
    <row r="87" spans="1:7" s="571" customFormat="1">
      <c r="A87" s="441" t="s">
        <v>850</v>
      </c>
      <c r="B87" s="438">
        <f>'Sources and Uses Budget'!$C86</f>
        <v>350000</v>
      </c>
      <c r="C87" s="438">
        <f>'Sources and Uses Budget'!$C86</f>
        <v>350000</v>
      </c>
      <c r="D87" s="442">
        <f t="shared" si="1"/>
        <v>0</v>
      </c>
      <c r="E87" s="440"/>
      <c r="F87" s="439"/>
      <c r="G87" s="577"/>
    </row>
    <row r="88" spans="1:7" s="571" customFormat="1">
      <c r="A88" s="441" t="s">
        <v>851</v>
      </c>
      <c r="B88" s="438">
        <f>'Sources and Uses Budget'!$C87</f>
        <v>7500</v>
      </c>
      <c r="C88" s="438">
        <f>'Sources and Uses Budget'!$C87</f>
        <v>7500</v>
      </c>
      <c r="D88" s="442">
        <f t="shared" si="1"/>
        <v>0</v>
      </c>
      <c r="E88" s="440"/>
      <c r="F88" s="439"/>
      <c r="G88" s="577"/>
    </row>
    <row r="89" spans="1:7" s="571" customFormat="1">
      <c r="A89" s="447" t="s">
        <v>404</v>
      </c>
      <c r="B89" s="438">
        <f>'Sources and Uses Budget'!$C88</f>
        <v>30000</v>
      </c>
      <c r="C89" s="438">
        <f>'Sources and Uses Budget'!$C88</f>
        <v>30000</v>
      </c>
      <c r="D89" s="442">
        <f t="shared" si="1"/>
        <v>0</v>
      </c>
      <c r="E89" s="440"/>
      <c r="F89" s="439"/>
      <c r="G89" s="577"/>
    </row>
    <row r="90" spans="1:7" s="571" customFormat="1">
      <c r="A90" s="892" t="s">
        <v>1470</v>
      </c>
      <c r="B90" s="438">
        <f>'Sources and Uses Budget'!$C89</f>
        <v>14999.6</v>
      </c>
      <c r="C90" s="438">
        <f>'Sources and Uses Budget'!$C89</f>
        <v>14999.6</v>
      </c>
      <c r="D90" s="442">
        <f t="shared" si="1"/>
        <v>0</v>
      </c>
      <c r="E90" s="440"/>
      <c r="F90" s="439"/>
      <c r="G90" s="577"/>
    </row>
    <row r="91" spans="1:7" s="571" customFormat="1">
      <c r="A91" s="444" t="s">
        <v>37</v>
      </c>
      <c r="B91" s="438">
        <f>'Sources and Uses Budget'!$C90</f>
        <v>130000</v>
      </c>
      <c r="C91" s="438">
        <f>'Sources and Uses Budget'!$C90</f>
        <v>130000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30000</v>
      </c>
      <c r="C93" s="438">
        <f>'Sources and Uses Budget'!$C92</f>
        <v>30000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1243499</v>
      </c>
      <c r="C96" s="442">
        <f>SUM(C81:C95)</f>
        <v>1243499</v>
      </c>
      <c r="D96" s="442">
        <f t="shared" si="1"/>
        <v>0</v>
      </c>
      <c r="E96" s="440"/>
      <c r="F96" s="439"/>
      <c r="G96" s="577"/>
    </row>
    <row r="97" spans="1:7" s="571" customFormat="1">
      <c r="A97" s="443" t="s">
        <v>853</v>
      </c>
      <c r="B97" s="442">
        <f>SUM(B64+B68+B75+B79+B96)</f>
        <v>25059987</v>
      </c>
      <c r="C97" s="442">
        <f>SUM(C64+C68+C75+C79+C96)</f>
        <v>25059987</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2500000</v>
      </c>
      <c r="C99" s="438">
        <f>'Sources and Uses Budget'!$C98</f>
        <v>2500000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2500000</v>
      </c>
      <c r="C105" s="442">
        <f>SUM(C99:C104)</f>
        <v>2500000</v>
      </c>
      <c r="D105" s="442">
        <f t="shared" si="1"/>
        <v>0</v>
      </c>
      <c r="E105" s="440"/>
      <c r="F105" s="439"/>
      <c r="G105" s="575"/>
    </row>
    <row r="106" spans="1:7" s="570" customFormat="1">
      <c r="A106" s="443" t="s">
        <v>861</v>
      </c>
      <c r="B106" s="445">
        <f>SUM(B97+B105)</f>
        <v>27559987</v>
      </c>
      <c r="C106" s="445">
        <f>SUM(C97+C105)</f>
        <v>27559987</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2" t="s">
        <v>1198</v>
      </c>
      <c r="B2" s="1012"/>
      <c r="C2" s="1013"/>
      <c r="D2" s="1013"/>
      <c r="E2" s="1013"/>
      <c r="F2" s="1013"/>
      <c r="G2" s="1013"/>
    </row>
    <row r="3" spans="1:9" s="265" customFormat="1">
      <c r="A3" s="1012" t="s">
        <v>1125</v>
      </c>
      <c r="B3" s="1012"/>
      <c r="C3" s="1013"/>
      <c r="D3" s="1013"/>
      <c r="E3" s="1013"/>
      <c r="F3" s="1013"/>
      <c r="G3" s="1013"/>
      <c r="I3" s="701" t="s">
        <v>329</v>
      </c>
    </row>
    <row r="4" spans="1:9">
      <c r="I4" s="702" t="s">
        <v>1199</v>
      </c>
    </row>
    <row r="5" spans="1:9" s="39" customFormat="1">
      <c r="A5" s="1016" t="s">
        <v>1126</v>
      </c>
      <c r="B5" s="1016"/>
      <c r="C5" s="1017"/>
      <c r="D5" s="1017"/>
      <c r="E5" s="1017"/>
      <c r="F5" s="1017"/>
      <c r="G5" s="1017"/>
      <c r="I5" s="702" t="s">
        <v>1200</v>
      </c>
    </row>
    <row r="6" spans="1:9" s="39" customFormat="1">
      <c r="A6" s="1016" t="s">
        <v>903</v>
      </c>
      <c r="B6" s="1016"/>
      <c r="C6" s="1017"/>
      <c r="D6" s="1017"/>
      <c r="E6" s="1017"/>
      <c r="F6" s="1017"/>
      <c r="G6" s="1017"/>
      <c r="I6" s="701" t="s">
        <v>641</v>
      </c>
    </row>
    <row r="7" spans="1:9" ht="11.85" customHeight="1"/>
    <row r="8" spans="1:9" s="39" customFormat="1">
      <c r="A8" s="1014" t="s">
        <v>1295</v>
      </c>
      <c r="B8" s="1014"/>
      <c r="C8" s="1015"/>
      <c r="D8" s="1015"/>
      <c r="E8" s="1015"/>
      <c r="F8" s="1015"/>
      <c r="G8" s="1015"/>
    </row>
    <row r="9" spans="1:9" s="39" customFormat="1">
      <c r="A9" s="1014" t="s">
        <v>1296</v>
      </c>
      <c r="B9" s="1014"/>
      <c r="C9" s="1015"/>
      <c r="D9" s="1015"/>
      <c r="E9" s="1015"/>
      <c r="F9" s="1015"/>
      <c r="G9" s="1015"/>
    </row>
    <row r="10" spans="1:9">
      <c r="A10" s="267"/>
      <c r="B10" s="267"/>
      <c r="C10" s="264"/>
      <c r="D10" s="264"/>
      <c r="E10" s="264"/>
      <c r="F10" s="264"/>
    </row>
    <row r="11" spans="1:9">
      <c r="A11" s="1018" t="s">
        <v>1298</v>
      </c>
      <c r="B11" s="1018"/>
      <c r="C11" s="1018"/>
      <c r="D11" s="1018"/>
      <c r="E11" s="1018"/>
      <c r="F11" s="1018"/>
      <c r="G11" s="1018"/>
    </row>
    <row r="12" spans="1:9">
      <c r="A12" s="264"/>
      <c r="B12" s="697"/>
      <c r="E12" s="50"/>
    </row>
    <row r="13" spans="1:9" ht="13.15" customHeight="1">
      <c r="C13" s="264"/>
      <c r="D13" s="1036" t="s">
        <v>1297</v>
      </c>
      <c r="E13" s="1036"/>
      <c r="F13" s="1036"/>
    </row>
    <row r="14" spans="1:9">
      <c r="C14" s="264"/>
      <c r="D14" s="1036"/>
      <c r="E14" s="1036"/>
      <c r="F14" s="1036"/>
    </row>
    <row r="15" spans="1:9">
      <c r="A15" s="269"/>
      <c r="B15" s="269"/>
      <c r="C15" s="269"/>
      <c r="D15" s="975" t="s">
        <v>1280</v>
      </c>
      <c r="E15" s="975"/>
      <c r="F15" s="975"/>
    </row>
    <row r="16" spans="1:9">
      <c r="A16" s="269"/>
      <c r="B16" s="269"/>
      <c r="C16" s="269"/>
      <c r="D16" s="337"/>
    </row>
    <row r="17" spans="1:7" ht="14.25">
      <c r="A17" s="270"/>
      <c r="B17" s="703" t="s">
        <v>329</v>
      </c>
      <c r="C17" s="323"/>
      <c r="D17" s="962" t="s">
        <v>1281</v>
      </c>
      <c r="E17" s="962"/>
      <c r="F17" s="962"/>
    </row>
    <row r="18" spans="1:7">
      <c r="A18" s="269"/>
      <c r="B18" s="269"/>
      <c r="C18" s="323"/>
      <c r="D18" s="962"/>
      <c r="E18" s="962"/>
      <c r="F18" s="962"/>
    </row>
    <row r="19" spans="1:7">
      <c r="A19" s="269"/>
      <c r="B19" s="269"/>
      <c r="C19" s="323"/>
      <c r="D19" s="962"/>
      <c r="E19" s="962"/>
      <c r="F19" s="962"/>
    </row>
    <row r="20" spans="1:7">
      <c r="A20" s="269"/>
      <c r="B20" s="269"/>
      <c r="C20" s="269"/>
    </row>
    <row r="21" spans="1:7" ht="14.25">
      <c r="A21" s="270"/>
      <c r="B21" s="703" t="s">
        <v>329</v>
      </c>
      <c r="D21" s="1028" t="s">
        <v>1282</v>
      </c>
      <c r="E21" s="1028"/>
      <c r="F21" s="1028"/>
    </row>
    <row r="22" spans="1:7" ht="14.25">
      <c r="A22" s="270"/>
      <c r="B22" s="270"/>
      <c r="D22" s="138"/>
    </row>
    <row r="23" spans="1:7" ht="14.25">
      <c r="A23" s="270"/>
      <c r="B23" s="703" t="s">
        <v>329</v>
      </c>
      <c r="D23" s="962" t="s">
        <v>1283</v>
      </c>
      <c r="E23" s="962"/>
      <c r="F23" s="962"/>
    </row>
    <row r="24" spans="1:7" ht="14.25">
      <c r="A24" s="270"/>
      <c r="B24" s="270"/>
      <c r="D24" s="962"/>
      <c r="E24" s="962"/>
      <c r="F24" s="962"/>
    </row>
    <row r="25" spans="1:7"/>
    <row r="26" spans="1:7" ht="14.25">
      <c r="A26" s="270"/>
      <c r="B26" s="703" t="s">
        <v>329</v>
      </c>
      <c r="D26" s="997" t="s">
        <v>1284</v>
      </c>
      <c r="E26" s="997"/>
      <c r="F26" s="997"/>
    </row>
    <row r="27" spans="1:7">
      <c r="D27" s="997"/>
      <c r="E27" s="997"/>
      <c r="F27" s="997"/>
    </row>
    <row r="28" spans="1:7">
      <c r="D28" s="997"/>
      <c r="E28" s="997"/>
      <c r="F28" s="997"/>
    </row>
    <row r="29" spans="1:7">
      <c r="A29" s="582"/>
      <c r="C29" s="582"/>
      <c r="D29" s="997"/>
      <c r="E29" s="997"/>
      <c r="F29" s="997"/>
    </row>
    <row r="30" spans="1:7">
      <c r="A30" s="582"/>
      <c r="C30" s="582"/>
      <c r="D30" s="997"/>
      <c r="E30" s="997"/>
      <c r="F30" s="997"/>
    </row>
    <row r="31" spans="1:7" s="39" customFormat="1">
      <c r="A31" s="282"/>
      <c r="B31" s="282"/>
      <c r="C31" s="282"/>
      <c r="D31" s="460"/>
      <c r="E31" s="133"/>
      <c r="F31" s="133"/>
      <c r="G31" s="133"/>
    </row>
    <row r="32" spans="1:7" s="39" customFormat="1">
      <c r="A32" s="282"/>
      <c r="B32" s="703" t="s">
        <v>329</v>
      </c>
      <c r="C32" s="282"/>
      <c r="D32" s="963" t="s">
        <v>1285</v>
      </c>
      <c r="E32" s="963"/>
      <c r="F32" s="963"/>
      <c r="G32" s="133"/>
    </row>
    <row r="33" spans="1:7" s="39" customFormat="1">
      <c r="A33" s="282"/>
      <c r="B33" s="282"/>
      <c r="C33" s="282"/>
      <c r="D33" s="963"/>
      <c r="E33" s="963"/>
      <c r="F33" s="963"/>
      <c r="G33" s="133"/>
    </row>
    <row r="34" spans="1:7" ht="14.25">
      <c r="A34" s="270"/>
      <c r="B34" s="270"/>
      <c r="D34" s="421"/>
    </row>
    <row r="35" spans="1:7" ht="14.45" customHeight="1">
      <c r="A35" s="270"/>
      <c r="B35" s="703" t="s">
        <v>329</v>
      </c>
      <c r="C35" s="578"/>
      <c r="D35" s="963" t="s">
        <v>1286</v>
      </c>
      <c r="E35" s="963"/>
      <c r="F35" s="963"/>
    </row>
    <row r="36" spans="1:7" ht="14.25">
      <c r="A36" s="270"/>
      <c r="B36" s="270"/>
      <c r="C36" s="578"/>
      <c r="D36" s="963"/>
      <c r="E36" s="963"/>
      <c r="F36" s="963"/>
    </row>
    <row r="37" spans="1:7" ht="14.25">
      <c r="A37" s="270"/>
      <c r="B37" s="270"/>
      <c r="C37" s="578"/>
      <c r="D37" s="963"/>
      <c r="E37" s="963"/>
      <c r="F37" s="963"/>
    </row>
    <row r="38" spans="1:7" ht="14.25">
      <c r="A38" s="270"/>
      <c r="B38" s="270"/>
      <c r="C38" s="578"/>
      <c r="D38" s="12"/>
    </row>
    <row r="39" spans="1:7" s="706" customFormat="1" ht="14.25">
      <c r="A39" s="270"/>
      <c r="B39" s="703" t="s">
        <v>329</v>
      </c>
      <c r="C39" s="723"/>
      <c r="D39" s="963" t="s">
        <v>1287</v>
      </c>
      <c r="E39" s="963"/>
      <c r="F39" s="963"/>
      <c r="G39" s="7"/>
    </row>
    <row r="40" spans="1:7" s="706" customFormat="1" ht="14.25">
      <c r="A40" s="270"/>
      <c r="B40" s="270"/>
      <c r="C40" s="723"/>
      <c r="D40" s="963"/>
      <c r="E40" s="963"/>
      <c r="F40" s="963"/>
      <c r="G40" s="7"/>
    </row>
    <row r="41" spans="1:7" s="706" customFormat="1" ht="14.25">
      <c r="A41" s="270"/>
      <c r="B41" s="270"/>
      <c r="C41" s="723"/>
      <c r="D41" s="963"/>
      <c r="E41" s="963"/>
      <c r="F41" s="963"/>
      <c r="G41" s="7"/>
    </row>
    <row r="42" spans="1:7" s="706" customFormat="1" ht="14.25">
      <c r="A42" s="270"/>
      <c r="B42" s="270"/>
      <c r="C42" s="723"/>
      <c r="D42" s="963"/>
      <c r="E42" s="963"/>
      <c r="F42" s="963"/>
      <c r="G42" s="7"/>
    </row>
    <row r="43" spans="1:7" s="706" customFormat="1" ht="14.25">
      <c r="A43" s="270"/>
      <c r="B43" s="270"/>
      <c r="C43" s="723"/>
      <c r="D43" s="963"/>
      <c r="E43" s="963"/>
      <c r="F43" s="963"/>
      <c r="G43" s="7"/>
    </row>
    <row r="44" spans="1:7" s="706" customFormat="1" ht="14.25">
      <c r="A44" s="270"/>
      <c r="B44" s="270"/>
      <c r="C44" s="723"/>
      <c r="D44" s="722"/>
      <c r="E44" s="722"/>
      <c r="F44" s="722"/>
      <c r="G44" s="7"/>
    </row>
    <row r="45" spans="1:7" ht="14.25">
      <c r="A45" s="270"/>
      <c r="B45" s="703" t="s">
        <v>329</v>
      </c>
      <c r="C45" s="578"/>
      <c r="D45" s="963" t="s">
        <v>1288</v>
      </c>
      <c r="E45" s="963"/>
      <c r="F45" s="963"/>
    </row>
    <row r="46" spans="1:7" ht="14.25">
      <c r="A46" s="270"/>
      <c r="B46" s="270"/>
      <c r="C46" s="578"/>
      <c r="D46" s="963"/>
      <c r="E46" s="963"/>
      <c r="F46" s="963"/>
    </row>
    <row r="47" spans="1:7" ht="14.25">
      <c r="A47" s="270"/>
      <c r="B47" s="270"/>
      <c r="C47" s="578"/>
      <c r="D47" s="963"/>
      <c r="E47" s="963"/>
      <c r="F47" s="963"/>
    </row>
    <row r="48" spans="1:7" ht="23.25" customHeight="1">
      <c r="A48" s="270"/>
      <c r="B48" s="270"/>
      <c r="C48" s="578"/>
      <c r="D48" s="963"/>
      <c r="E48" s="963"/>
      <c r="F48" s="963"/>
    </row>
    <row r="49" spans="1:7" ht="14.25">
      <c r="A49" s="270"/>
      <c r="B49" s="270"/>
      <c r="D49" s="154"/>
    </row>
    <row r="50" spans="1:7" ht="14.45" customHeight="1">
      <c r="A50" s="270"/>
      <c r="B50" s="703" t="s">
        <v>329</v>
      </c>
      <c r="D50" s="963" t="s">
        <v>1289</v>
      </c>
      <c r="E50" s="963"/>
      <c r="F50" s="963"/>
    </row>
    <row r="51" spans="1:7" ht="14.25">
      <c r="A51" s="270"/>
      <c r="B51" s="270"/>
      <c r="D51" s="963"/>
      <c r="E51" s="963"/>
      <c r="F51" s="963"/>
    </row>
    <row r="52" spans="1:7" ht="14.25">
      <c r="A52" s="270"/>
      <c r="B52" s="270"/>
      <c r="D52" s="963"/>
      <c r="E52" s="963"/>
      <c r="F52" s="963"/>
    </row>
    <row r="53" spans="1:7" s="2" customFormat="1" ht="14.25">
      <c r="A53" s="270"/>
      <c r="B53" s="270"/>
      <c r="C53" s="580"/>
      <c r="D53" s="247"/>
      <c r="E53" s="22"/>
      <c r="F53" s="22"/>
      <c r="G53" s="22"/>
    </row>
    <row r="54" spans="1:7" s="2" customFormat="1" ht="14.25">
      <c r="A54" s="420"/>
      <c r="B54" s="703" t="s">
        <v>329</v>
      </c>
      <c r="C54" s="581"/>
      <c r="D54" s="963" t="s">
        <v>1290</v>
      </c>
      <c r="E54" s="963"/>
      <c r="F54" s="963"/>
      <c r="G54" s="22"/>
    </row>
    <row r="55" spans="1:7" s="2" customFormat="1" ht="14.25">
      <c r="A55" s="420"/>
      <c r="B55" s="420"/>
      <c r="C55" s="581"/>
      <c r="D55" s="963"/>
      <c r="E55" s="963"/>
      <c r="F55" s="963"/>
      <c r="G55" s="22"/>
    </row>
    <row r="56" spans="1:7" s="39" customFormat="1">
      <c r="A56" s="282"/>
      <c r="B56" s="282"/>
      <c r="C56" s="282"/>
      <c r="D56" s="460"/>
      <c r="E56" s="133"/>
      <c r="F56" s="133"/>
      <c r="G56" s="133"/>
    </row>
    <row r="57" spans="1:7" ht="14.25">
      <c r="A57" s="270"/>
      <c r="B57" s="703" t="s">
        <v>329</v>
      </c>
      <c r="D57" s="963" t="s">
        <v>1291</v>
      </c>
      <c r="E57" s="963"/>
      <c r="F57" s="963"/>
    </row>
    <row r="58" spans="1:7">
      <c r="D58" s="963"/>
      <c r="E58" s="963"/>
      <c r="F58" s="963"/>
    </row>
    <row r="59" spans="1:7">
      <c r="D59" s="963"/>
      <c r="E59" s="963"/>
      <c r="F59" s="963"/>
    </row>
    <row r="60" spans="1:7" s="706" customFormat="1">
      <c r="A60" s="723"/>
      <c r="B60" s="723"/>
      <c r="C60" s="723"/>
      <c r="D60" s="702"/>
      <c r="E60" s="7"/>
      <c r="F60" s="7"/>
      <c r="G60" s="7"/>
    </row>
    <row r="61" spans="1:7" ht="14.25">
      <c r="A61" s="270"/>
      <c r="B61" s="703" t="s">
        <v>329</v>
      </c>
      <c r="D61" s="963" t="s">
        <v>1292</v>
      </c>
      <c r="E61" s="963"/>
      <c r="F61" s="963"/>
    </row>
    <row r="62" spans="1:7">
      <c r="D62" s="963"/>
      <c r="E62" s="963"/>
      <c r="F62" s="963"/>
    </row>
    <row r="63" spans="1:7"/>
    <row r="64" spans="1:7" ht="14.25">
      <c r="A64" s="270"/>
      <c r="B64" s="703" t="s">
        <v>329</v>
      </c>
      <c r="D64" s="963" t="s">
        <v>1293</v>
      </c>
      <c r="E64" s="963"/>
      <c r="F64" s="963"/>
    </row>
    <row r="65" spans="1:7">
      <c r="D65" s="963"/>
      <c r="E65" s="963"/>
      <c r="F65" s="963"/>
    </row>
    <row r="66" spans="1:7">
      <c r="A66" s="579"/>
      <c r="C66" s="579"/>
      <c r="D66" s="963"/>
      <c r="E66" s="963"/>
      <c r="F66" s="963"/>
    </row>
    <row r="67" spans="1:7">
      <c r="D67" s="12"/>
    </row>
    <row r="68" spans="1:7" ht="14.25">
      <c r="A68" s="270"/>
      <c r="B68" s="703" t="s">
        <v>329</v>
      </c>
      <c r="D68" s="962" t="s">
        <v>1294</v>
      </c>
      <c r="E68" s="962"/>
      <c r="F68" s="962"/>
    </row>
    <row r="69" spans="1:7">
      <c r="D69" s="962"/>
      <c r="E69" s="962"/>
      <c r="F69" s="962"/>
    </row>
    <row r="70" spans="1:7" ht="14.25">
      <c r="A70" s="270"/>
      <c r="B70" s="270"/>
      <c r="D70" s="138"/>
    </row>
    <row r="71" spans="1:7">
      <c r="A71" s="982" t="s">
        <v>1201</v>
      </c>
      <c r="B71" s="982"/>
      <c r="C71" s="982"/>
      <c r="D71" s="982"/>
      <c r="E71" s="982"/>
      <c r="F71" s="982"/>
      <c r="G71" s="982"/>
    </row>
    <row r="72" spans="1:7"/>
    <row r="73" spans="1:7">
      <c r="C73" s="271"/>
      <c r="D73" s="1011" t="s">
        <v>1299</v>
      </c>
      <c r="E73" s="1011"/>
      <c r="F73" s="1011"/>
    </row>
    <row r="74" spans="1:7">
      <c r="A74" s="138"/>
      <c r="B74" s="138"/>
      <c r="D74" s="962" t="s">
        <v>1326</v>
      </c>
      <c r="E74" s="962"/>
      <c r="F74" s="962"/>
    </row>
    <row r="75" spans="1:7">
      <c r="A75" s="138"/>
      <c r="B75" s="138"/>
    </row>
    <row r="76" spans="1:7" ht="14.25">
      <c r="A76" s="270"/>
      <c r="B76" s="703" t="s">
        <v>329</v>
      </c>
      <c r="D76" s="962" t="s">
        <v>1300</v>
      </c>
      <c r="E76" s="962"/>
      <c r="F76" s="962"/>
    </row>
    <row r="77" spans="1:7" ht="14.25">
      <c r="A77" s="270"/>
      <c r="B77" s="270"/>
      <c r="D77" s="962"/>
      <c r="E77" s="962"/>
      <c r="F77" s="962"/>
    </row>
    <row r="78" spans="1:7" ht="14.25">
      <c r="A78" s="270"/>
      <c r="B78" s="270"/>
      <c r="D78" s="962"/>
      <c r="E78" s="962"/>
      <c r="F78" s="962"/>
    </row>
    <row r="79" spans="1:7" ht="14.25">
      <c r="A79" s="270"/>
      <c r="B79" s="270"/>
      <c r="D79" s="962"/>
      <c r="E79" s="962"/>
      <c r="F79" s="962"/>
    </row>
    <row r="80" spans="1:7" ht="14.25">
      <c r="A80" s="270"/>
      <c r="B80" s="270"/>
      <c r="D80" s="962"/>
      <c r="E80" s="962"/>
      <c r="F80" s="962"/>
    </row>
    <row r="81" spans="1:7" ht="14.25">
      <c r="A81" s="270"/>
      <c r="B81" s="270"/>
      <c r="D81" s="962"/>
      <c r="E81" s="962"/>
      <c r="F81" s="962"/>
    </row>
    <row r="82" spans="1:7" s="730" customFormat="1" ht="14.25">
      <c r="A82" s="731"/>
      <c r="B82" s="731"/>
      <c r="C82" s="729"/>
      <c r="D82" s="733"/>
      <c r="E82" s="733"/>
      <c r="F82" s="733"/>
      <c r="G82" s="7"/>
    </row>
    <row r="83" spans="1:7" s="730" customFormat="1" ht="14.45" customHeight="1">
      <c r="A83" s="731"/>
      <c r="B83" s="736" t="s">
        <v>329</v>
      </c>
      <c r="C83" s="729"/>
      <c r="D83" s="991" t="s">
        <v>1399</v>
      </c>
      <c r="E83" s="991"/>
      <c r="F83" s="991"/>
      <c r="G83" s="7"/>
    </row>
    <row r="84" spans="1:7" s="730" customFormat="1" ht="14.25">
      <c r="A84" s="731"/>
      <c r="B84" s="731"/>
      <c r="C84" s="729"/>
      <c r="D84" s="991"/>
      <c r="E84" s="991"/>
      <c r="F84" s="991"/>
      <c r="G84" s="7"/>
    </row>
    <row r="85" spans="1:7" s="730" customFormat="1" ht="14.25">
      <c r="A85" s="731"/>
      <c r="B85" s="731"/>
      <c r="C85" s="729"/>
      <c r="D85" s="991"/>
      <c r="E85" s="991"/>
      <c r="F85" s="991"/>
      <c r="G85" s="7"/>
    </row>
    <row r="86" spans="1:7" s="730" customFormat="1" ht="14.25">
      <c r="A86" s="731"/>
      <c r="B86" s="731"/>
      <c r="C86" s="729"/>
      <c r="D86" s="991"/>
      <c r="E86" s="991"/>
      <c r="F86" s="991"/>
      <c r="G86" s="7"/>
    </row>
    <row r="87" spans="1:7" s="730" customFormat="1" ht="14.25">
      <c r="A87" s="731"/>
      <c r="B87" s="731"/>
      <c r="C87" s="729"/>
      <c r="D87" s="991"/>
      <c r="E87" s="991"/>
      <c r="F87" s="991"/>
      <c r="G87" s="7"/>
    </row>
    <row r="88" spans="1:7" s="743" customFormat="1" ht="14.25">
      <c r="A88" s="738"/>
      <c r="B88" s="738"/>
      <c r="C88" s="769"/>
      <c r="D88" s="991"/>
      <c r="E88" s="991"/>
      <c r="F88" s="991"/>
      <c r="G88" s="7"/>
    </row>
    <row r="89" spans="1:7" s="743" customFormat="1" ht="14.25">
      <c r="A89" s="738"/>
      <c r="B89" s="738"/>
      <c r="C89" s="769"/>
      <c r="D89" s="991"/>
      <c r="E89" s="991"/>
      <c r="F89" s="991"/>
      <c r="G89" s="7"/>
    </row>
    <row r="90" spans="1:7" s="743" customFormat="1" ht="14.25">
      <c r="A90" s="738"/>
      <c r="B90" s="738"/>
      <c r="C90" s="769"/>
      <c r="D90" s="991"/>
      <c r="E90" s="991"/>
      <c r="F90" s="991"/>
      <c r="G90" s="7"/>
    </row>
    <row r="91" spans="1:7" ht="14.25">
      <c r="A91" s="270"/>
      <c r="B91" s="270"/>
      <c r="D91" s="991"/>
      <c r="E91" s="991"/>
      <c r="F91" s="991"/>
    </row>
    <row r="92" spans="1:7" ht="14.25">
      <c r="A92" s="270"/>
      <c r="B92" s="270"/>
      <c r="D92" s="991"/>
      <c r="E92" s="991"/>
      <c r="F92" s="991"/>
    </row>
    <row r="93" spans="1:7" ht="14.25">
      <c r="A93" s="270"/>
      <c r="B93" s="270"/>
      <c r="D93" s="991"/>
      <c r="E93" s="991"/>
      <c r="F93" s="991"/>
    </row>
    <row r="94" spans="1:7" ht="14.25">
      <c r="A94" s="270"/>
      <c r="B94" s="270"/>
      <c r="D94" s="991"/>
      <c r="E94" s="991"/>
      <c r="F94" s="991"/>
    </row>
    <row r="95" spans="1:7" ht="14.25">
      <c r="A95" s="270"/>
      <c r="B95" s="270"/>
      <c r="D95" s="991"/>
      <c r="E95" s="991"/>
      <c r="F95" s="991"/>
    </row>
    <row r="96" spans="1:7" ht="14.25">
      <c r="A96" s="270"/>
      <c r="B96" s="270"/>
      <c r="D96" s="991"/>
      <c r="E96" s="991"/>
      <c r="F96" s="991"/>
    </row>
    <row r="97" spans="1:11" s="734" customFormat="1" ht="14.25">
      <c r="A97" s="735"/>
      <c r="B97" s="739" t="s">
        <v>329</v>
      </c>
      <c r="C97" s="729"/>
      <c r="D97" s="962" t="s">
        <v>1301</v>
      </c>
      <c r="E97" s="962"/>
      <c r="F97" s="962"/>
      <c r="G97" s="7"/>
    </row>
    <row r="98" spans="1:11" s="734" customFormat="1" ht="14.25">
      <c r="A98" s="735"/>
      <c r="B98" s="735"/>
      <c r="C98" s="729"/>
      <c r="D98" s="962"/>
      <c r="E98" s="962"/>
      <c r="F98" s="962"/>
      <c r="G98" s="7"/>
    </row>
    <row r="99" spans="1:11" s="734" customFormat="1" ht="14.25">
      <c r="A99" s="735"/>
      <c r="B99" s="735"/>
      <c r="C99" s="729"/>
      <c r="D99" s="962"/>
      <c r="E99" s="962"/>
      <c r="F99" s="962"/>
      <c r="G99" s="7"/>
    </row>
    <row r="100" spans="1:11" s="734" customFormat="1" ht="14.25">
      <c r="A100" s="735"/>
      <c r="B100" s="735"/>
      <c r="C100" s="729"/>
      <c r="D100" s="962"/>
      <c r="E100" s="962"/>
      <c r="F100" s="962"/>
      <c r="G100" s="7"/>
    </row>
    <row r="101" spans="1:11" s="734" customFormat="1" ht="14.25">
      <c r="A101" s="735"/>
      <c r="B101" s="735"/>
      <c r="C101" s="729"/>
      <c r="D101" s="962"/>
      <c r="E101" s="962"/>
      <c r="F101" s="962"/>
      <c r="G101" s="7"/>
    </row>
    <row r="102" spans="1:11" s="734" customFormat="1" ht="14.25">
      <c r="A102" s="735"/>
      <c r="B102" s="735"/>
      <c r="C102" s="729"/>
      <c r="D102" s="962"/>
      <c r="E102" s="962"/>
      <c r="F102" s="962"/>
      <c r="G102" s="7"/>
    </row>
    <row r="103" spans="1:11" s="734" customFormat="1" ht="14.25">
      <c r="A103" s="735"/>
      <c r="B103" s="735"/>
      <c r="C103" s="729"/>
      <c r="D103" s="962"/>
      <c r="E103" s="962"/>
      <c r="F103" s="962"/>
      <c r="G103" s="7"/>
    </row>
    <row r="104" spans="1:11" s="734" customFormat="1" ht="14.25">
      <c r="A104" s="735"/>
      <c r="B104" s="735"/>
      <c r="C104" s="729"/>
      <c r="D104" s="962"/>
      <c r="E104" s="962"/>
      <c r="F104" s="962"/>
      <c r="G104" s="7"/>
    </row>
    <row r="105" spans="1:11" s="737" customFormat="1" ht="14.25">
      <c r="A105" s="738"/>
      <c r="B105" s="738"/>
      <c r="C105" s="729"/>
      <c r="D105" s="740"/>
      <c r="E105" s="740"/>
      <c r="F105" s="740"/>
      <c r="G105" s="7"/>
    </row>
    <row r="106" spans="1:11" ht="14.25">
      <c r="A106" s="420"/>
      <c r="B106" s="732" t="s">
        <v>329</v>
      </c>
      <c r="C106" s="486"/>
      <c r="D106" s="1019" t="s">
        <v>1302</v>
      </c>
      <c r="E106" s="1019"/>
      <c r="F106" s="1019"/>
      <c r="G106" s="487"/>
      <c r="H106" s="485"/>
      <c r="I106" s="485"/>
      <c r="J106" s="485"/>
      <c r="K106" s="485"/>
    </row>
    <row r="107" spans="1:11" ht="14.25">
      <c r="A107" s="270"/>
      <c r="B107" s="270"/>
      <c r="C107" s="325"/>
      <c r="D107" s="1019"/>
      <c r="E107" s="1019"/>
      <c r="F107" s="1019"/>
      <c r="G107" s="487"/>
      <c r="H107" s="485"/>
      <c r="I107" s="485"/>
      <c r="J107" s="485"/>
      <c r="K107" s="485"/>
    </row>
    <row r="108" spans="1:11" ht="14.25">
      <c r="A108" s="270"/>
      <c r="B108" s="270"/>
      <c r="C108" s="325"/>
      <c r="D108" s="1019"/>
      <c r="E108" s="1019"/>
      <c r="F108" s="1019"/>
      <c r="G108" s="487"/>
      <c r="H108" s="485"/>
      <c r="I108" s="485"/>
      <c r="J108" s="485"/>
      <c r="K108" s="485"/>
    </row>
    <row r="109" spans="1:11" ht="14.25">
      <c r="A109" s="270"/>
      <c r="B109" s="270"/>
      <c r="C109" s="325"/>
      <c r="D109" s="1019"/>
      <c r="E109" s="1019"/>
      <c r="F109" s="1019"/>
      <c r="G109" s="487"/>
      <c r="H109" s="485"/>
      <c r="I109" s="485"/>
      <c r="J109" s="485"/>
      <c r="K109" s="485"/>
    </row>
    <row r="110" spans="1:11" ht="14.25">
      <c r="A110" s="270"/>
      <c r="B110" s="270"/>
      <c r="C110" s="325"/>
      <c r="D110" s="1019"/>
      <c r="E110" s="1019"/>
      <c r="F110" s="1019"/>
      <c r="G110" s="487"/>
      <c r="H110" s="485"/>
      <c r="I110" s="485"/>
      <c r="J110" s="485"/>
      <c r="K110" s="485"/>
    </row>
    <row r="111" spans="1:11">
      <c r="C111"/>
      <c r="D111" s="1019"/>
      <c r="E111" s="1019"/>
      <c r="F111" s="1019"/>
      <c r="G111"/>
      <c r="H111"/>
      <c r="I111"/>
      <c r="J111"/>
      <c r="K111"/>
    </row>
    <row r="112" spans="1:11">
      <c r="C112"/>
      <c r="D112" s="1019"/>
      <c r="E112" s="1019"/>
      <c r="F112" s="1019"/>
      <c r="G112"/>
      <c r="H112"/>
      <c r="I112"/>
      <c r="J112"/>
      <c r="K112"/>
    </row>
    <row r="113" spans="1:11">
      <c r="C113"/>
      <c r="D113" s="494"/>
      <c r="E113"/>
      <c r="F113"/>
      <c r="G113"/>
      <c r="H113"/>
      <c r="I113"/>
      <c r="J113"/>
      <c r="K113"/>
    </row>
    <row r="114" spans="1:11" ht="14.25">
      <c r="A114" s="270"/>
      <c r="B114" s="703" t="s">
        <v>329</v>
      </c>
      <c r="C114"/>
      <c r="D114" s="1020" t="s">
        <v>1303</v>
      </c>
      <c r="E114" s="1020"/>
      <c r="F114" s="1020"/>
      <c r="G114"/>
      <c r="H114"/>
      <c r="I114"/>
      <c r="J114"/>
      <c r="K114"/>
    </row>
    <row r="115" spans="1:11" ht="14.25">
      <c r="A115" s="270"/>
      <c r="B115" s="270"/>
      <c r="C115"/>
      <c r="D115" s="1020"/>
      <c r="E115" s="1020"/>
      <c r="F115" s="1020"/>
      <c r="G115"/>
      <c r="H115"/>
      <c r="I115"/>
      <c r="J115"/>
      <c r="K115"/>
    </row>
    <row r="116" spans="1:11"/>
    <row r="117" spans="1:11" ht="14.25">
      <c r="A117" s="270"/>
      <c r="B117" s="703" t="s">
        <v>329</v>
      </c>
      <c r="C117" s="10"/>
      <c r="D117" s="962" t="s">
        <v>1304</v>
      </c>
      <c r="E117" s="962"/>
      <c r="F117" s="962"/>
    </row>
    <row r="118" spans="1:11">
      <c r="C118" s="10"/>
      <c r="D118" s="962"/>
      <c r="E118" s="962"/>
      <c r="F118" s="962"/>
    </row>
    <row r="119" spans="1:11">
      <c r="C119" s="10"/>
      <c r="D119" s="962"/>
      <c r="E119" s="962"/>
      <c r="F119" s="962"/>
    </row>
    <row r="120" spans="1:11">
      <c r="C120" s="10"/>
      <c r="D120" s="962"/>
      <c r="E120" s="962"/>
      <c r="F120" s="962"/>
    </row>
    <row r="121" spans="1:11">
      <c r="C121" s="10"/>
      <c r="D121" s="962"/>
      <c r="E121" s="962"/>
      <c r="F121" s="962"/>
    </row>
    <row r="122" spans="1:11">
      <c r="C122" s="10"/>
      <c r="D122" s="152"/>
      <c r="E122" s="152"/>
      <c r="F122" s="152"/>
    </row>
    <row r="123" spans="1:11" customFormat="1" ht="14.25">
      <c r="A123" s="270"/>
      <c r="B123" s="703" t="s">
        <v>329</v>
      </c>
      <c r="C123" s="10"/>
      <c r="D123" s="963" t="s">
        <v>1305</v>
      </c>
      <c r="E123" s="963"/>
      <c r="F123" s="963"/>
      <c r="G123" s="152"/>
    </row>
    <row r="124" spans="1:11" s="306" customFormat="1" ht="13.7" customHeight="1">
      <c r="A124" s="303"/>
      <c r="B124" s="303"/>
      <c r="C124" s="304"/>
      <c r="D124" s="963"/>
      <c r="E124" s="963"/>
      <c r="F124" s="963"/>
      <c r="G124" s="305"/>
    </row>
    <row r="125" spans="1:11" customFormat="1" ht="13.7" customHeight="1">
      <c r="A125" s="135"/>
      <c r="B125" s="700"/>
      <c r="C125" s="10"/>
      <c r="D125" s="963"/>
      <c r="E125" s="963"/>
      <c r="F125" s="963"/>
      <c r="G125" s="152"/>
    </row>
    <row r="126" spans="1:11" customFormat="1" ht="13.7" customHeight="1">
      <c r="A126" s="135"/>
      <c r="B126" s="700"/>
      <c r="C126" s="10"/>
      <c r="D126" s="963"/>
      <c r="E126" s="963"/>
      <c r="F126" s="963"/>
      <c r="G126" s="152"/>
    </row>
    <row r="127" spans="1:11" customFormat="1" ht="13.7" customHeight="1">
      <c r="A127" s="135"/>
      <c r="B127" s="700"/>
      <c r="C127" s="10"/>
      <c r="D127" s="963"/>
      <c r="E127" s="963"/>
      <c r="F127" s="963"/>
      <c r="G127" s="152"/>
    </row>
    <row r="128" spans="1:11" customFormat="1" ht="13.7" customHeight="1">
      <c r="A128" s="395"/>
      <c r="B128" s="395"/>
      <c r="C128" s="10"/>
      <c r="D128" s="963"/>
      <c r="E128" s="963"/>
      <c r="F128" s="963"/>
      <c r="G128" s="152"/>
    </row>
    <row r="129" spans="1:7" s="2" customFormat="1" ht="13.7" customHeight="1">
      <c r="A129" s="282"/>
      <c r="B129" s="282"/>
      <c r="C129" s="459"/>
      <c r="D129" s="963"/>
      <c r="E129" s="963"/>
      <c r="F129" s="963"/>
      <c r="G129" s="187"/>
    </row>
    <row r="130" spans="1:7" s="2" customFormat="1" ht="13.7" customHeight="1">
      <c r="A130" s="282"/>
      <c r="B130" s="282"/>
      <c r="C130" s="459"/>
      <c r="D130" s="963"/>
      <c r="E130" s="963"/>
      <c r="F130" s="963"/>
      <c r="G130" s="187"/>
    </row>
    <row r="131" spans="1:7" customFormat="1" ht="13.7" customHeight="1">
      <c r="A131" s="135"/>
      <c r="B131" s="700"/>
      <c r="C131" s="10"/>
      <c r="D131" s="963"/>
      <c r="E131" s="963"/>
      <c r="F131" s="963"/>
      <c r="G131" s="152"/>
    </row>
    <row r="132" spans="1:7" customFormat="1" ht="13.7" customHeight="1">
      <c r="A132" s="135"/>
      <c r="B132" s="700"/>
      <c r="C132" s="10"/>
      <c r="D132" s="963"/>
      <c r="E132" s="963"/>
      <c r="F132" s="963"/>
      <c r="G132" s="152"/>
    </row>
    <row r="133" spans="1:7" customFormat="1" ht="13.7" customHeight="1">
      <c r="A133" s="135"/>
      <c r="B133" s="700"/>
      <c r="C133" s="10"/>
      <c r="D133" s="963"/>
      <c r="E133" s="963"/>
      <c r="F133" s="963"/>
      <c r="G133" s="152"/>
    </row>
    <row r="134" spans="1:7" customFormat="1" ht="13.7" customHeight="1">
      <c r="A134" s="135"/>
      <c r="B134" s="700"/>
      <c r="C134" s="10"/>
      <c r="D134" s="963"/>
      <c r="E134" s="963"/>
      <c r="F134" s="963"/>
      <c r="G134" s="152"/>
    </row>
    <row r="135" spans="1:7" customFormat="1" ht="13.7" customHeight="1">
      <c r="A135" s="135"/>
      <c r="B135" s="700"/>
      <c r="C135" s="10"/>
      <c r="D135" s="337"/>
      <c r="E135" s="154"/>
      <c r="F135" s="154"/>
      <c r="G135" s="152"/>
    </row>
    <row r="136" spans="1:7" s="741" customFormat="1" ht="13.7" customHeight="1">
      <c r="A136" s="729"/>
      <c r="B136" s="742" t="s">
        <v>329</v>
      </c>
      <c r="C136" s="10"/>
      <c r="D136" s="962" t="s">
        <v>1413</v>
      </c>
      <c r="E136" s="962"/>
      <c r="F136" s="962"/>
      <c r="G136" s="152"/>
    </row>
    <row r="137" spans="1:7" s="741" customFormat="1" ht="13.7" customHeight="1">
      <c r="A137" s="729"/>
      <c r="B137" s="729"/>
      <c r="C137" s="10"/>
      <c r="D137" s="962"/>
      <c r="E137" s="962"/>
      <c r="F137" s="962"/>
      <c r="G137" s="152"/>
    </row>
    <row r="138" spans="1:7" s="741" customFormat="1" ht="13.7" customHeight="1">
      <c r="A138" s="729"/>
      <c r="B138" s="729"/>
      <c r="C138" s="10"/>
      <c r="D138" s="962"/>
      <c r="E138" s="962"/>
      <c r="F138" s="962"/>
      <c r="G138" s="152"/>
    </row>
    <row r="139" spans="1:7" s="741" customFormat="1" ht="13.7" customHeight="1">
      <c r="A139" s="729"/>
      <c r="B139" s="729"/>
      <c r="C139" s="10"/>
      <c r="D139" s="962"/>
      <c r="E139" s="962"/>
      <c r="F139" s="962"/>
      <c r="G139" s="152"/>
    </row>
    <row r="140" spans="1:7" s="741" customFormat="1" ht="13.7" customHeight="1">
      <c r="A140" s="729"/>
      <c r="B140" s="729"/>
      <c r="C140" s="10"/>
      <c r="D140" s="962"/>
      <c r="E140" s="962"/>
      <c r="F140" s="962"/>
      <c r="G140" s="152"/>
    </row>
    <row r="141" spans="1:7" s="741" customFormat="1" ht="13.7" customHeight="1">
      <c r="A141" s="729"/>
      <c r="B141" s="729"/>
      <c r="C141" s="10"/>
      <c r="D141" s="962"/>
      <c r="E141" s="962"/>
      <c r="F141" s="962"/>
      <c r="G141" s="152"/>
    </row>
    <row r="142" spans="1:7" s="741" customFormat="1" ht="13.7" customHeight="1">
      <c r="A142" s="729"/>
      <c r="B142" s="729"/>
      <c r="C142" s="10"/>
      <c r="D142" s="962"/>
      <c r="E142" s="962"/>
      <c r="F142" s="962"/>
      <c r="G142" s="152"/>
    </row>
    <row r="143" spans="1:7" s="741" customFormat="1" ht="13.7" customHeight="1">
      <c r="A143" s="729"/>
      <c r="B143" s="729"/>
      <c r="C143" s="10"/>
      <c r="D143" s="962"/>
      <c r="E143" s="962"/>
      <c r="F143" s="962"/>
      <c r="G143" s="152"/>
    </row>
    <row r="144" spans="1:7" s="741" customFormat="1" ht="13.7" customHeight="1">
      <c r="A144" s="729"/>
      <c r="B144" s="729"/>
      <c r="C144" s="10"/>
      <c r="D144" s="962"/>
      <c r="E144" s="962"/>
      <c r="F144" s="962"/>
      <c r="G144" s="152"/>
    </row>
    <row r="145" spans="1:7" s="741" customFormat="1" ht="13.7" customHeight="1">
      <c r="A145" s="729"/>
      <c r="B145" s="729"/>
      <c r="C145" s="10"/>
      <c r="D145" s="962"/>
      <c r="E145" s="962"/>
      <c r="F145" s="962"/>
      <c r="G145" s="152"/>
    </row>
    <row r="146" spans="1:7" s="741" customFormat="1" ht="13.7" customHeight="1">
      <c r="A146" s="771"/>
      <c r="B146" s="771"/>
      <c r="C146" s="10"/>
      <c r="D146" s="962"/>
      <c r="E146" s="962"/>
      <c r="F146" s="962"/>
      <c r="G146" s="152"/>
    </row>
    <row r="147" spans="1:7" s="741" customFormat="1" ht="13.7" customHeight="1">
      <c r="A147" s="771"/>
      <c r="B147" s="771"/>
      <c r="C147" s="10"/>
      <c r="D147" s="962"/>
      <c r="E147" s="962"/>
      <c r="F147" s="962"/>
      <c r="G147" s="152"/>
    </row>
    <row r="148" spans="1:7" s="741" customFormat="1" ht="13.7" customHeight="1">
      <c r="A148" s="729"/>
      <c r="B148" s="729"/>
      <c r="C148" s="10"/>
      <c r="D148" s="962"/>
      <c r="E148" s="962"/>
      <c r="F148" s="962"/>
      <c r="G148" s="152"/>
    </row>
    <row r="149" spans="1:7" s="741" customFormat="1" ht="13.7" customHeight="1">
      <c r="A149" s="729"/>
      <c r="B149" s="729"/>
      <c r="C149" s="10"/>
      <c r="D149" s="962"/>
      <c r="E149" s="962"/>
      <c r="F149" s="962"/>
      <c r="G149" s="152"/>
    </row>
    <row r="150" spans="1:7" s="741" customFormat="1" ht="13.7" customHeight="1">
      <c r="A150" s="729"/>
      <c r="B150" s="729"/>
      <c r="C150" s="10"/>
      <c r="D150" s="962"/>
      <c r="E150" s="962"/>
      <c r="F150" s="962"/>
      <c r="G150" s="152"/>
    </row>
    <row r="151" spans="1:7" s="741" customFormat="1" ht="13.7" customHeight="1">
      <c r="A151" s="729"/>
      <c r="B151" s="729"/>
      <c r="C151" s="10"/>
      <c r="D151" s="962"/>
      <c r="E151" s="962"/>
      <c r="F151" s="962"/>
      <c r="G151" s="152"/>
    </row>
    <row r="152" spans="1:7" s="741" customFormat="1" ht="13.7" customHeight="1">
      <c r="A152" s="729"/>
      <c r="B152" s="729"/>
      <c r="C152" s="10"/>
      <c r="D152" s="962"/>
      <c r="E152" s="962"/>
      <c r="F152" s="962"/>
      <c r="G152" s="152"/>
    </row>
    <row r="153" spans="1:7" s="741" customFormat="1" ht="13.7" customHeight="1">
      <c r="A153" s="729"/>
      <c r="B153" s="729"/>
      <c r="C153" s="10"/>
      <c r="D153" s="962"/>
      <c r="E153" s="962"/>
      <c r="F153" s="962"/>
      <c r="G153" s="152"/>
    </row>
    <row r="154" spans="1:7" s="741" customFormat="1" ht="13.7" customHeight="1">
      <c r="A154" s="729"/>
      <c r="B154" s="729"/>
      <c r="C154" s="10"/>
      <c r="D154" s="962"/>
      <c r="E154" s="962"/>
      <c r="F154" s="962"/>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4" t="s">
        <v>1306</v>
      </c>
      <c r="E156" s="974"/>
      <c r="F156" s="974"/>
      <c r="G156" s="461"/>
    </row>
    <row r="157" spans="1:7" customFormat="1" ht="13.7" customHeight="1">
      <c r="A157" s="395"/>
      <c r="B157" s="395"/>
      <c r="C157" s="335"/>
      <c r="D157" s="974"/>
      <c r="E157" s="974"/>
      <c r="F157" s="974"/>
      <c r="G157" s="461"/>
    </row>
    <row r="158" spans="1:7" customFormat="1" ht="13.7" customHeight="1">
      <c r="A158" s="395"/>
      <c r="B158" s="395"/>
      <c r="C158" s="335"/>
      <c r="D158" s="337"/>
      <c r="E158" s="335"/>
      <c r="F158" s="335"/>
      <c r="G158" s="461"/>
    </row>
    <row r="159" spans="1:7" customFormat="1" ht="13.7" customHeight="1">
      <c r="A159" s="395"/>
      <c r="B159" s="703" t="s">
        <v>329</v>
      </c>
      <c r="C159" s="335"/>
      <c r="D159" s="970" t="s">
        <v>1307</v>
      </c>
      <c r="E159" s="970"/>
      <c r="F159" s="970"/>
      <c r="G159" s="461"/>
    </row>
    <row r="160" spans="1:7" customFormat="1" ht="13.7" customHeight="1">
      <c r="A160" s="395"/>
      <c r="B160" s="395"/>
      <c r="C160" s="335"/>
      <c r="D160" s="970"/>
      <c r="E160" s="970"/>
      <c r="F160" s="970"/>
      <c r="G160" s="461"/>
    </row>
    <row r="161" spans="1:7" customFormat="1" ht="13.7" customHeight="1">
      <c r="A161" s="395"/>
      <c r="B161" s="395"/>
      <c r="C161" s="335"/>
      <c r="D161" s="970"/>
      <c r="E161" s="970"/>
      <c r="F161" s="970"/>
      <c r="G161" s="461"/>
    </row>
    <row r="162" spans="1:7" customFormat="1" ht="13.7" customHeight="1">
      <c r="A162" s="395"/>
      <c r="B162" s="395"/>
      <c r="C162" s="335"/>
      <c r="D162" s="970"/>
      <c r="E162" s="970"/>
      <c r="F162" s="970"/>
      <c r="G162" s="461"/>
    </row>
    <row r="163" spans="1:7" customFormat="1" ht="13.7" customHeight="1">
      <c r="A163" s="135"/>
      <c r="B163" s="700"/>
      <c r="C163" s="10"/>
      <c r="D163" s="154"/>
      <c r="E163" s="154"/>
      <c r="F163" s="154"/>
      <c r="G163" s="152"/>
    </row>
    <row r="164" spans="1:7" customFormat="1" ht="13.7" customHeight="1">
      <c r="A164" s="135"/>
      <c r="B164" s="703" t="s">
        <v>329</v>
      </c>
      <c r="C164" s="10"/>
      <c r="D164" s="1005" t="s">
        <v>1308</v>
      </c>
      <c r="E164" s="1005"/>
      <c r="F164" s="1005"/>
      <c r="G164" s="152"/>
    </row>
    <row r="165" spans="1:7" customFormat="1" ht="13.7" customHeight="1">
      <c r="A165" s="135"/>
      <c r="B165" s="700"/>
      <c r="C165" s="10"/>
      <c r="D165" s="1005"/>
      <c r="E165" s="1005"/>
      <c r="F165" s="1005"/>
      <c r="G165" s="152"/>
    </row>
    <row r="166" spans="1:7" customFormat="1" ht="13.7" customHeight="1">
      <c r="A166" s="135"/>
      <c r="B166" s="700"/>
      <c r="C166" s="10"/>
      <c r="D166" s="1005"/>
      <c r="E166" s="1005"/>
      <c r="F166" s="1005"/>
      <c r="G166" s="152"/>
    </row>
    <row r="167" spans="1:7" customFormat="1" ht="13.7" customHeight="1">
      <c r="A167" s="23"/>
      <c r="B167" s="699"/>
      <c r="C167" s="10"/>
      <c r="D167" s="7"/>
      <c r="E167" s="154"/>
      <c r="F167" s="154"/>
      <c r="G167" s="152"/>
    </row>
    <row r="168" spans="1:7">
      <c r="A168" s="982" t="s">
        <v>1202</v>
      </c>
      <c r="B168" s="982"/>
      <c r="C168" s="982"/>
      <c r="D168" s="982"/>
      <c r="E168" s="982"/>
      <c r="F168" s="982"/>
      <c r="G168" s="982"/>
    </row>
    <row r="169" spans="1:7" ht="12" customHeight="1">
      <c r="D169" s="138"/>
      <c r="E169" s="138"/>
      <c r="F169" s="138"/>
    </row>
    <row r="170" spans="1:7">
      <c r="B170" s="1010" t="s">
        <v>483</v>
      </c>
      <c r="C170" s="1010"/>
      <c r="D170" s="1010"/>
      <c r="E170" s="1010"/>
      <c r="F170" s="1010"/>
    </row>
    <row r="171" spans="1:7" ht="12" customHeight="1">
      <c r="A171" s="264"/>
      <c r="B171" s="697"/>
      <c r="C171" s="264"/>
    </row>
    <row r="172" spans="1:7">
      <c r="A172" s="982" t="s">
        <v>1203</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06" t="s">
        <v>1311</v>
      </c>
      <c r="E174" s="1006"/>
      <c r="F174" s="1006"/>
      <c r="G174" s="57"/>
    </row>
    <row r="175" spans="1:7">
      <c r="A175" s="273"/>
      <c r="B175" s="273"/>
      <c r="C175" s="274"/>
      <c r="D175" s="1006"/>
      <c r="E175" s="1006"/>
      <c r="F175" s="1006"/>
      <c r="G175" s="57"/>
    </row>
    <row r="176" spans="1:7" s="743" customFormat="1">
      <c r="A176" s="745"/>
      <c r="B176" s="745"/>
      <c r="C176" s="274"/>
      <c r="D176" s="1007" t="s">
        <v>1312</v>
      </c>
      <c r="E176" s="1007"/>
      <c r="F176" s="1007"/>
      <c r="G176" s="57"/>
    </row>
    <row r="177" spans="1:7" ht="12" customHeight="1">
      <c r="A177" s="273"/>
      <c r="B177" s="273"/>
      <c r="C177" s="274"/>
      <c r="D177" s="57"/>
      <c r="E177" s="49"/>
      <c r="F177" s="57"/>
      <c r="G177" s="57"/>
    </row>
    <row r="178" spans="1:7" ht="14.25">
      <c r="A178" s="270"/>
      <c r="B178" s="703" t="s">
        <v>329</v>
      </c>
      <c r="C178" s="274"/>
      <c r="D178" s="1000" t="s">
        <v>1310</v>
      </c>
      <c r="E178" s="1000"/>
      <c r="F178" s="1000"/>
      <c r="G178" s="57"/>
    </row>
    <row r="179" spans="1:7" ht="14.25">
      <c r="A179" s="270"/>
      <c r="B179" s="270"/>
      <c r="C179" s="274"/>
      <c r="D179" s="1000"/>
      <c r="E179" s="1000"/>
      <c r="F179" s="1000"/>
      <c r="G179" s="57"/>
    </row>
    <row r="180" spans="1:7" ht="14.25">
      <c r="A180" s="270"/>
      <c r="B180" s="270"/>
      <c r="C180" s="274"/>
      <c r="D180" s="1000"/>
      <c r="E180" s="1000"/>
      <c r="F180" s="1000"/>
      <c r="G180" s="57"/>
    </row>
    <row r="181" spans="1:7">
      <c r="A181" s="274"/>
      <c r="B181" s="274"/>
      <c r="C181" s="274"/>
      <c r="D181" s="1000"/>
      <c r="E181" s="1000"/>
      <c r="F181" s="1000"/>
    </row>
    <row r="182" spans="1:7">
      <c r="A182" s="274"/>
      <c r="B182" s="274"/>
      <c r="C182" s="274"/>
      <c r="D182" s="421"/>
      <c r="E182" s="57"/>
      <c r="F182" s="57"/>
    </row>
    <row r="183" spans="1:7">
      <c r="A183" s="274"/>
      <c r="B183" s="274"/>
      <c r="C183" s="274"/>
      <c r="D183" s="1009" t="s">
        <v>1219</v>
      </c>
      <c r="E183" s="1009"/>
      <c r="F183" s="1009"/>
    </row>
    <row r="184" spans="1:7">
      <c r="A184" s="274"/>
      <c r="B184" s="274"/>
      <c r="C184" s="274"/>
      <c r="D184" s="1009"/>
      <c r="E184" s="1009"/>
      <c r="F184" s="1009"/>
    </row>
    <row r="185" spans="1:7" s="706" customFormat="1">
      <c r="A185" s="274"/>
      <c r="B185" s="274"/>
      <c r="C185" s="274"/>
      <c r="D185" s="720"/>
      <c r="E185" s="720"/>
      <c r="F185" s="720"/>
      <c r="G185" s="7"/>
    </row>
    <row r="186" spans="1:7" s="701" customFormat="1" ht="14.25">
      <c r="A186" s="270"/>
      <c r="B186" s="703" t="s">
        <v>329</v>
      </c>
      <c r="C186" s="581"/>
      <c r="D186" s="962" t="s">
        <v>1309</v>
      </c>
      <c r="E186" s="962"/>
      <c r="F186" s="962"/>
      <c r="G186" s="702"/>
    </row>
    <row r="187" spans="1:7" s="701" customFormat="1" ht="14.45" customHeight="1">
      <c r="A187" s="270"/>
      <c r="C187" s="581"/>
      <c r="D187" s="962"/>
      <c r="E187" s="962"/>
      <c r="F187" s="962"/>
      <c r="G187" s="702"/>
    </row>
    <row r="188" spans="1:7" s="701" customFormat="1" ht="14.25">
      <c r="A188" s="270"/>
      <c r="B188" s="721"/>
      <c r="C188" s="581"/>
      <c r="D188" s="962"/>
      <c r="E188" s="962"/>
      <c r="F188" s="962"/>
      <c r="G188" s="702"/>
    </row>
    <row r="189" spans="1:7" s="701" customFormat="1" ht="14.25">
      <c r="A189" s="270"/>
      <c r="B189" s="721"/>
      <c r="C189" s="581"/>
      <c r="D189" s="962"/>
      <c r="E189" s="962"/>
      <c r="F189" s="962"/>
      <c r="G189" s="702"/>
    </row>
    <row r="190" spans="1:7" s="706" customFormat="1">
      <c r="A190" s="274"/>
      <c r="B190" s="274"/>
      <c r="C190" s="274"/>
      <c r="D190" s="720"/>
      <c r="E190" s="720"/>
      <c r="F190" s="720"/>
      <c r="G190" s="7"/>
    </row>
    <row r="191" spans="1:7">
      <c r="A191" s="982" t="s">
        <v>1204</v>
      </c>
      <c r="B191" s="982"/>
      <c r="C191" s="982"/>
      <c r="D191" s="982"/>
      <c r="E191" s="982"/>
      <c r="F191" s="982"/>
      <c r="G191" s="982"/>
    </row>
    <row r="192" spans="1:7" ht="12" customHeight="1">
      <c r="D192" s="138"/>
      <c r="E192" s="138"/>
      <c r="F192" s="138"/>
    </row>
    <row r="193" spans="1:6">
      <c r="C193" s="271"/>
      <c r="D193" s="1008" t="s">
        <v>222</v>
      </c>
      <c r="E193" s="1008"/>
      <c r="F193" s="1008"/>
    </row>
    <row r="194" spans="1:6">
      <c r="A194" s="264"/>
      <c r="B194" s="697"/>
      <c r="C194" s="264"/>
      <c r="D194" s="977" t="s">
        <v>1333</v>
      </c>
      <c r="E194" s="987"/>
      <c r="F194" s="987"/>
    </row>
    <row r="195" spans="1:6" ht="12" customHeight="1">
      <c r="A195" s="23"/>
      <c r="B195" s="699"/>
      <c r="C195" s="23"/>
    </row>
    <row r="196" spans="1:6" ht="13.15" customHeight="1">
      <c r="A196" s="23"/>
      <c r="C196" s="23"/>
      <c r="D196" s="985" t="s">
        <v>592</v>
      </c>
      <c r="E196" s="985"/>
      <c r="F196" s="985"/>
    </row>
    <row r="197" spans="1:6" ht="14.25">
      <c r="A197" s="270"/>
      <c r="B197" s="703" t="s">
        <v>329</v>
      </c>
      <c r="D197" s="962" t="s">
        <v>1327</v>
      </c>
      <c r="E197" s="962"/>
      <c r="F197" s="962"/>
    </row>
    <row r="198" spans="1:6" ht="14.25">
      <c r="A198" s="270"/>
      <c r="B198" s="270"/>
      <c r="D198" s="962"/>
      <c r="E198" s="962"/>
      <c r="F198" s="962"/>
    </row>
    <row r="199" spans="1:6"/>
    <row r="200" spans="1:6" ht="14.25">
      <c r="A200" s="270"/>
      <c r="B200" s="703" t="s">
        <v>329</v>
      </c>
      <c r="D200" s="962" t="s">
        <v>1328</v>
      </c>
      <c r="E200" s="962"/>
      <c r="F200" s="962"/>
    </row>
    <row r="201" spans="1:6" ht="14.25">
      <c r="A201" s="270"/>
      <c r="B201" s="270"/>
      <c r="D201" s="962"/>
      <c r="E201" s="962"/>
      <c r="F201" s="962"/>
    </row>
    <row r="202" spans="1:6" ht="14.25">
      <c r="A202" s="270"/>
      <c r="B202" s="270"/>
      <c r="D202" s="962"/>
      <c r="E202" s="962"/>
      <c r="F202" s="962"/>
    </row>
    <row r="203" spans="1:6" ht="5.0999999999999996" customHeight="1">
      <c r="A203" s="270"/>
      <c r="B203" s="270"/>
      <c r="D203" s="154"/>
      <c r="E203" s="138"/>
      <c r="F203" s="138"/>
    </row>
    <row r="204" spans="1:6" ht="14.25">
      <c r="A204" s="270"/>
      <c r="B204" s="270"/>
      <c r="D204" s="962" t="s">
        <v>1329</v>
      </c>
      <c r="E204" s="962"/>
      <c r="F204" s="962"/>
    </row>
    <row r="205" spans="1:6" ht="14.25">
      <c r="A205" s="270"/>
      <c r="B205" s="270"/>
      <c r="D205" s="962"/>
      <c r="E205" s="962"/>
      <c r="F205" s="962"/>
    </row>
    <row r="206" spans="1:6" ht="14.25">
      <c r="A206" s="270"/>
      <c r="B206" s="270"/>
      <c r="D206" s="962"/>
      <c r="E206" s="962"/>
      <c r="F206" s="962"/>
    </row>
    <row r="207" spans="1:6" ht="14.25">
      <c r="A207" s="270"/>
      <c r="B207" s="270"/>
      <c r="D207" s="962"/>
      <c r="E207" s="962"/>
      <c r="F207" s="962"/>
    </row>
    <row r="208" spans="1:6" ht="14.25">
      <c r="A208" s="270"/>
      <c r="B208" s="270"/>
      <c r="D208" s="962"/>
      <c r="E208" s="962"/>
      <c r="F208" s="962"/>
    </row>
    <row r="209" spans="1:7" ht="14.25">
      <c r="A209" s="270"/>
      <c r="B209" s="270"/>
      <c r="D209" s="138"/>
      <c r="E209" s="138"/>
      <c r="F209" s="138"/>
    </row>
    <row r="210" spans="1:7" ht="14.25">
      <c r="A210" s="270"/>
      <c r="B210" s="703" t="s">
        <v>329</v>
      </c>
      <c r="D210" s="976" t="s">
        <v>1330</v>
      </c>
      <c r="E210" s="976"/>
      <c r="F210" s="976"/>
    </row>
    <row r="211" spans="1:7" ht="14.25">
      <c r="A211" s="270"/>
      <c r="B211" s="270"/>
      <c r="D211" s="976"/>
      <c r="E211" s="976"/>
      <c r="F211" s="976"/>
    </row>
    <row r="212" spans="1:7" ht="14.25">
      <c r="A212" s="270"/>
      <c r="B212" s="270"/>
      <c r="D212" s="1010" t="s">
        <v>992</v>
      </c>
      <c r="E212" s="1010"/>
      <c r="F212" s="1010"/>
    </row>
    <row r="213" spans="1:7" ht="14.25">
      <c r="A213" s="270"/>
      <c r="B213" s="270"/>
      <c r="D213" s="138"/>
      <c r="E213" s="138"/>
      <c r="F213" s="138"/>
    </row>
    <row r="214" spans="1:7" ht="14.45" customHeight="1">
      <c r="A214" s="270"/>
      <c r="B214" s="703" t="s">
        <v>329</v>
      </c>
      <c r="D214" s="976" t="s">
        <v>1332</v>
      </c>
      <c r="E214" s="976"/>
      <c r="F214" s="976"/>
    </row>
    <row r="215" spans="1:7" ht="14.25">
      <c r="A215" s="270"/>
      <c r="B215" s="270"/>
      <c r="D215" s="976"/>
      <c r="E215" s="976"/>
      <c r="F215" s="976"/>
    </row>
    <row r="216" spans="1:7" ht="14.25">
      <c r="A216" s="270"/>
      <c r="B216" s="270"/>
      <c r="D216" s="976"/>
      <c r="E216" s="976"/>
      <c r="F216" s="976"/>
    </row>
    <row r="217" spans="1:7" ht="14.25">
      <c r="A217" s="270"/>
      <c r="B217" s="270"/>
      <c r="D217" s="976"/>
      <c r="E217" s="976"/>
      <c r="F217" s="976"/>
    </row>
    <row r="218" spans="1:7" ht="14.25">
      <c r="A218" s="270"/>
      <c r="B218" s="270"/>
      <c r="D218" s="976"/>
      <c r="E218" s="976"/>
      <c r="F218" s="976"/>
    </row>
    <row r="219" spans="1:7">
      <c r="D219" s="138"/>
      <c r="E219" s="138"/>
      <c r="F219" s="138"/>
    </row>
    <row r="220" spans="1:7" ht="14.25">
      <c r="A220" s="270"/>
      <c r="B220" s="703" t="s">
        <v>329</v>
      </c>
      <c r="D220" s="962" t="s">
        <v>1331</v>
      </c>
      <c r="E220" s="962"/>
      <c r="F220" s="962"/>
    </row>
    <row r="221" spans="1:7" ht="14.25">
      <c r="A221" s="270"/>
      <c r="B221" s="270"/>
      <c r="D221" s="962"/>
      <c r="E221" s="962"/>
      <c r="F221" s="962"/>
    </row>
    <row r="222" spans="1:7">
      <c r="D222" s="29"/>
    </row>
    <row r="223" spans="1:7">
      <c r="A223" s="982" t="s">
        <v>1205</v>
      </c>
      <c r="B223" s="982"/>
      <c r="C223" s="982"/>
      <c r="D223" s="982"/>
      <c r="E223" s="982"/>
      <c r="F223" s="982"/>
      <c r="G223" s="982"/>
    </row>
    <row r="224" spans="1:7">
      <c r="D224" s="29"/>
    </row>
    <row r="225" spans="1:6">
      <c r="C225" s="271"/>
      <c r="D225" s="985" t="s">
        <v>1334</v>
      </c>
      <c r="E225" s="985"/>
      <c r="F225" s="985"/>
    </row>
    <row r="226" spans="1:6">
      <c r="A226" s="264"/>
      <c r="B226" s="697"/>
      <c r="C226" s="264"/>
      <c r="D226" s="138"/>
      <c r="E226" s="138"/>
      <c r="F226" s="138"/>
    </row>
    <row r="227" spans="1:6">
      <c r="A227" s="269"/>
      <c r="B227" s="269"/>
      <c r="C227" s="269"/>
      <c r="D227" s="985" t="s">
        <v>285</v>
      </c>
      <c r="E227" s="985"/>
      <c r="F227" s="985"/>
    </row>
    <row r="228" spans="1:6" ht="14.25">
      <c r="A228" s="270"/>
      <c r="B228" s="703" t="s">
        <v>329</v>
      </c>
      <c r="D228" s="986" t="s">
        <v>1335</v>
      </c>
      <c r="E228" s="986"/>
      <c r="F228" s="986"/>
    </row>
    <row r="229" spans="1:6" ht="14.25">
      <c r="A229" s="270"/>
      <c r="B229" s="270"/>
      <c r="D229" s="986"/>
      <c r="E229" s="986"/>
      <c r="F229" s="986"/>
    </row>
    <row r="230" spans="1:6">
      <c r="D230" s="138"/>
      <c r="E230" s="138"/>
      <c r="F230" s="138"/>
    </row>
    <row r="231" spans="1:6" ht="14.45" customHeight="1">
      <c r="A231" s="270"/>
      <c r="B231" s="703" t="s">
        <v>329</v>
      </c>
      <c r="D231" s="976" t="s">
        <v>1336</v>
      </c>
      <c r="E231" s="976"/>
      <c r="F231" s="976"/>
    </row>
    <row r="232" spans="1:6">
      <c r="D232" s="976"/>
      <c r="E232" s="976"/>
      <c r="F232" s="976"/>
    </row>
    <row r="233" spans="1:6">
      <c r="D233" s="987" t="s">
        <v>983</v>
      </c>
      <c r="E233" s="987"/>
      <c r="F233" s="987"/>
    </row>
    <row r="234" spans="1:6">
      <c r="D234" s="138"/>
      <c r="E234" s="138"/>
      <c r="F234" s="138"/>
    </row>
    <row r="235" spans="1:6" ht="14.45" customHeight="1">
      <c r="A235" s="270"/>
      <c r="B235" s="703" t="s">
        <v>329</v>
      </c>
      <c r="D235" s="976" t="s">
        <v>1338</v>
      </c>
      <c r="E235" s="976"/>
      <c r="F235" s="976"/>
    </row>
    <row r="236" spans="1:6">
      <c r="D236" s="976"/>
      <c r="E236" s="976"/>
      <c r="F236" s="976"/>
    </row>
    <row r="237" spans="1:6">
      <c r="D237" s="976"/>
      <c r="E237" s="976"/>
      <c r="F237" s="976"/>
    </row>
    <row r="238" spans="1:6">
      <c r="D238" s="976"/>
      <c r="E238" s="976"/>
      <c r="F238" s="976"/>
    </row>
    <row r="239" spans="1:6">
      <c r="D239" s="976"/>
      <c r="E239" s="976"/>
      <c r="F239" s="976"/>
    </row>
    <row r="240" spans="1:6">
      <c r="D240" s="138"/>
      <c r="E240" s="138"/>
      <c r="F240" s="138"/>
    </row>
    <row r="241" spans="1:7" ht="14.25">
      <c r="A241" s="270"/>
      <c r="B241" s="703" t="s">
        <v>329</v>
      </c>
      <c r="D241" s="962" t="s">
        <v>1337</v>
      </c>
      <c r="E241" s="962"/>
      <c r="F241" s="962"/>
    </row>
    <row r="242" spans="1:7">
      <c r="D242" s="962"/>
      <c r="E242" s="962"/>
      <c r="F242" s="962"/>
    </row>
    <row r="243" spans="1:7">
      <c r="D243" s="962"/>
      <c r="E243" s="962"/>
      <c r="F243" s="962"/>
    </row>
    <row r="244" spans="1:7">
      <c r="D244" s="272"/>
      <c r="E244" s="138"/>
      <c r="F244" s="138"/>
    </row>
    <row r="245" spans="1:7">
      <c r="A245" s="982" t="s">
        <v>1206</v>
      </c>
      <c r="B245" s="982"/>
      <c r="C245" s="982"/>
      <c r="D245" s="982"/>
      <c r="E245" s="982"/>
      <c r="F245" s="982"/>
      <c r="G245" s="982"/>
    </row>
    <row r="246" spans="1:7">
      <c r="D246" s="272"/>
      <c r="E246" s="138"/>
      <c r="F246" s="138"/>
    </row>
    <row r="247" spans="1:7">
      <c r="C247" s="264"/>
      <c r="D247" s="1011" t="s">
        <v>1339</v>
      </c>
      <c r="E247" s="1011"/>
      <c r="F247" s="1011"/>
    </row>
    <row r="248" spans="1:7">
      <c r="C248" s="264"/>
      <c r="D248" s="1011"/>
      <c r="E248" s="1011"/>
      <c r="F248" s="1011"/>
    </row>
    <row r="249" spans="1:7">
      <c r="A249" s="269"/>
      <c r="B249" s="269"/>
      <c r="C249" s="269"/>
      <c r="D249" s="5"/>
      <c r="E249" s="6"/>
      <c r="F249" s="6"/>
    </row>
    <row r="250" spans="1:7">
      <c r="C250" s="269"/>
      <c r="D250" s="985" t="s">
        <v>223</v>
      </c>
      <c r="E250" s="985"/>
      <c r="F250" s="985"/>
    </row>
    <row r="251" spans="1:7" ht="15.75" customHeight="1">
      <c r="A251" s="270"/>
      <c r="B251" s="270"/>
      <c r="D251" s="993" t="s">
        <v>1340</v>
      </c>
      <c r="E251" s="993"/>
      <c r="F251" s="993"/>
    </row>
    <row r="252" spans="1:7">
      <c r="E252" s="138"/>
      <c r="F252" s="138"/>
    </row>
    <row r="253" spans="1:7" ht="14.25">
      <c r="A253" s="270"/>
      <c r="B253" s="703" t="s">
        <v>329</v>
      </c>
      <c r="D253" s="962" t="s">
        <v>1341</v>
      </c>
      <c r="E253" s="962"/>
      <c r="F253" s="962"/>
    </row>
    <row r="254" spans="1:7" ht="14.25">
      <c r="A254" s="270"/>
      <c r="B254" s="270"/>
      <c r="D254" s="962"/>
      <c r="E254" s="962"/>
      <c r="F254" s="962"/>
    </row>
    <row r="255" spans="1:7">
      <c r="D255" s="138"/>
      <c r="E255" s="138"/>
      <c r="F255" s="138"/>
    </row>
    <row r="256" spans="1:7" ht="14.25">
      <c r="A256" s="270"/>
      <c r="B256" s="703" t="s">
        <v>329</v>
      </c>
      <c r="D256" s="976" t="s">
        <v>1342</v>
      </c>
      <c r="E256" s="976"/>
      <c r="F256" s="976"/>
    </row>
    <row r="257" spans="1:7" ht="14.25">
      <c r="A257" s="270"/>
      <c r="B257" s="270"/>
      <c r="D257" s="976"/>
      <c r="E257" s="976"/>
      <c r="F257" s="976"/>
    </row>
    <row r="258" spans="1:7" ht="14.25">
      <c r="A258" s="270"/>
      <c r="B258" s="270"/>
      <c r="D258" s="976"/>
      <c r="E258" s="976"/>
      <c r="F258" s="976"/>
    </row>
    <row r="259" spans="1:7">
      <c r="D259" s="138"/>
      <c r="E259" s="138"/>
      <c r="F259" s="138"/>
    </row>
    <row r="260" spans="1:7" ht="14.25">
      <c r="A260" s="270"/>
      <c r="B260" s="703" t="s">
        <v>329</v>
      </c>
      <c r="D260" s="962" t="s">
        <v>1343</v>
      </c>
      <c r="E260" s="962"/>
      <c r="F260" s="962"/>
    </row>
    <row r="261" spans="1:7" ht="14.25">
      <c r="A261" s="270"/>
      <c r="B261" s="270"/>
      <c r="D261" s="962"/>
      <c r="E261" s="962"/>
      <c r="F261" s="962"/>
    </row>
    <row r="262" spans="1:7">
      <c r="A262" s="23"/>
      <c r="B262" s="699"/>
      <c r="E262" s="138"/>
      <c r="F262" s="138"/>
    </row>
    <row r="263" spans="1:7">
      <c r="A263" s="982" t="s">
        <v>1207</v>
      </c>
      <c r="B263" s="982"/>
      <c r="C263" s="982"/>
      <c r="D263" s="982"/>
      <c r="E263" s="982"/>
      <c r="F263" s="982"/>
      <c r="G263" s="982"/>
    </row>
    <row r="264" spans="1:7">
      <c r="A264" s="23"/>
      <c r="B264" s="699"/>
      <c r="D264" s="138"/>
      <c r="E264" s="138"/>
      <c r="F264" s="138"/>
    </row>
    <row r="265" spans="1:7">
      <c r="C265" s="23"/>
      <c r="D265" s="985" t="s">
        <v>735</v>
      </c>
      <c r="E265" s="985"/>
      <c r="F265" s="985"/>
    </row>
    <row r="266" spans="1:7">
      <c r="C266" s="23"/>
      <c r="D266" s="975" t="s">
        <v>1344</v>
      </c>
      <c r="E266" s="975"/>
      <c r="F266" s="975"/>
    </row>
    <row r="267" spans="1:7">
      <c r="C267" s="23"/>
      <c r="D267" s="268"/>
    </row>
    <row r="268" spans="1:7">
      <c r="A268" s="282"/>
      <c r="B268" s="703" t="s">
        <v>329</v>
      </c>
      <c r="D268" s="975" t="s">
        <v>1345</v>
      </c>
      <c r="E268" s="975"/>
      <c r="F268" s="975"/>
    </row>
    <row r="269" spans="1:7" s="39" customFormat="1" ht="14.25">
      <c r="A269" s="420"/>
      <c r="B269" s="420"/>
      <c r="C269" s="282"/>
      <c r="D269" s="514"/>
      <c r="E269" s="515"/>
      <c r="F269" s="515"/>
      <c r="G269" s="133"/>
    </row>
    <row r="270" spans="1:7" s="39" customFormat="1" ht="13.15" customHeight="1">
      <c r="A270" s="282"/>
      <c r="B270" s="703" t="s">
        <v>329</v>
      </c>
      <c r="C270" s="282"/>
      <c r="D270" s="988" t="s">
        <v>1346</v>
      </c>
      <c r="E270" s="988"/>
      <c r="F270" s="988"/>
      <c r="G270" s="133"/>
    </row>
    <row r="271" spans="1:7" s="39" customFormat="1" ht="14.25">
      <c r="A271" s="420"/>
      <c r="B271" s="420"/>
      <c r="C271" s="282"/>
      <c r="D271" s="988"/>
      <c r="E271" s="988"/>
      <c r="F271" s="988"/>
      <c r="G271" s="133"/>
    </row>
    <row r="272" spans="1:7" s="39" customFormat="1" ht="14.25">
      <c r="A272" s="420"/>
      <c r="B272" s="420"/>
      <c r="C272" s="282"/>
      <c r="D272" s="988"/>
      <c r="E272" s="988"/>
      <c r="F272" s="988"/>
      <c r="G272" s="133"/>
    </row>
    <row r="273" spans="1:7" s="39" customFormat="1" ht="14.25">
      <c r="A273" s="420"/>
      <c r="B273" s="420"/>
      <c r="C273" s="282"/>
      <c r="D273" s="988"/>
      <c r="E273" s="988"/>
      <c r="F273" s="988"/>
      <c r="G273" s="133"/>
    </row>
    <row r="274" spans="1:7" s="39" customFormat="1" ht="14.25">
      <c r="A274" s="420"/>
      <c r="B274" s="420"/>
      <c r="C274" s="282"/>
      <c r="D274" s="988"/>
      <c r="E274" s="988"/>
      <c r="F274" s="988"/>
      <c r="G274" s="133"/>
    </row>
    <row r="275" spans="1:7" s="39" customFormat="1" ht="14.25">
      <c r="A275" s="420"/>
      <c r="B275" s="420"/>
      <c r="C275" s="282"/>
      <c r="D275" s="514"/>
      <c r="E275" s="515"/>
      <c r="F275" s="515"/>
      <c r="G275" s="133"/>
    </row>
    <row r="276" spans="1:7" s="39" customFormat="1" ht="13.15" customHeight="1">
      <c r="A276" s="282"/>
      <c r="B276" s="703" t="s">
        <v>329</v>
      </c>
      <c r="C276" s="282"/>
      <c r="D276" s="988" t="s">
        <v>1347</v>
      </c>
      <c r="E276" s="988"/>
      <c r="F276" s="988"/>
      <c r="G276" s="133"/>
    </row>
    <row r="277" spans="1:7" s="39" customFormat="1">
      <c r="A277" s="282"/>
      <c r="B277" s="282"/>
      <c r="C277" s="282"/>
      <c r="D277" s="988"/>
      <c r="E277" s="988"/>
      <c r="F277" s="988"/>
      <c r="G277" s="133"/>
    </row>
    <row r="278" spans="1:7" s="39" customFormat="1" ht="14.25">
      <c r="A278" s="420"/>
      <c r="B278" s="420"/>
      <c r="C278" s="282"/>
      <c r="D278" s="514"/>
      <c r="E278" s="515"/>
      <c r="F278" s="515"/>
      <c r="G278" s="133"/>
    </row>
    <row r="279" spans="1:7">
      <c r="A279" s="282"/>
      <c r="B279" s="703" t="s">
        <v>329</v>
      </c>
      <c r="D279" s="975" t="s">
        <v>1348</v>
      </c>
      <c r="E279" s="975"/>
      <c r="F279" s="975"/>
    </row>
    <row r="280" spans="1:7">
      <c r="E280" s="138"/>
      <c r="F280" s="138"/>
    </row>
    <row r="281" spans="1:7" ht="14.25">
      <c r="A281" s="270"/>
      <c r="B281" s="703" t="s">
        <v>329</v>
      </c>
      <c r="D281" s="976" t="s">
        <v>1349</v>
      </c>
      <c r="E281" s="976"/>
      <c r="F281" s="976"/>
    </row>
    <row r="282" spans="1:7" ht="14.25">
      <c r="A282" s="270"/>
      <c r="B282" s="270"/>
      <c r="D282" s="976"/>
      <c r="E282" s="976"/>
      <c r="F282" s="976"/>
    </row>
    <row r="283" spans="1:7" s="743" customFormat="1" ht="14.25">
      <c r="A283" s="738"/>
      <c r="B283" s="738"/>
      <c r="C283" s="755"/>
      <c r="D283" s="976"/>
      <c r="E283" s="976"/>
      <c r="F283" s="976"/>
      <c r="G283" s="7"/>
    </row>
    <row r="284" spans="1:7" s="743" customFormat="1" ht="14.25">
      <c r="A284" s="738"/>
      <c r="B284" s="738"/>
      <c r="C284" s="755"/>
      <c r="D284" s="976"/>
      <c r="E284" s="976"/>
      <c r="F284" s="976"/>
      <c r="G284" s="7"/>
    </row>
    <row r="285" spans="1:7" s="743" customFormat="1" ht="14.25">
      <c r="A285" s="738"/>
      <c r="B285" s="738"/>
      <c r="C285" s="755"/>
      <c r="D285" s="976"/>
      <c r="E285" s="976"/>
      <c r="F285" s="976"/>
      <c r="G285" s="7"/>
    </row>
    <row r="286" spans="1:7" s="743" customFormat="1" ht="14.25">
      <c r="A286" s="738"/>
      <c r="B286" s="738"/>
      <c r="C286" s="755"/>
      <c r="D286" s="976"/>
      <c r="E286" s="976"/>
      <c r="F286" s="976"/>
      <c r="G286" s="7"/>
    </row>
    <row r="287" spans="1:7" s="743" customFormat="1" ht="14.25">
      <c r="A287" s="738"/>
      <c r="B287" s="738"/>
      <c r="C287" s="755"/>
      <c r="D287" s="976"/>
      <c r="E287" s="976"/>
      <c r="F287" s="976"/>
      <c r="G287" s="7"/>
    </row>
    <row r="288" spans="1:7" s="743" customFormat="1" ht="14.25">
      <c r="A288" s="738"/>
      <c r="B288" s="738"/>
      <c r="C288" s="755"/>
      <c r="D288" s="976"/>
      <c r="E288" s="976"/>
      <c r="F288" s="976"/>
      <c r="G288" s="7"/>
    </row>
    <row r="289" spans="1:7" s="743" customFormat="1" ht="14.25">
      <c r="A289" s="738"/>
      <c r="B289" s="738"/>
      <c r="C289" s="755"/>
      <c r="D289" s="976"/>
      <c r="E289" s="976"/>
      <c r="F289" s="976"/>
      <c r="G289" s="7"/>
    </row>
    <row r="290" spans="1:7" s="743" customFormat="1" ht="14.25">
      <c r="A290" s="738"/>
      <c r="B290" s="738"/>
      <c r="C290" s="755"/>
      <c r="D290" s="976"/>
      <c r="E290" s="976"/>
      <c r="F290" s="976"/>
      <c r="G290" s="7"/>
    </row>
    <row r="291" spans="1:7" s="743" customFormat="1" ht="14.25">
      <c r="A291" s="738"/>
      <c r="B291" s="738"/>
      <c r="C291" s="755"/>
      <c r="D291" s="976"/>
      <c r="E291" s="976"/>
      <c r="F291" s="976"/>
      <c r="G291" s="7"/>
    </row>
    <row r="292" spans="1:7" s="743" customFormat="1" ht="14.25">
      <c r="A292" s="738"/>
      <c r="B292" s="738"/>
      <c r="C292" s="755"/>
      <c r="D292" s="976"/>
      <c r="E292" s="976"/>
      <c r="F292" s="976"/>
      <c r="G292" s="7"/>
    </row>
    <row r="293" spans="1:7" ht="14.25">
      <c r="A293" s="270"/>
      <c r="B293" s="270"/>
      <c r="D293" s="976"/>
      <c r="E293" s="976"/>
      <c r="F293" s="976"/>
    </row>
    <row r="294" spans="1:7" ht="14.25">
      <c r="A294" s="270"/>
      <c r="B294" s="270"/>
      <c r="D294" s="976"/>
      <c r="E294" s="976"/>
      <c r="F294" s="976"/>
    </row>
    <row r="295" spans="1:7" ht="14.25">
      <c r="A295" s="270"/>
      <c r="B295" s="270"/>
      <c r="D295" s="976"/>
      <c r="E295" s="976"/>
      <c r="F295" s="976"/>
    </row>
    <row r="296" spans="1:7">
      <c r="D296" s="138"/>
      <c r="E296" s="138"/>
      <c r="F296" s="138"/>
    </row>
    <row r="297" spans="1:7" ht="14.25">
      <c r="A297" s="270"/>
      <c r="B297" s="703" t="s">
        <v>329</v>
      </c>
      <c r="D297" s="976" t="s">
        <v>1350</v>
      </c>
      <c r="E297" s="976"/>
      <c r="F297" s="976"/>
    </row>
    <row r="298" spans="1:7">
      <c r="D298" s="976"/>
      <c r="E298" s="976"/>
      <c r="F298" s="976"/>
    </row>
    <row r="299" spans="1:7">
      <c r="D299" s="976"/>
      <c r="E299" s="976"/>
      <c r="F299" s="976"/>
    </row>
    <row r="300" spans="1:7">
      <c r="D300" s="976"/>
      <c r="E300" s="976"/>
      <c r="F300" s="976"/>
    </row>
    <row r="301" spans="1:7">
      <c r="D301" s="976"/>
      <c r="E301" s="976"/>
      <c r="F301" s="976"/>
    </row>
    <row r="302" spans="1:7">
      <c r="D302" s="976"/>
      <c r="E302" s="976"/>
      <c r="F302" s="976"/>
    </row>
    <row r="303" spans="1:7">
      <c r="D303" s="976"/>
      <c r="E303" s="976"/>
      <c r="F303" s="976"/>
    </row>
    <row r="304" spans="1:7">
      <c r="D304" s="976"/>
      <c r="E304" s="976"/>
      <c r="F304" s="976"/>
    </row>
    <row r="305" spans="1:7">
      <c r="D305" s="976"/>
      <c r="E305" s="976"/>
      <c r="F305" s="976"/>
    </row>
    <row r="306" spans="1:7">
      <c r="D306" s="138"/>
      <c r="E306" s="138"/>
      <c r="F306" s="138"/>
    </row>
    <row r="307" spans="1:7" ht="14.25">
      <c r="A307" s="270"/>
      <c r="B307" s="703" t="s">
        <v>329</v>
      </c>
      <c r="D307" s="962" t="s">
        <v>1351</v>
      </c>
      <c r="E307" s="962"/>
      <c r="F307" s="962"/>
    </row>
    <row r="308" spans="1:7">
      <c r="D308" s="962"/>
      <c r="E308" s="962"/>
      <c r="F308" s="962"/>
      <c r="G308" s="12"/>
    </row>
    <row r="309" spans="1:7">
      <c r="D309" s="962"/>
      <c r="E309" s="962"/>
      <c r="F309" s="962"/>
      <c r="G309" s="12"/>
    </row>
    <row r="310" spans="1:7">
      <c r="D310" s="962"/>
      <c r="E310" s="962"/>
      <c r="F310" s="962"/>
      <c r="G310" s="12"/>
    </row>
    <row r="311" spans="1:7">
      <c r="D311" s="962"/>
      <c r="E311" s="962"/>
      <c r="F311" s="962"/>
      <c r="G311" s="12"/>
    </row>
    <row r="312" spans="1:7">
      <c r="D312" s="962"/>
      <c r="E312" s="962"/>
      <c r="F312" s="962"/>
      <c r="G312" s="12"/>
    </row>
    <row r="313" spans="1:7" s="743" customFormat="1">
      <c r="A313" s="755"/>
      <c r="B313" s="755"/>
      <c r="C313" s="755"/>
      <c r="D313" s="752"/>
      <c r="E313" s="752"/>
      <c r="F313" s="752"/>
    </row>
    <row r="314" spans="1:7" ht="13.5" thickBot="1">
      <c r="D314" s="994" t="s">
        <v>1093</v>
      </c>
      <c r="E314" s="994"/>
      <c r="F314" s="994"/>
      <c r="G314" s="12"/>
    </row>
    <row r="315" spans="1:7" s="743" customFormat="1" ht="13.5" thickTop="1">
      <c r="A315" s="755"/>
      <c r="B315" s="755"/>
      <c r="C315" s="755"/>
      <c r="D315" s="995" t="s">
        <v>1352</v>
      </c>
      <c r="E315" s="995"/>
      <c r="F315" s="995"/>
    </row>
    <row r="316" spans="1:7">
      <c r="A316" s="335"/>
      <c r="B316" s="335"/>
      <c r="C316" s="335"/>
      <c r="D316" s="484"/>
      <c r="E316" s="484"/>
      <c r="F316" s="138"/>
      <c r="G316" s="12"/>
    </row>
    <row r="317" spans="1:7" ht="14.25">
      <c r="A317" s="270"/>
      <c r="B317" s="703" t="s">
        <v>329</v>
      </c>
      <c r="C317" s="335"/>
      <c r="D317" s="996" t="s">
        <v>1353</v>
      </c>
      <c r="E317" s="996"/>
      <c r="F317" s="996"/>
      <c r="G317" s="12"/>
    </row>
    <row r="318" spans="1:7">
      <c r="A318" s="335"/>
      <c r="B318" s="335"/>
      <c r="C318" s="335"/>
      <c r="D318" s="484"/>
      <c r="E318" s="484"/>
      <c r="F318" s="138"/>
      <c r="G318" s="12"/>
    </row>
    <row r="319" spans="1:7">
      <c r="A319" s="335"/>
      <c r="B319" s="703" t="s">
        <v>329</v>
      </c>
      <c r="C319" s="335"/>
      <c r="D319" s="991" t="s">
        <v>1354</v>
      </c>
      <c r="E319" s="991"/>
      <c r="F319" s="991"/>
      <c r="G319" s="12"/>
    </row>
    <row r="320" spans="1:7">
      <c r="A320" s="335"/>
      <c r="B320" s="335"/>
      <c r="C320" s="335"/>
      <c r="D320" s="991"/>
      <c r="E320" s="991"/>
      <c r="F320" s="991"/>
      <c r="G320" s="12"/>
    </row>
    <row r="321" spans="1:7">
      <c r="A321" s="335"/>
      <c r="B321" s="335"/>
      <c r="C321" s="335"/>
      <c r="D321" s="991"/>
      <c r="E321" s="991"/>
      <c r="F321" s="991"/>
      <c r="G321" s="12"/>
    </row>
    <row r="322" spans="1:7">
      <c r="A322" s="335"/>
      <c r="B322" s="335"/>
      <c r="C322" s="335"/>
      <c r="D322" s="991"/>
      <c r="E322" s="991"/>
      <c r="F322" s="991"/>
      <c r="G322" s="12"/>
    </row>
    <row r="323" spans="1:7" s="743" customFormat="1">
      <c r="A323" s="335"/>
      <c r="B323" s="335"/>
      <c r="C323" s="335"/>
      <c r="D323" s="991"/>
      <c r="E323" s="991"/>
      <c r="F323" s="991"/>
    </row>
    <row r="324" spans="1:7" s="743" customFormat="1">
      <c r="A324" s="335"/>
      <c r="B324" s="335"/>
      <c r="C324" s="335"/>
      <c r="D324" s="991"/>
      <c r="E324" s="991"/>
      <c r="F324" s="991"/>
    </row>
    <row r="325" spans="1:7" s="743" customFormat="1">
      <c r="A325" s="335"/>
      <c r="B325" s="335"/>
      <c r="C325" s="335"/>
      <c r="D325" s="991"/>
      <c r="E325" s="991"/>
      <c r="F325" s="991"/>
    </row>
    <row r="326" spans="1:7" s="743" customFormat="1">
      <c r="A326" s="335"/>
      <c r="B326" s="335"/>
      <c r="C326" s="335"/>
      <c r="D326" s="991"/>
      <c r="E326" s="991"/>
      <c r="F326" s="991"/>
    </row>
    <row r="327" spans="1:7">
      <c r="A327" s="335"/>
      <c r="B327" s="335"/>
      <c r="C327" s="335"/>
      <c r="D327" s="991"/>
      <c r="E327" s="991"/>
      <c r="F327" s="991"/>
      <c r="G327" s="12"/>
    </row>
    <row r="328" spans="1:7">
      <c r="A328" s="335"/>
      <c r="B328" s="335"/>
      <c r="C328" s="335"/>
      <c r="D328" s="991"/>
      <c r="E328" s="991"/>
      <c r="F328" s="991"/>
      <c r="G328" s="12"/>
    </row>
    <row r="329" spans="1:7">
      <c r="A329" s="335"/>
      <c r="B329" s="335"/>
      <c r="C329" s="335"/>
      <c r="D329" s="991"/>
      <c r="E329" s="991"/>
      <c r="F329" s="991"/>
      <c r="G329" s="12"/>
    </row>
    <row r="330" spans="1:7">
      <c r="A330" s="335"/>
      <c r="B330" s="335"/>
      <c r="C330" s="335"/>
      <c r="D330" s="12"/>
      <c r="E330" s="484"/>
      <c r="F330" s="138"/>
      <c r="G330" s="12"/>
    </row>
    <row r="331" spans="1:7" ht="14.25">
      <c r="A331" s="270"/>
      <c r="B331" s="703" t="s">
        <v>329</v>
      </c>
      <c r="C331" s="335"/>
      <c r="D331" s="989" t="s">
        <v>1355</v>
      </c>
      <c r="E331" s="989"/>
      <c r="F331" s="989"/>
      <c r="G331" s="12"/>
    </row>
    <row r="332" spans="1:7">
      <c r="A332" s="335"/>
      <c r="B332" s="335"/>
      <c r="C332" s="335"/>
      <c r="D332" s="989"/>
      <c r="E332" s="989"/>
      <c r="F332" s="989"/>
      <c r="G332" s="12"/>
    </row>
    <row r="333" spans="1:7">
      <c r="A333" s="335"/>
      <c r="B333" s="335"/>
      <c r="C333" s="335"/>
      <c r="D333" s="989"/>
      <c r="E333" s="989"/>
      <c r="F333" s="989"/>
      <c r="G333" s="12"/>
    </row>
    <row r="334" spans="1:7">
      <c r="A334" s="335"/>
      <c r="B334" s="335"/>
      <c r="C334" s="335"/>
      <c r="D334" s="989"/>
      <c r="E334" s="989"/>
      <c r="F334" s="989"/>
      <c r="G334" s="12"/>
    </row>
    <row r="335" spans="1:7">
      <c r="A335" s="335"/>
      <c r="B335" s="335"/>
      <c r="C335" s="335"/>
      <c r="D335" s="526"/>
      <c r="E335" s="484"/>
      <c r="F335" s="138"/>
      <c r="G335" s="12"/>
    </row>
    <row r="336" spans="1:7">
      <c r="A336" s="335"/>
      <c r="B336" s="335"/>
      <c r="C336" s="335"/>
      <c r="D336" s="989" t="s">
        <v>1356</v>
      </c>
      <c r="E336" s="989"/>
      <c r="F336" s="989"/>
      <c r="G336" s="12"/>
    </row>
    <row r="337" spans="1:7">
      <c r="A337" s="335"/>
      <c r="B337" s="335"/>
      <c r="C337" s="335"/>
      <c r="D337" s="989"/>
      <c r="E337" s="989"/>
      <c r="F337" s="989"/>
      <c r="G337" s="12"/>
    </row>
    <row r="338" spans="1:7">
      <c r="A338" s="335"/>
      <c r="B338" s="335"/>
      <c r="C338" s="335"/>
      <c r="D338" s="989"/>
      <c r="E338" s="989"/>
      <c r="F338" s="989"/>
      <c r="G338" s="12"/>
    </row>
    <row r="339" spans="1:7">
      <c r="A339" s="335"/>
      <c r="B339" s="335"/>
      <c r="C339" s="335"/>
      <c r="D339" s="989"/>
      <c r="E339" s="989"/>
      <c r="F339" s="989"/>
      <c r="G339" s="12"/>
    </row>
    <row r="340" spans="1:7" ht="18" customHeight="1">
      <c r="A340" s="335"/>
      <c r="B340" s="335"/>
      <c r="C340" s="335"/>
      <c r="D340" s="989"/>
      <c r="E340" s="989"/>
      <c r="F340" s="989"/>
      <c r="G340" s="12"/>
    </row>
    <row r="341" spans="1:7">
      <c r="A341" s="335"/>
      <c r="B341" s="335"/>
      <c r="C341" s="335"/>
      <c r="D341" s="989"/>
      <c r="E341" s="989"/>
      <c r="F341" s="989"/>
      <c r="G341" s="12"/>
    </row>
    <row r="342" spans="1:7">
      <c r="A342" s="335"/>
      <c r="B342" s="335"/>
      <c r="C342" s="335"/>
      <c r="D342" s="989"/>
      <c r="E342" s="989"/>
      <c r="F342" s="989"/>
      <c r="G342" s="12"/>
    </row>
    <row r="343" spans="1:7">
      <c r="A343" s="335"/>
      <c r="B343" s="335"/>
      <c r="C343" s="335"/>
      <c r="D343" s="989"/>
      <c r="E343" s="989"/>
      <c r="F343" s="989"/>
      <c r="G343" s="12"/>
    </row>
    <row r="344" spans="1:7" ht="8.25" customHeight="1">
      <c r="A344" s="335"/>
      <c r="B344" s="335"/>
      <c r="C344" s="335"/>
      <c r="D344" s="989"/>
      <c r="E344" s="989"/>
      <c r="F344" s="989"/>
      <c r="G344" s="12"/>
    </row>
    <row r="345" spans="1:7" ht="13.15" customHeight="1">
      <c r="A345" s="335"/>
      <c r="B345" s="335"/>
      <c r="C345" s="335"/>
      <c r="D345" s="990" t="s">
        <v>1357</v>
      </c>
      <c r="E345" s="990"/>
      <c r="F345" s="990"/>
      <c r="G345" s="12"/>
    </row>
    <row r="346" spans="1:7">
      <c r="A346" s="335"/>
      <c r="B346" s="335"/>
      <c r="C346" s="335"/>
      <c r="D346" s="990"/>
      <c r="E346" s="990"/>
      <c r="F346" s="990"/>
      <c r="G346" s="12"/>
    </row>
    <row r="347" spans="1:7">
      <c r="A347" s="335"/>
      <c r="B347" s="335"/>
      <c r="C347" s="335"/>
      <c r="D347" s="990"/>
      <c r="E347" s="990"/>
      <c r="F347" s="990"/>
      <c r="G347" s="12"/>
    </row>
    <row r="348" spans="1:7" s="743" customFormat="1">
      <c r="A348" s="335"/>
      <c r="B348" s="335"/>
      <c r="C348" s="335"/>
      <c r="D348" s="990"/>
      <c r="E348" s="990"/>
      <c r="F348" s="990"/>
    </row>
    <row r="349" spans="1:7" s="743" customFormat="1">
      <c r="A349" s="335"/>
      <c r="B349" s="335"/>
      <c r="C349" s="335"/>
      <c r="D349" s="990"/>
      <c r="E349" s="990"/>
      <c r="F349" s="990"/>
    </row>
    <row r="350" spans="1:7" s="743" customFormat="1">
      <c r="A350" s="335"/>
      <c r="B350" s="335"/>
      <c r="C350" s="335"/>
      <c r="D350" s="990"/>
      <c r="E350" s="990"/>
      <c r="F350" s="990"/>
    </row>
    <row r="351" spans="1:7" s="743" customFormat="1">
      <c r="A351" s="335"/>
      <c r="B351" s="335"/>
      <c r="C351" s="335"/>
      <c r="D351" s="990"/>
      <c r="E351" s="990"/>
      <c r="F351" s="990"/>
    </row>
    <row r="352" spans="1:7" s="743" customFormat="1">
      <c r="A352" s="335"/>
      <c r="B352" s="335"/>
      <c r="C352" s="335"/>
      <c r="D352" s="990"/>
      <c r="E352" s="990"/>
      <c r="F352" s="990"/>
    </row>
    <row r="353" spans="1:7">
      <c r="A353" s="335"/>
      <c r="B353" s="335"/>
      <c r="C353" s="335"/>
      <c r="D353" s="990"/>
      <c r="E353" s="990"/>
      <c r="F353" s="990"/>
      <c r="G353" s="12"/>
    </row>
    <row r="354" spans="1:7">
      <c r="A354" s="335"/>
      <c r="B354" s="335"/>
      <c r="C354" s="335"/>
      <c r="D354" s="990"/>
      <c r="E354" s="990"/>
      <c r="F354" s="990"/>
      <c r="G354" s="12"/>
    </row>
    <row r="355" spans="1:7">
      <c r="A355" s="335"/>
      <c r="B355" s="335"/>
      <c r="C355" s="335"/>
      <c r="D355" s="990"/>
      <c r="E355" s="990"/>
      <c r="F355" s="990"/>
      <c r="G355" s="12"/>
    </row>
    <row r="356" spans="1:7">
      <c r="A356" s="335"/>
      <c r="B356" s="335"/>
      <c r="C356" s="335"/>
      <c r="D356" s="990"/>
      <c r="E356" s="990"/>
      <c r="F356" s="990"/>
      <c r="G356" s="12"/>
    </row>
    <row r="357" spans="1:7">
      <c r="A357" s="335"/>
      <c r="B357" s="335"/>
      <c r="C357" s="528"/>
      <c r="D357" s="990"/>
      <c r="E357" s="990"/>
      <c r="F357" s="990"/>
      <c r="G357" s="12"/>
    </row>
    <row r="358" spans="1:7">
      <c r="A358" s="335"/>
      <c r="B358" s="335"/>
      <c r="C358" s="528"/>
      <c r="D358" s="990"/>
      <c r="E358" s="990"/>
      <c r="F358" s="990"/>
      <c r="G358" s="12"/>
    </row>
    <row r="359" spans="1:7">
      <c r="A359" s="335"/>
      <c r="B359" s="335"/>
      <c r="C359" s="335"/>
      <c r="D359" s="990"/>
      <c r="E359" s="990"/>
      <c r="F359" s="990"/>
      <c r="G359" s="12"/>
    </row>
    <row r="360" spans="1:7">
      <c r="A360" s="335"/>
      <c r="B360" s="335"/>
      <c r="C360" s="528"/>
      <c r="D360" s="990"/>
      <c r="E360" s="990"/>
      <c r="F360" s="990"/>
      <c r="G360" s="12"/>
    </row>
    <row r="361" spans="1:7">
      <c r="A361" s="335"/>
      <c r="B361" s="335"/>
      <c r="C361" s="528"/>
      <c r="D361" s="990"/>
      <c r="E361" s="990"/>
      <c r="F361" s="990"/>
      <c r="G361" s="12"/>
    </row>
    <row r="362" spans="1:7">
      <c r="A362" s="335"/>
      <c r="B362" s="335"/>
      <c r="C362" s="528"/>
      <c r="D362" s="990"/>
      <c r="E362" s="990"/>
      <c r="F362" s="990"/>
      <c r="G362" s="12"/>
    </row>
    <row r="363" spans="1:7">
      <c r="A363" s="335"/>
      <c r="B363" s="335"/>
      <c r="C363" s="335"/>
      <c r="D363" s="526"/>
      <c r="E363" s="484"/>
      <c r="F363" s="138"/>
      <c r="G363" s="12"/>
    </row>
    <row r="364" spans="1:7">
      <c r="A364" s="335"/>
      <c r="B364" s="703" t="s">
        <v>329</v>
      </c>
      <c r="C364" s="335"/>
      <c r="D364" s="990" t="s">
        <v>1358</v>
      </c>
      <c r="E364" s="990"/>
      <c r="F364" s="990"/>
      <c r="G364" s="12"/>
    </row>
    <row r="365" spans="1:7">
      <c r="A365" s="335"/>
      <c r="B365" s="335"/>
      <c r="C365" s="335"/>
      <c r="D365" s="990"/>
      <c r="E365" s="990"/>
      <c r="F365" s="990"/>
      <c r="G365" s="12"/>
    </row>
    <row r="366" spans="1:7">
      <c r="A366" s="335"/>
      <c r="B366" s="335"/>
      <c r="C366" s="335"/>
      <c r="D366" s="484"/>
      <c r="E366" s="484"/>
      <c r="F366" s="138"/>
      <c r="G366" s="12"/>
    </row>
    <row r="367" spans="1:7" ht="14.25">
      <c r="A367" s="270"/>
      <c r="B367" s="703" t="s">
        <v>329</v>
      </c>
      <c r="C367" s="335"/>
      <c r="D367" s="991" t="s">
        <v>1359</v>
      </c>
      <c r="E367" s="991"/>
      <c r="F367" s="991"/>
      <c r="G367" s="12"/>
    </row>
    <row r="368" spans="1:7" ht="14.25">
      <c r="A368" s="527"/>
      <c r="B368" s="527"/>
      <c r="C368" s="335"/>
      <c r="D368" s="991"/>
      <c r="E368" s="991"/>
      <c r="F368" s="991"/>
      <c r="G368" s="12"/>
    </row>
    <row r="369" spans="1:7" ht="14.25">
      <c r="A369" s="527"/>
      <c r="B369" s="527"/>
      <c r="C369" s="335"/>
      <c r="D369" s="991"/>
      <c r="E369" s="991"/>
      <c r="F369" s="991"/>
      <c r="G369" s="12"/>
    </row>
    <row r="370" spans="1:7" ht="14.25">
      <c r="A370" s="527"/>
      <c r="B370" s="527"/>
      <c r="C370" s="335"/>
      <c r="D370" s="991"/>
      <c r="E370" s="991"/>
      <c r="F370" s="991"/>
      <c r="G370" s="12"/>
    </row>
    <row r="371" spans="1:7" ht="14.25">
      <c r="A371" s="527"/>
      <c r="B371" s="527"/>
      <c r="C371" s="335"/>
      <c r="D371" s="991"/>
      <c r="E371" s="991"/>
      <c r="F371" s="991"/>
      <c r="G371" s="12"/>
    </row>
    <row r="372" spans="1:7">
      <c r="D372" s="138"/>
      <c r="E372" s="138"/>
      <c r="F372" s="138"/>
      <c r="G372" s="12"/>
    </row>
    <row r="373" spans="1:7" ht="14.25">
      <c r="A373" s="270"/>
      <c r="B373" s="703" t="s">
        <v>329</v>
      </c>
      <c r="C373" s="275"/>
      <c r="D373" s="962" t="s">
        <v>1360</v>
      </c>
      <c r="E373" s="962"/>
      <c r="F373" s="962"/>
      <c r="G373" s="12"/>
    </row>
    <row r="374" spans="1:7" ht="14.25">
      <c r="A374" s="270"/>
      <c r="B374" s="270"/>
      <c r="D374" s="962"/>
      <c r="E374" s="962"/>
      <c r="F374" s="962"/>
      <c r="G374" s="12"/>
    </row>
    <row r="375" spans="1:7">
      <c r="D375" s="962"/>
      <c r="E375" s="962"/>
      <c r="F375" s="962"/>
      <c r="G375" s="12"/>
    </row>
    <row r="376" spans="1:7">
      <c r="D376" s="962"/>
      <c r="E376" s="962"/>
      <c r="F376" s="962"/>
      <c r="G376" s="12"/>
    </row>
    <row r="377" spans="1:7">
      <c r="D377" s="962"/>
      <c r="E377" s="962"/>
      <c r="F377" s="962"/>
      <c r="G377" s="12"/>
    </row>
    <row r="378" spans="1:7">
      <c r="D378" s="962"/>
      <c r="E378" s="962"/>
      <c r="F378" s="962"/>
      <c r="G378" s="12"/>
    </row>
    <row r="379" spans="1:7">
      <c r="D379" s="962"/>
      <c r="E379" s="962"/>
      <c r="F379" s="962"/>
      <c r="G379" s="12"/>
    </row>
    <row r="380" spans="1:7">
      <c r="D380" s="962"/>
      <c r="E380" s="962"/>
      <c r="F380" s="962"/>
      <c r="G380" s="12"/>
    </row>
    <row r="381" spans="1:7">
      <c r="D381" s="962"/>
      <c r="E381" s="962"/>
      <c r="F381" s="962"/>
      <c r="G381" s="12"/>
    </row>
    <row r="382" spans="1:7">
      <c r="D382" s="962"/>
      <c r="E382" s="962"/>
      <c r="F382" s="962"/>
      <c r="G382" s="12"/>
    </row>
    <row r="383" spans="1:7">
      <c r="D383" s="962"/>
      <c r="E383" s="962"/>
      <c r="F383" s="962"/>
      <c r="G383" s="12"/>
    </row>
    <row r="384" spans="1:7">
      <c r="D384" s="962"/>
      <c r="E384" s="962"/>
      <c r="F384" s="962"/>
      <c r="G384" s="12"/>
    </row>
    <row r="385" spans="1:7">
      <c r="D385" s="962"/>
      <c r="E385" s="962"/>
      <c r="F385" s="962"/>
      <c r="G385" s="12"/>
    </row>
    <row r="386" spans="1:7">
      <c r="A386" s="12"/>
      <c r="B386" s="12"/>
      <c r="C386" s="12"/>
      <c r="D386" s="962"/>
      <c r="E386" s="962"/>
      <c r="F386" s="962"/>
      <c r="G386" s="12"/>
    </row>
    <row r="387" spans="1:7">
      <c r="A387" s="12"/>
      <c r="B387" s="12"/>
      <c r="C387" s="12"/>
      <c r="D387" s="962"/>
      <c r="E387" s="962"/>
      <c r="F387" s="962"/>
      <c r="G387" s="12"/>
    </row>
    <row r="388" spans="1:7">
      <c r="A388" s="12"/>
      <c r="B388" s="12"/>
      <c r="C388" s="12"/>
      <c r="D388" s="962"/>
      <c r="E388" s="962"/>
      <c r="F388" s="962"/>
      <c r="G388" s="12"/>
    </row>
    <row r="389" spans="1:7">
      <c r="A389" s="12"/>
      <c r="B389" s="12"/>
      <c r="C389" s="12"/>
      <c r="D389" s="962"/>
      <c r="E389" s="962"/>
      <c r="F389" s="962"/>
      <c r="G389" s="12"/>
    </row>
    <row r="390" spans="1:7">
      <c r="A390" s="12"/>
      <c r="B390" s="12"/>
      <c r="C390" s="12"/>
      <c r="D390" s="962"/>
      <c r="E390" s="962"/>
      <c r="F390" s="962"/>
      <c r="G390" s="12"/>
    </row>
    <row r="391" spans="1:7">
      <c r="A391" s="12"/>
      <c r="B391" s="12"/>
      <c r="C391" s="12"/>
      <c r="D391" s="962"/>
      <c r="E391" s="962"/>
      <c r="F391" s="962"/>
      <c r="G391" s="12"/>
    </row>
    <row r="392" spans="1:7">
      <c r="A392" s="12"/>
      <c r="B392" s="12"/>
      <c r="C392" s="12"/>
      <c r="D392" s="962"/>
      <c r="E392" s="962"/>
      <c r="F392" s="962"/>
      <c r="G392" s="12"/>
    </row>
    <row r="393" spans="1:7">
      <c r="A393" s="12"/>
      <c r="B393" s="12"/>
      <c r="C393" s="12"/>
      <c r="D393" s="962"/>
      <c r="E393" s="962"/>
      <c r="F393" s="962"/>
      <c r="G393" s="12"/>
    </row>
    <row r="394" spans="1:7">
      <c r="A394" s="12"/>
      <c r="B394" s="12"/>
      <c r="C394" s="12"/>
      <c r="D394" s="962"/>
      <c r="E394" s="962"/>
      <c r="F394" s="962"/>
      <c r="G394" s="12"/>
    </row>
    <row r="395" spans="1:7">
      <c r="A395" s="12"/>
      <c r="B395" s="12"/>
      <c r="C395" s="12"/>
      <c r="D395" s="962"/>
      <c r="E395" s="962"/>
      <c r="F395" s="962"/>
      <c r="G395" s="12"/>
    </row>
    <row r="396" spans="1:7">
      <c r="A396" s="12"/>
      <c r="B396" s="12"/>
      <c r="C396" s="12"/>
      <c r="D396" s="962"/>
      <c r="E396" s="962"/>
      <c r="F396" s="962"/>
      <c r="G396" s="12"/>
    </row>
    <row r="397" spans="1:7">
      <c r="A397" s="12"/>
      <c r="B397" s="12"/>
      <c r="C397" s="12"/>
      <c r="D397" s="962"/>
      <c r="E397" s="962"/>
      <c r="F397" s="962"/>
      <c r="G397" s="12"/>
    </row>
    <row r="398" spans="1:7">
      <c r="A398" s="12"/>
      <c r="B398" s="12"/>
      <c r="C398" s="12"/>
      <c r="D398" s="962"/>
      <c r="E398" s="962"/>
      <c r="F398" s="962"/>
      <c r="G398" s="12"/>
    </row>
    <row r="399" spans="1:7">
      <c r="A399" s="12"/>
      <c r="B399" s="12"/>
      <c r="C399" s="12"/>
      <c r="D399" s="962"/>
      <c r="E399" s="962"/>
      <c r="F399" s="962"/>
      <c r="G399" s="12"/>
    </row>
    <row r="400" spans="1:7">
      <c r="A400" s="12"/>
      <c r="B400" s="12"/>
      <c r="C400" s="12"/>
      <c r="D400" s="962"/>
      <c r="E400" s="962"/>
      <c r="F400" s="962"/>
      <c r="G400" s="12"/>
    </row>
    <row r="401" spans="1:7">
      <c r="A401" s="12"/>
      <c r="B401" s="12"/>
      <c r="C401" s="12"/>
      <c r="D401" s="962"/>
      <c r="E401" s="962"/>
      <c r="F401" s="962"/>
      <c r="G401" s="12"/>
    </row>
    <row r="402" spans="1:7" s="32" customFormat="1">
      <c r="A402" s="135"/>
      <c r="B402" s="700"/>
      <c r="C402" s="135"/>
      <c r="D402" s="962"/>
      <c r="E402" s="962"/>
      <c r="F402" s="962"/>
      <c r="G402" s="30"/>
    </row>
    <row r="403" spans="1:7" s="32" customFormat="1" ht="40.700000000000003" customHeight="1">
      <c r="A403" s="135"/>
      <c r="B403" s="700"/>
      <c r="C403" s="135"/>
      <c r="D403" s="962"/>
      <c r="E403" s="962"/>
      <c r="F403" s="962"/>
      <c r="G403" s="30"/>
    </row>
    <row r="404" spans="1:7" s="32" customFormat="1">
      <c r="A404" s="135"/>
      <c r="B404" s="700"/>
      <c r="C404" s="135"/>
      <c r="D404" s="138"/>
      <c r="E404" s="138"/>
      <c r="F404" s="138"/>
      <c r="G404" s="30"/>
    </row>
    <row r="405" spans="1:7" ht="14.25">
      <c r="A405" s="270"/>
      <c r="B405" s="703" t="s">
        <v>329</v>
      </c>
      <c r="C405" s="275"/>
      <c r="D405" s="975" t="s">
        <v>1361</v>
      </c>
      <c r="E405" s="975"/>
      <c r="F405" s="975"/>
    </row>
    <row r="406" spans="1:7">
      <c r="D406" s="992" t="s">
        <v>1118</v>
      </c>
      <c r="E406" s="992"/>
      <c r="F406" s="992"/>
    </row>
    <row r="407" spans="1:7">
      <c r="D407" s="976" t="s">
        <v>1362</v>
      </c>
      <c r="E407" s="976"/>
      <c r="F407" s="976"/>
    </row>
    <row r="408" spans="1:7">
      <c r="D408" s="976"/>
      <c r="E408" s="976"/>
      <c r="F408" s="976"/>
    </row>
    <row r="409" spans="1:7">
      <c r="D409" s="976"/>
      <c r="E409" s="976"/>
      <c r="F409" s="976"/>
    </row>
    <row r="410" spans="1:7">
      <c r="D410" s="976"/>
      <c r="E410" s="976"/>
      <c r="F410" s="976"/>
    </row>
    <row r="411" spans="1:7">
      <c r="D411" s="138"/>
      <c r="E411" s="138"/>
      <c r="F411" s="138"/>
      <c r="G411" s="12"/>
    </row>
    <row r="412" spans="1:7" ht="14.25">
      <c r="A412" s="270"/>
      <c r="B412" s="703" t="s">
        <v>329</v>
      </c>
      <c r="C412" s="275"/>
      <c r="D412" s="962" t="s">
        <v>1363</v>
      </c>
      <c r="E412" s="962"/>
      <c r="F412" s="962"/>
      <c r="G412" s="12"/>
    </row>
    <row r="413" spans="1:7">
      <c r="D413" s="962"/>
      <c r="E413" s="962"/>
      <c r="F413" s="962"/>
      <c r="G413" s="12"/>
    </row>
    <row r="414" spans="1:7">
      <c r="D414" s="962"/>
      <c r="E414" s="962"/>
      <c r="F414" s="962"/>
      <c r="G414" s="12"/>
    </row>
    <row r="415" spans="1:7" s="743" customFormat="1">
      <c r="A415" s="755"/>
      <c r="B415" s="755"/>
      <c r="C415" s="755"/>
      <c r="D415" s="752"/>
      <c r="E415" s="752"/>
      <c r="F415" s="752"/>
    </row>
    <row r="416" spans="1:7" ht="14.25">
      <c r="B416" s="703" t="s">
        <v>329</v>
      </c>
      <c r="C416" s="270"/>
      <c r="D416" s="976" t="s">
        <v>1364</v>
      </c>
      <c r="E416" s="976"/>
      <c r="F416" s="976"/>
      <c r="G416" s="12"/>
    </row>
    <row r="417" spans="1:7">
      <c r="D417" s="976"/>
      <c r="E417" s="976"/>
      <c r="F417" s="976"/>
      <c r="G417" s="12"/>
    </row>
    <row r="418" spans="1:7">
      <c r="D418" s="138"/>
      <c r="E418" s="138"/>
      <c r="F418" s="138"/>
      <c r="G418" s="12"/>
    </row>
    <row r="419" spans="1:7" ht="14.25">
      <c r="B419" s="703" t="s">
        <v>329</v>
      </c>
      <c r="C419" s="270"/>
      <c r="D419" s="976" t="s">
        <v>1365</v>
      </c>
      <c r="E419" s="976"/>
      <c r="F419" s="976"/>
      <c r="G419" s="12"/>
    </row>
    <row r="420" spans="1:7">
      <c r="D420" s="976"/>
      <c r="E420" s="976"/>
      <c r="F420" s="976"/>
      <c r="G420" s="12"/>
    </row>
    <row r="421" spans="1:7">
      <c r="D421" s="976"/>
      <c r="E421" s="976"/>
      <c r="F421" s="976"/>
      <c r="G421" s="12"/>
    </row>
    <row r="422" spans="1:7">
      <c r="D422" s="976"/>
      <c r="E422" s="976"/>
      <c r="F422" s="976"/>
      <c r="G422" s="12"/>
    </row>
    <row r="423" spans="1:7">
      <c r="B423" s="703" t="s">
        <v>329</v>
      </c>
      <c r="D423" s="976"/>
      <c r="E423" s="976"/>
      <c r="F423" s="976"/>
      <c r="G423" s="12"/>
    </row>
    <row r="424" spans="1:7">
      <c r="A424" s="12"/>
      <c r="B424" s="12"/>
      <c r="C424" s="12"/>
      <c r="D424" s="976"/>
      <c r="E424" s="976"/>
      <c r="F424" s="976"/>
      <c r="G424" s="12"/>
    </row>
    <row r="425" spans="1:7">
      <c r="A425" s="12"/>
      <c r="C425" s="12"/>
      <c r="D425" s="976"/>
      <c r="E425" s="976"/>
      <c r="F425" s="976"/>
      <c r="G425" s="12"/>
    </row>
    <row r="426" spans="1:7">
      <c r="A426" s="12"/>
      <c r="B426" s="703" t="s">
        <v>329</v>
      </c>
      <c r="C426" s="12"/>
      <c r="D426" s="976"/>
      <c r="E426" s="976"/>
      <c r="F426" s="976"/>
      <c r="G426" s="12"/>
    </row>
    <row r="427" spans="1:7">
      <c r="A427" s="12"/>
      <c r="B427" s="12"/>
      <c r="C427" s="12"/>
      <c r="D427" s="976"/>
      <c r="E427" s="976"/>
      <c r="F427" s="976"/>
      <c r="G427" s="12"/>
    </row>
    <row r="428" spans="1:7">
      <c r="A428" s="12"/>
      <c r="C428" s="12"/>
      <c r="D428" s="976"/>
      <c r="E428" s="976"/>
      <c r="F428" s="976"/>
      <c r="G428" s="12"/>
    </row>
    <row r="429" spans="1:7">
      <c r="A429" s="12"/>
      <c r="C429" s="12"/>
      <c r="D429" s="976"/>
      <c r="E429" s="976"/>
      <c r="F429" s="976"/>
      <c r="G429" s="12"/>
    </row>
    <row r="430" spans="1:7">
      <c r="A430" s="12"/>
      <c r="B430" s="703" t="s">
        <v>329</v>
      </c>
      <c r="C430" s="12"/>
      <c r="D430" s="976"/>
      <c r="E430" s="976"/>
      <c r="F430" s="976"/>
      <c r="G430" s="12"/>
    </row>
    <row r="431" spans="1:7">
      <c r="A431" s="12"/>
      <c r="B431" s="12"/>
      <c r="C431" s="12"/>
      <c r="D431" s="976"/>
      <c r="E431" s="976"/>
      <c r="F431" s="976"/>
      <c r="G431" s="12"/>
    </row>
    <row r="432" spans="1:7">
      <c r="A432" s="12"/>
      <c r="B432" s="703" t="s">
        <v>329</v>
      </c>
      <c r="C432" s="12"/>
      <c r="D432" s="976"/>
      <c r="E432" s="976"/>
      <c r="F432" s="976"/>
      <c r="G432" s="12"/>
    </row>
    <row r="433" spans="1:7" s="743" customFormat="1">
      <c r="D433" s="753"/>
      <c r="E433" s="753"/>
      <c r="F433" s="753"/>
    </row>
    <row r="434" spans="1:7">
      <c r="A434" s="12"/>
      <c r="B434" s="742" t="s">
        <v>329</v>
      </c>
      <c r="C434" s="12"/>
      <c r="D434" s="976" t="s">
        <v>1366</v>
      </c>
      <c r="E434" s="976"/>
      <c r="F434" s="976"/>
      <c r="G434" s="12"/>
    </row>
    <row r="435" spans="1:7">
      <c r="A435" s="12"/>
      <c r="B435" s="12"/>
      <c r="C435" s="12"/>
      <c r="D435" s="976"/>
      <c r="E435" s="976"/>
      <c r="F435" s="976"/>
      <c r="G435" s="12"/>
    </row>
    <row r="436" spans="1:7">
      <c r="A436" s="12"/>
      <c r="B436" s="12"/>
      <c r="C436" s="12"/>
      <c r="D436" s="976"/>
      <c r="E436" s="976"/>
      <c r="F436" s="976"/>
      <c r="G436" s="12"/>
    </row>
    <row r="437" spans="1:7">
      <c r="A437" s="12"/>
      <c r="B437" s="12"/>
      <c r="C437" s="12"/>
      <c r="D437" s="976"/>
      <c r="E437" s="976"/>
      <c r="F437" s="976"/>
      <c r="G437" s="12"/>
    </row>
    <row r="438" spans="1:7">
      <c r="D438" s="976"/>
      <c r="E438" s="976"/>
      <c r="F438" s="976"/>
    </row>
    <row r="439" spans="1:7">
      <c r="D439" s="138"/>
      <c r="E439" s="138"/>
      <c r="F439" s="138"/>
    </row>
    <row r="440" spans="1:7">
      <c r="B440" s="703" t="s">
        <v>329</v>
      </c>
      <c r="D440" s="977" t="s">
        <v>1367</v>
      </c>
      <c r="E440" s="977"/>
      <c r="F440" s="977"/>
    </row>
    <row r="441" spans="1:7">
      <c r="A441" s="138"/>
      <c r="B441" s="138"/>
    </row>
    <row r="442" spans="1:7">
      <c r="A442" s="982" t="s">
        <v>1208</v>
      </c>
      <c r="B442" s="982"/>
      <c r="C442" s="982"/>
      <c r="D442" s="982"/>
      <c r="E442" s="982"/>
      <c r="F442" s="982"/>
      <c r="G442" s="982"/>
    </row>
    <row r="443" spans="1:7">
      <c r="A443" s="138"/>
      <c r="B443" s="138"/>
    </row>
    <row r="444" spans="1:7">
      <c r="D444" s="978" t="s">
        <v>977</v>
      </c>
      <c r="E444" s="978"/>
      <c r="F444" s="978"/>
    </row>
    <row r="445" spans="1:7" s="39" customFormat="1" ht="14.25">
      <c r="A445" s="420"/>
      <c r="B445" s="420"/>
      <c r="C445" s="282"/>
      <c r="D445" s="979" t="s">
        <v>1368</v>
      </c>
      <c r="E445" s="979"/>
      <c r="F445" s="979"/>
      <c r="G445" s="133"/>
    </row>
    <row r="446" spans="1:7" s="39" customFormat="1" ht="14.25">
      <c r="A446" s="420"/>
      <c r="B446" s="420"/>
      <c r="C446" s="282"/>
      <c r="D446" s="756"/>
      <c r="E446" s="6"/>
      <c r="F446" s="6"/>
      <c r="G446" s="133"/>
    </row>
    <row r="447" spans="1:7" s="39" customFormat="1" ht="14.25">
      <c r="A447" s="270"/>
      <c r="B447" s="703" t="s">
        <v>329</v>
      </c>
      <c r="C447" s="282"/>
      <c r="D447" s="980" t="s">
        <v>1369</v>
      </c>
      <c r="E447" s="980"/>
      <c r="F447" s="980"/>
      <c r="G447" s="133"/>
    </row>
    <row r="448" spans="1:7" s="39" customFormat="1" ht="14.25">
      <c r="A448" s="270"/>
      <c r="B448" s="270"/>
      <c r="C448" s="282"/>
      <c r="D448" s="980"/>
      <c r="E448" s="980"/>
      <c r="F448" s="980"/>
      <c r="G448" s="133"/>
    </row>
    <row r="449" spans="1:7" s="39" customFormat="1" ht="14.25">
      <c r="A449" s="270"/>
      <c r="B449" s="270"/>
      <c r="C449" s="282"/>
      <c r="D449" s="754"/>
      <c r="E449" s="6"/>
      <c r="F449" s="6"/>
      <c r="G449" s="133"/>
    </row>
    <row r="450" spans="1:7">
      <c r="B450" s="703" t="s">
        <v>329</v>
      </c>
      <c r="D450" s="981" t="s">
        <v>1370</v>
      </c>
      <c r="E450" s="981"/>
      <c r="F450" s="981"/>
    </row>
    <row r="451" spans="1:7" ht="14.25">
      <c r="A451" s="270"/>
      <c r="D451" s="981"/>
      <c r="E451" s="981"/>
      <c r="F451" s="981"/>
    </row>
    <row r="452" spans="1:7" ht="14.25">
      <c r="A452" s="270"/>
      <c r="B452" s="270"/>
      <c r="D452" s="981"/>
      <c r="E452" s="981"/>
      <c r="F452" s="981"/>
    </row>
    <row r="453" spans="1:7" ht="14.25">
      <c r="A453" s="270"/>
      <c r="B453" s="270"/>
      <c r="D453" s="981"/>
      <c r="E453" s="981"/>
      <c r="F453" s="981"/>
    </row>
    <row r="454" spans="1:7">
      <c r="D454" s="702"/>
      <c r="E454" s="702"/>
      <c r="F454" s="702"/>
      <c r="G454" s="12"/>
    </row>
    <row r="455" spans="1:7" ht="14.25">
      <c r="A455" s="270"/>
      <c r="B455" s="703" t="s">
        <v>329</v>
      </c>
      <c r="D455" s="963" t="s">
        <v>1371</v>
      </c>
      <c r="E455" s="963"/>
      <c r="F455" s="963"/>
      <c r="G455" s="12"/>
    </row>
    <row r="456" spans="1:7" ht="14.25">
      <c r="A456" s="270"/>
      <c r="B456" s="270"/>
      <c r="D456" s="963"/>
      <c r="E456" s="963"/>
      <c r="F456" s="963"/>
      <c r="G456" s="12"/>
    </row>
    <row r="457" spans="1:7" ht="14.25">
      <c r="A457" s="270"/>
      <c r="D457" s="963"/>
      <c r="E457" s="963"/>
      <c r="F457" s="963"/>
      <c r="G457" s="12"/>
    </row>
    <row r="458" spans="1:7" ht="14.25">
      <c r="A458" s="270"/>
      <c r="B458" s="270"/>
      <c r="D458" s="702"/>
      <c r="E458" s="702"/>
      <c r="F458" s="702"/>
      <c r="G458" s="12"/>
    </row>
    <row r="459" spans="1:7" ht="14.25">
      <c r="A459" s="270"/>
      <c r="B459" s="742" t="s">
        <v>329</v>
      </c>
      <c r="D459" s="975" t="s">
        <v>1372</v>
      </c>
      <c r="E459" s="975"/>
      <c r="F459" s="975"/>
      <c r="G459" s="12"/>
    </row>
    <row r="460" spans="1:7" ht="14.25">
      <c r="A460" s="270"/>
      <c r="B460" s="270"/>
      <c r="D460" s="754"/>
      <c r="E460" s="6"/>
      <c r="F460" s="6"/>
      <c r="G460" s="12"/>
    </row>
    <row r="461" spans="1:7" ht="14.25">
      <c r="A461" s="270"/>
      <c r="B461" s="703" t="s">
        <v>329</v>
      </c>
      <c r="D461" s="962" t="s">
        <v>1373</v>
      </c>
      <c r="E461" s="962"/>
      <c r="F461" s="962"/>
      <c r="G461" s="12"/>
    </row>
    <row r="462" spans="1:7" ht="14.25">
      <c r="A462" s="270"/>
      <c r="D462" s="962"/>
      <c r="E462" s="962"/>
      <c r="F462" s="962"/>
      <c r="G462" s="12"/>
    </row>
    <row r="463" spans="1:7">
      <c r="A463" s="23"/>
      <c r="B463" s="699"/>
      <c r="D463" s="757"/>
      <c r="E463" s="6"/>
      <c r="F463" s="6"/>
      <c r="G463" s="12"/>
    </row>
    <row r="464" spans="1:7">
      <c r="A464" s="23"/>
      <c r="B464" s="742" t="s">
        <v>329</v>
      </c>
      <c r="D464" s="975" t="s">
        <v>1374</v>
      </c>
      <c r="E464" s="975"/>
      <c r="F464" s="975"/>
      <c r="G464" s="12"/>
    </row>
    <row r="465" spans="1:7" ht="14.25">
      <c r="A465" s="270"/>
      <c r="B465" s="270"/>
      <c r="D465" s="138"/>
    </row>
    <row r="466" spans="1:7">
      <c r="A466" s="982" t="s">
        <v>1209</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983" t="s">
        <v>874</v>
      </c>
      <c r="E468" s="983"/>
      <c r="F468" s="983"/>
      <c r="G468" s="187"/>
    </row>
    <row r="469" spans="1:7" customFormat="1" ht="13.15" customHeight="1">
      <c r="A469" s="269"/>
      <c r="B469" s="269"/>
      <c r="C469" s="323"/>
      <c r="D469" s="984" t="s">
        <v>1252</v>
      </c>
      <c r="E469" s="984"/>
      <c r="F469" s="984"/>
      <c r="G469" s="152"/>
    </row>
    <row r="470" spans="1:7" customFormat="1">
      <c r="A470" s="269"/>
      <c r="B470" s="269"/>
      <c r="C470" s="323"/>
      <c r="D470" s="984"/>
      <c r="E470" s="984"/>
      <c r="F470" s="984"/>
      <c r="G470" s="152"/>
    </row>
    <row r="471" spans="1:7" customFormat="1">
      <c r="A471" s="269"/>
      <c r="B471" s="269"/>
      <c r="C471" s="323"/>
      <c r="D471" s="984"/>
      <c r="E471" s="984"/>
      <c r="F471" s="984"/>
      <c r="G471" s="152"/>
    </row>
    <row r="472" spans="1:7" customFormat="1">
      <c r="A472" s="269"/>
      <c r="B472" s="269"/>
      <c r="C472" s="323"/>
      <c r="D472" s="984"/>
      <c r="E472" s="984"/>
      <c r="F472" s="984"/>
      <c r="G472" s="152"/>
    </row>
    <row r="473" spans="1:7" customFormat="1">
      <c r="A473" s="269"/>
      <c r="B473" s="269"/>
      <c r="C473" s="323"/>
      <c r="D473" s="984"/>
      <c r="E473" s="984"/>
      <c r="F473" s="984"/>
      <c r="G473" s="152"/>
    </row>
    <row r="474" spans="1:7" customFormat="1">
      <c r="A474" s="269"/>
      <c r="B474" s="269"/>
      <c r="C474" s="323"/>
      <c r="D474" s="488"/>
      <c r="E474" s="152"/>
      <c r="F474" s="154"/>
      <c r="G474" s="152"/>
    </row>
    <row r="475" spans="1:7" customFormat="1" ht="14.45" customHeight="1">
      <c r="A475" s="270"/>
      <c r="B475" s="703" t="s">
        <v>329</v>
      </c>
      <c r="C475" s="323"/>
      <c r="D475" s="1024" t="s">
        <v>1243</v>
      </c>
      <c r="E475" s="1024"/>
      <c r="F475" s="1024"/>
      <c r="G475" s="152"/>
    </row>
    <row r="476" spans="1:7" customFormat="1">
      <c r="A476" s="269"/>
      <c r="B476" s="269"/>
      <c r="C476" s="323"/>
      <c r="D476" s="1024"/>
      <c r="E476" s="1024"/>
      <c r="F476" s="1024"/>
      <c r="G476" s="152"/>
    </row>
    <row r="477" spans="1:7" s="704" customFormat="1">
      <c r="A477" s="269"/>
      <c r="B477" s="269"/>
      <c r="C477" s="323"/>
      <c r="D477" s="1024"/>
      <c r="E477" s="1024"/>
      <c r="F477" s="1024"/>
      <c r="G477" s="152"/>
    </row>
    <row r="478" spans="1:7" s="704" customFormat="1">
      <c r="A478" s="269"/>
      <c r="B478" s="269"/>
      <c r="C478" s="323"/>
      <c r="D478" s="1024"/>
      <c r="E478" s="1024"/>
      <c r="F478" s="1024"/>
      <c r="G478" s="152"/>
    </row>
    <row r="479" spans="1:7" customFormat="1">
      <c r="A479" s="269"/>
      <c r="B479" s="269"/>
      <c r="C479" s="323"/>
      <c r="D479" s="1024"/>
      <c r="E479" s="1024"/>
      <c r="F479" s="1024"/>
      <c r="G479" s="152"/>
    </row>
    <row r="480" spans="1:7" customFormat="1">
      <c r="A480" s="269"/>
      <c r="B480" s="269"/>
      <c r="C480" s="323"/>
      <c r="D480" s="460"/>
      <c r="E480" s="152"/>
      <c r="F480" s="154"/>
      <c r="G480" s="152"/>
    </row>
    <row r="481" spans="1:7" customFormat="1" ht="14.45" customHeight="1">
      <c r="A481" s="270"/>
      <c r="B481" s="703" t="s">
        <v>329</v>
      </c>
      <c r="C481" s="323"/>
      <c r="D481" s="1024" t="s">
        <v>1246</v>
      </c>
      <c r="E481" s="1024"/>
      <c r="F481" s="1024"/>
      <c r="G481" s="152"/>
    </row>
    <row r="482" spans="1:7" customFormat="1">
      <c r="A482" s="269"/>
      <c r="B482" s="269"/>
      <c r="C482" s="323"/>
      <c r="D482" s="1024"/>
      <c r="E482" s="1024"/>
      <c r="F482" s="1024"/>
      <c r="G482" s="152"/>
    </row>
    <row r="483" spans="1:7" s="704" customFormat="1">
      <c r="A483" s="269"/>
      <c r="B483" s="269"/>
      <c r="C483" s="323"/>
      <c r="D483" s="1024"/>
      <c r="E483" s="1024"/>
      <c r="F483" s="1024"/>
      <c r="G483" s="152"/>
    </row>
    <row r="484" spans="1:7" customFormat="1">
      <c r="A484" s="269"/>
      <c r="B484" s="269"/>
      <c r="C484" s="323"/>
      <c r="D484" s="1024"/>
      <c r="E484" s="1024"/>
      <c r="F484" s="1024"/>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4" t="s">
        <v>1244</v>
      </c>
      <c r="E486" s="1024"/>
      <c r="F486" s="1024"/>
      <c r="G486" s="152"/>
    </row>
    <row r="487" spans="1:7" customFormat="1">
      <c r="A487" s="269"/>
      <c r="B487" s="269"/>
      <c r="C487" s="323"/>
      <c r="D487" s="1024"/>
      <c r="E487" s="1024"/>
      <c r="F487" s="1024"/>
      <c r="G487" s="152"/>
    </row>
    <row r="488" spans="1:7" customFormat="1">
      <c r="A488" s="269"/>
      <c r="B488" s="269"/>
      <c r="C488" s="323"/>
      <c r="D488" s="1024"/>
      <c r="E488" s="1024"/>
      <c r="F488" s="1024"/>
      <c r="G488" s="152"/>
    </row>
    <row r="489" spans="1:7" s="704" customFormat="1">
      <c r="A489" s="269"/>
      <c r="B489" s="269"/>
      <c r="C489" s="323"/>
      <c r="D489" s="724"/>
      <c r="E489" s="724"/>
      <c r="F489" s="724"/>
      <c r="G489" s="152"/>
    </row>
    <row r="490" spans="1:7" customFormat="1" ht="14.45" customHeight="1">
      <c r="A490" s="270"/>
      <c r="B490" s="703" t="s">
        <v>329</v>
      </c>
      <c r="C490" s="323"/>
      <c r="D490" s="1024" t="s">
        <v>1245</v>
      </c>
      <c r="E490" s="1024"/>
      <c r="F490" s="1024"/>
      <c r="G490" s="152"/>
    </row>
    <row r="491" spans="1:7" customFormat="1">
      <c r="A491" s="269"/>
      <c r="B491" s="269"/>
      <c r="C491" s="323"/>
      <c r="D491" s="1024"/>
      <c r="E491" s="1024"/>
      <c r="F491" s="1024"/>
      <c r="G491" s="152"/>
    </row>
    <row r="492" spans="1:7" customFormat="1">
      <c r="A492" s="269"/>
      <c r="B492" s="269"/>
      <c r="C492" s="323"/>
      <c r="D492" s="1024"/>
      <c r="E492" s="1024"/>
      <c r="F492" s="1024"/>
      <c r="G492" s="152"/>
    </row>
    <row r="493" spans="1:7" customFormat="1">
      <c r="A493" s="269"/>
      <c r="B493" s="269"/>
      <c r="C493" s="323"/>
      <c r="D493" s="1024"/>
      <c r="E493" s="1024"/>
      <c r="F493" s="1024"/>
      <c r="G493" s="152"/>
    </row>
    <row r="494" spans="1:7" customFormat="1">
      <c r="A494" s="269"/>
      <c r="B494" s="269"/>
      <c r="C494" s="323"/>
      <c r="D494" s="1024"/>
      <c r="E494" s="1024"/>
      <c r="F494" s="1024"/>
      <c r="G494" s="152"/>
    </row>
    <row r="495" spans="1:7" customFormat="1">
      <c r="A495" s="269"/>
      <c r="B495" s="269"/>
      <c r="C495" s="323"/>
      <c r="D495" s="1024"/>
      <c r="E495" s="1024"/>
      <c r="F495" s="1024"/>
      <c r="G495" s="152"/>
    </row>
    <row r="496" spans="1:7" customFormat="1">
      <c r="A496" s="269"/>
      <c r="B496" s="269"/>
      <c r="C496" s="323"/>
      <c r="D496" s="1024"/>
      <c r="E496" s="1024"/>
      <c r="F496" s="1024"/>
      <c r="G496" s="152"/>
    </row>
    <row r="497" spans="1:7" customFormat="1">
      <c r="A497" s="504"/>
      <c r="B497" s="504"/>
      <c r="C497" s="503"/>
      <c r="D497" s="1024"/>
      <c r="E497" s="1024"/>
      <c r="F497" s="1024"/>
      <c r="G497" s="152"/>
    </row>
    <row r="498" spans="1:7" customFormat="1">
      <c r="A498" s="504"/>
      <c r="B498" s="504"/>
      <c r="C498" s="503"/>
      <c r="D498" s="1024"/>
      <c r="E498" s="1024"/>
      <c r="F498" s="1024"/>
      <c r="G498" s="152"/>
    </row>
    <row r="499" spans="1:7" customFormat="1">
      <c r="A499" s="504"/>
      <c r="B499" s="504"/>
      <c r="C499" s="503"/>
      <c r="D499" s="460"/>
      <c r="E499" s="152"/>
      <c r="F499" s="154"/>
      <c r="G499" s="152"/>
    </row>
    <row r="500" spans="1:7" customFormat="1" ht="13.15" customHeight="1">
      <c r="A500" s="504"/>
      <c r="B500" s="703" t="s">
        <v>329</v>
      </c>
      <c r="C500" s="503"/>
      <c r="D500" s="974" t="s">
        <v>1389</v>
      </c>
      <c r="E500" s="974"/>
      <c r="F500" s="974"/>
      <c r="G500" s="152"/>
    </row>
    <row r="501" spans="1:7" customFormat="1">
      <c r="A501" s="504"/>
      <c r="B501" s="504"/>
      <c r="C501" s="503"/>
      <c r="D501" s="974"/>
      <c r="E501" s="974"/>
      <c r="F501" s="974"/>
      <c r="G501" s="152"/>
    </row>
    <row r="502" spans="1:7" customFormat="1">
      <c r="A502" s="504"/>
      <c r="B502" s="504"/>
      <c r="C502" s="503"/>
      <c r="D502" s="974"/>
      <c r="E502" s="974"/>
      <c r="F502" s="974"/>
      <c r="G502" s="152"/>
    </row>
    <row r="503" spans="1:7" customFormat="1">
      <c r="A503" s="504"/>
      <c r="B503" s="504"/>
      <c r="C503" s="503"/>
      <c r="D503" s="974"/>
      <c r="E503" s="974"/>
      <c r="F503" s="974"/>
      <c r="G503" s="152"/>
    </row>
    <row r="504" spans="1:7" customFormat="1">
      <c r="A504" s="269"/>
      <c r="B504" s="269"/>
      <c r="C504" s="323"/>
      <c r="D504" s="974"/>
      <c r="E504" s="974"/>
      <c r="F504" s="974"/>
      <c r="G504" s="152"/>
    </row>
    <row r="505" spans="1:7" s="741" customFormat="1">
      <c r="A505" s="744"/>
      <c r="B505" s="744"/>
      <c r="C505" s="323"/>
      <c r="D505" s="765"/>
      <c r="E505" s="765"/>
      <c r="F505" s="765"/>
      <c r="G505" s="152"/>
    </row>
    <row r="506" spans="1:7" customFormat="1" ht="14.45" customHeight="1">
      <c r="A506" s="270"/>
      <c r="B506" s="703" t="s">
        <v>329</v>
      </c>
      <c r="C506" s="10"/>
      <c r="D506" s="1024" t="s">
        <v>1247</v>
      </c>
      <c r="E506" s="1024"/>
      <c r="F506" s="1024"/>
      <c r="G506" s="152"/>
    </row>
    <row r="507" spans="1:7" customFormat="1">
      <c r="A507" s="135"/>
      <c r="B507" s="700"/>
      <c r="C507" s="10"/>
      <c r="D507" s="1024"/>
      <c r="E507" s="1024"/>
      <c r="F507" s="1024"/>
      <c r="G507" s="152"/>
    </row>
    <row r="508" spans="1:7" customFormat="1">
      <c r="A508" s="135"/>
      <c r="B508" s="700"/>
      <c r="C508" s="10"/>
      <c r="D508" s="1024"/>
      <c r="E508" s="1024"/>
      <c r="F508" s="1024"/>
      <c r="G508" s="152"/>
    </row>
    <row r="509" spans="1:7" customFormat="1" ht="12" customHeight="1">
      <c r="A509" s="138"/>
      <c r="B509" s="138"/>
      <c r="C509" s="325"/>
      <c r="D509" s="138"/>
      <c r="E509" s="152"/>
      <c r="F509" s="324"/>
      <c r="G509" s="152"/>
    </row>
    <row r="510" spans="1:7">
      <c r="A510" s="982" t="s">
        <v>1210</v>
      </c>
      <c r="B510" s="982"/>
      <c r="C510" s="982"/>
      <c r="D510" s="982"/>
      <c r="E510" s="982"/>
      <c r="F510" s="982"/>
      <c r="G510" s="982"/>
    </row>
    <row r="511" spans="1:7">
      <c r="A511" s="138"/>
      <c r="B511" s="138"/>
      <c r="C511" s="275"/>
      <c r="F511" s="137"/>
    </row>
    <row r="512" spans="1:7">
      <c r="B512" s="1010" t="s">
        <v>483</v>
      </c>
      <c r="C512" s="1010"/>
      <c r="D512" s="1010"/>
      <c r="E512" s="1010"/>
      <c r="F512" s="1010"/>
    </row>
    <row r="513" spans="1:7">
      <c r="A513" s="138"/>
      <c r="B513" s="138"/>
      <c r="C513" s="275"/>
      <c r="D513" s="138"/>
      <c r="F513" s="138"/>
    </row>
    <row r="514" spans="1:7">
      <c r="A514" s="1032" t="s">
        <v>1211</v>
      </c>
      <c r="B514" s="1032"/>
      <c r="C514" s="1032"/>
      <c r="D514" s="1032"/>
      <c r="E514" s="1032"/>
      <c r="F514" s="1032"/>
      <c r="G514" s="1032"/>
    </row>
    <row r="515" spans="1:7">
      <c r="A515" s="138"/>
      <c r="B515" s="138"/>
      <c r="C515" s="275"/>
      <c r="D515" s="138"/>
      <c r="F515" s="138"/>
    </row>
    <row r="516" spans="1:7">
      <c r="C516" s="275"/>
      <c r="D516" s="985" t="s">
        <v>736</v>
      </c>
      <c r="E516" s="985"/>
      <c r="F516" s="985"/>
    </row>
    <row r="517" spans="1:7" s="706" customFormat="1">
      <c r="A517" s="723"/>
      <c r="B517" s="723"/>
      <c r="C517" s="275"/>
      <c r="D517" s="975" t="s">
        <v>1268</v>
      </c>
      <c r="E517" s="975"/>
      <c r="F517" s="975"/>
      <c r="G517" s="7"/>
    </row>
    <row r="518" spans="1:7" s="706" customFormat="1">
      <c r="A518" s="723"/>
      <c r="B518" s="723"/>
      <c r="C518" s="275"/>
      <c r="D518" s="728"/>
      <c r="E518" s="728"/>
      <c r="F518" s="728"/>
      <c r="G518" s="7"/>
    </row>
    <row r="519" spans="1:7" ht="13.15" customHeight="1">
      <c r="A519" s="270"/>
      <c r="B519" s="703" t="s">
        <v>329</v>
      </c>
      <c r="C519" s="275"/>
      <c r="D519" s="975" t="s">
        <v>978</v>
      </c>
      <c r="E519" s="975"/>
      <c r="F519" s="975"/>
      <c r="G519" s="12"/>
    </row>
    <row r="520" spans="1:7" ht="13.15" customHeight="1">
      <c r="A520" s="275"/>
      <c r="B520" s="275"/>
      <c r="C520" s="275"/>
      <c r="D520" s="728"/>
      <c r="E520" s="701"/>
      <c r="F520" s="701"/>
      <c r="G520" s="12"/>
    </row>
    <row r="521" spans="1:7" ht="14.25">
      <c r="A521" s="270"/>
      <c r="B521" s="703" t="s">
        <v>329</v>
      </c>
      <c r="C521" s="275"/>
      <c r="D521" s="962" t="s">
        <v>1269</v>
      </c>
      <c r="E521" s="962"/>
      <c r="F521" s="962"/>
      <c r="G521" s="12"/>
    </row>
    <row r="522" spans="1:7">
      <c r="A522" s="275"/>
      <c r="B522" s="275"/>
      <c r="C522" s="275"/>
      <c r="D522" s="962"/>
      <c r="E522" s="962"/>
      <c r="F522" s="962"/>
      <c r="G522" s="12"/>
    </row>
    <row r="523" spans="1:7">
      <c r="A523" s="275"/>
      <c r="B523" s="275"/>
      <c r="C523" s="275"/>
      <c r="D523" s="138"/>
      <c r="E523" s="138"/>
      <c r="F523" s="138"/>
      <c r="G523" s="12"/>
    </row>
    <row r="524" spans="1:7" ht="14.25">
      <c r="A524" s="270"/>
      <c r="B524" s="703" t="s">
        <v>329</v>
      </c>
      <c r="C524" s="275"/>
      <c r="D524" s="962" t="s">
        <v>1270</v>
      </c>
      <c r="E524" s="962"/>
      <c r="F524" s="962"/>
      <c r="G524" s="12"/>
    </row>
    <row r="525" spans="1:7">
      <c r="A525" s="275"/>
      <c r="B525" s="275"/>
      <c r="C525" s="275"/>
      <c r="D525" s="962"/>
      <c r="E525" s="962"/>
      <c r="F525" s="962"/>
      <c r="G525" s="12"/>
    </row>
    <row r="526" spans="1:7">
      <c r="A526" s="275"/>
      <c r="B526" s="275"/>
      <c r="C526" s="275"/>
      <c r="D526" s="138"/>
      <c r="E526" s="138"/>
      <c r="F526" s="138"/>
      <c r="G526" s="12"/>
    </row>
    <row r="527" spans="1:7" ht="14.25">
      <c r="A527" s="270"/>
      <c r="B527" s="703" t="s">
        <v>329</v>
      </c>
      <c r="C527" s="275"/>
      <c r="D527" s="962" t="s">
        <v>1271</v>
      </c>
      <c r="E527" s="962"/>
      <c r="F527" s="962"/>
      <c r="G527" s="12"/>
    </row>
    <row r="528" spans="1:7">
      <c r="A528" s="275"/>
      <c r="B528" s="275"/>
      <c r="C528" s="275"/>
      <c r="D528" s="962"/>
      <c r="E528" s="962"/>
      <c r="F528" s="962"/>
      <c r="G528" s="12"/>
    </row>
    <row r="529" spans="1:7">
      <c r="A529" s="275"/>
      <c r="B529" s="275"/>
      <c r="C529" s="275"/>
      <c r="D529" s="138"/>
      <c r="E529" s="138"/>
      <c r="F529" s="138"/>
      <c r="G529" s="12"/>
    </row>
    <row r="530" spans="1:7" ht="14.25">
      <c r="A530" s="270"/>
      <c r="B530" s="703" t="s">
        <v>329</v>
      </c>
      <c r="C530" s="275"/>
      <c r="D530" s="962" t="s">
        <v>1272</v>
      </c>
      <c r="E530" s="962"/>
      <c r="F530" s="962"/>
      <c r="G530" s="12"/>
    </row>
    <row r="531" spans="1:7">
      <c r="A531" s="275"/>
      <c r="B531" s="275"/>
      <c r="C531" s="275"/>
      <c r="D531" s="962"/>
      <c r="E531" s="962"/>
      <c r="F531" s="962"/>
      <c r="G531" s="12"/>
    </row>
    <row r="532" spans="1:7">
      <c r="A532" s="275"/>
      <c r="B532" s="275"/>
      <c r="C532" s="275"/>
      <c r="D532" s="962"/>
      <c r="E532" s="962"/>
      <c r="F532" s="962"/>
      <c r="G532" s="12"/>
    </row>
    <row r="533" spans="1:7">
      <c r="A533" s="275"/>
      <c r="B533" s="275"/>
      <c r="C533" s="275"/>
      <c r="D533" s="138"/>
      <c r="E533" s="138"/>
      <c r="F533" s="138"/>
    </row>
    <row r="534" spans="1:7" ht="14.25">
      <c r="A534" s="270"/>
      <c r="B534" s="703" t="s">
        <v>329</v>
      </c>
      <c r="C534" s="275"/>
      <c r="D534" s="997" t="s">
        <v>1390</v>
      </c>
      <c r="E534" s="997"/>
      <c r="F534" s="997"/>
    </row>
    <row r="535" spans="1:7">
      <c r="A535" s="275"/>
      <c r="B535" s="275"/>
      <c r="C535" s="275"/>
      <c r="D535" s="997"/>
      <c r="E535" s="997"/>
      <c r="F535" s="997"/>
    </row>
    <row r="536" spans="1:7">
      <c r="A536" s="275"/>
      <c r="B536" s="275"/>
      <c r="C536" s="275"/>
      <c r="D536" s="138"/>
      <c r="E536" s="138"/>
      <c r="F536" s="138"/>
    </row>
    <row r="537" spans="1:7" ht="14.25">
      <c r="A537" s="270"/>
      <c r="B537" s="703" t="s">
        <v>329</v>
      </c>
      <c r="C537" s="275"/>
      <c r="D537" s="997" t="s">
        <v>1273</v>
      </c>
      <c r="E537" s="997"/>
      <c r="F537" s="997"/>
    </row>
    <row r="538" spans="1:7">
      <c r="A538" s="275"/>
      <c r="B538" s="275"/>
      <c r="C538" s="275"/>
      <c r="D538" s="997"/>
      <c r="E538" s="997"/>
      <c r="F538" s="997"/>
    </row>
    <row r="539" spans="1:7">
      <c r="A539" s="275"/>
      <c r="B539" s="275"/>
      <c r="C539" s="275"/>
      <c r="D539" s="138"/>
      <c r="E539" s="138"/>
      <c r="F539" s="138"/>
    </row>
    <row r="540" spans="1:7" ht="14.25">
      <c r="A540" s="270"/>
      <c r="B540" s="703" t="s">
        <v>329</v>
      </c>
      <c r="C540" s="275"/>
      <c r="D540" s="962" t="s">
        <v>1274</v>
      </c>
      <c r="E540" s="962"/>
      <c r="F540" s="962"/>
    </row>
    <row r="541" spans="1:7">
      <c r="A541" s="275"/>
      <c r="B541" s="275"/>
      <c r="C541" s="275"/>
      <c r="D541" s="962"/>
      <c r="E541" s="962"/>
      <c r="F541" s="962"/>
      <c r="G541" s="57"/>
    </row>
    <row r="542" spans="1:7">
      <c r="A542" s="275"/>
      <c r="B542" s="275"/>
      <c r="C542" s="275"/>
      <c r="D542" s="138"/>
      <c r="E542" s="138"/>
      <c r="F542" s="138"/>
      <c r="G542" s="57"/>
    </row>
    <row r="543" spans="1:7" ht="14.25">
      <c r="A543" s="270"/>
      <c r="B543" s="703" t="s">
        <v>329</v>
      </c>
      <c r="C543" s="275"/>
      <c r="D543" s="975" t="s">
        <v>1275</v>
      </c>
      <c r="E543" s="975"/>
      <c r="F543" s="975"/>
      <c r="G543" s="57"/>
    </row>
    <row r="544" spans="1:7">
      <c r="A544" s="23"/>
      <c r="B544" s="699"/>
      <c r="C544" s="275"/>
      <c r="D544" s="975" t="s">
        <v>904</v>
      </c>
      <c r="E544" s="975"/>
      <c r="F544" s="975"/>
      <c r="G544" s="57"/>
    </row>
    <row r="545" spans="1:7">
      <c r="A545" s="23"/>
      <c r="B545" s="699"/>
      <c r="C545" s="275"/>
      <c r="D545" s="6"/>
      <c r="E545" s="993" t="s">
        <v>1276</v>
      </c>
      <c r="F545" s="993"/>
      <c r="G545" s="57"/>
    </row>
    <row r="546" spans="1:7" ht="14.25">
      <c r="A546" s="270"/>
      <c r="B546" s="270"/>
      <c r="C546" s="275"/>
      <c r="E546" s="138"/>
      <c r="F546" s="138"/>
      <c r="G546" s="57"/>
    </row>
    <row r="547" spans="1:7" ht="14.25">
      <c r="A547" s="270"/>
      <c r="B547" s="703" t="s">
        <v>329</v>
      </c>
      <c r="C547" s="275"/>
      <c r="D547" s="1037" t="s">
        <v>1277</v>
      </c>
      <c r="E547" s="1037"/>
      <c r="F547" s="1037"/>
      <c r="G547" s="57"/>
    </row>
    <row r="548" spans="1:7">
      <c r="C548" s="275"/>
      <c r="D548" s="962" t="s">
        <v>1278</v>
      </c>
      <c r="E548" s="962"/>
      <c r="F548" s="962"/>
      <c r="G548" s="57"/>
    </row>
    <row r="549" spans="1:7">
      <c r="A549" s="275"/>
      <c r="B549" s="275"/>
      <c r="C549" s="275"/>
      <c r="D549" s="962"/>
      <c r="E549" s="962"/>
      <c r="F549" s="962"/>
      <c r="G549" s="57"/>
    </row>
    <row r="550" spans="1:7">
      <c r="A550" s="275"/>
      <c r="B550" s="275"/>
      <c r="C550" s="275"/>
      <c r="D550" s="962"/>
      <c r="E550" s="962"/>
      <c r="F550" s="962"/>
      <c r="G550" s="57"/>
    </row>
    <row r="551" spans="1:7">
      <c r="A551" s="275"/>
      <c r="B551" s="275"/>
      <c r="C551" s="275"/>
      <c r="D551" s="138"/>
      <c r="E551" s="138"/>
      <c r="F551" s="138"/>
      <c r="G551" s="57"/>
    </row>
    <row r="552" spans="1:7" ht="14.25">
      <c r="A552" s="270"/>
      <c r="B552" s="703" t="s">
        <v>329</v>
      </c>
      <c r="C552" s="275"/>
      <c r="D552" s="962" t="s">
        <v>1279</v>
      </c>
      <c r="E552" s="962"/>
      <c r="F552" s="962"/>
      <c r="G552" s="57"/>
    </row>
    <row r="553" spans="1:7" ht="14.25">
      <c r="A553" s="270"/>
      <c r="B553" s="270"/>
      <c r="C553" s="275"/>
      <c r="D553" s="962"/>
      <c r="E553" s="962"/>
      <c r="F553" s="962"/>
      <c r="G553" s="57"/>
    </row>
    <row r="554" spans="1:7" ht="14.25">
      <c r="A554" s="270"/>
      <c r="B554" s="270"/>
      <c r="C554" s="275"/>
      <c r="D554" s="962"/>
      <c r="E554" s="962"/>
      <c r="F554" s="962"/>
      <c r="G554" s="57"/>
    </row>
    <row r="555" spans="1:7" ht="14.25">
      <c r="A555" s="270"/>
      <c r="B555" s="270"/>
      <c r="C555" s="275"/>
      <c r="D555" s="962"/>
      <c r="E555" s="962"/>
      <c r="F555" s="962"/>
      <c r="G555" s="57"/>
    </row>
    <row r="556" spans="1:7" ht="14.25">
      <c r="A556" s="270"/>
      <c r="B556" s="270"/>
      <c r="C556" s="275"/>
      <c r="D556" s="138"/>
      <c r="E556" s="138"/>
      <c r="F556" s="138"/>
      <c r="G556" s="57"/>
    </row>
    <row r="557" spans="1:7">
      <c r="A557" s="982" t="s">
        <v>1212</v>
      </c>
      <c r="B557" s="982"/>
      <c r="C557" s="982"/>
      <c r="D557" s="982"/>
      <c r="E557" s="982"/>
      <c r="F557" s="982"/>
      <c r="G557" s="982"/>
    </row>
    <row r="558" spans="1:7">
      <c r="A558" s="275"/>
      <c r="B558" s="275"/>
      <c r="C558" s="275"/>
      <c r="E558" s="138"/>
      <c r="F558" s="138"/>
      <c r="G558" s="57"/>
    </row>
    <row r="559" spans="1:7" ht="12.75" customHeight="1">
      <c r="C559" s="264"/>
      <c r="D559" s="1011" t="s">
        <v>225</v>
      </c>
      <c r="E559" s="1011"/>
      <c r="F559" s="1011"/>
      <c r="G559" s="57"/>
    </row>
    <row r="560" spans="1:7">
      <c r="A560" s="269"/>
      <c r="B560" s="269"/>
      <c r="C560" s="269"/>
      <c r="D560" s="1005" t="s">
        <v>1228</v>
      </c>
      <c r="E560" s="1005"/>
      <c r="F560" s="1005"/>
      <c r="G560" s="57"/>
    </row>
    <row r="561" spans="1:7">
      <c r="A561" s="12"/>
      <c r="B561" s="12"/>
      <c r="C561" s="269"/>
      <c r="D561" s="393"/>
      <c r="G561" s="57"/>
    </row>
    <row r="562" spans="1:7">
      <c r="A562" s="269"/>
      <c r="B562" s="703" t="s">
        <v>329</v>
      </c>
      <c r="D562" s="1005" t="s">
        <v>984</v>
      </c>
      <c r="E562" s="1005"/>
      <c r="F562" s="1005"/>
      <c r="G562" s="57"/>
    </row>
    <row r="563" spans="1:7">
      <c r="A563" s="23"/>
      <c r="B563" s="699"/>
      <c r="D563" s="335"/>
    </row>
    <row r="564" spans="1:7">
      <c r="A564" s="23"/>
      <c r="B564" s="703" t="s">
        <v>329</v>
      </c>
      <c r="D564" s="981" t="s">
        <v>1229</v>
      </c>
      <c r="E564" s="981"/>
      <c r="F564" s="981"/>
    </row>
    <row r="565" spans="1:7">
      <c r="A565" s="23"/>
      <c r="B565" s="699"/>
      <c r="D565" s="981"/>
      <c r="E565" s="981"/>
      <c r="F565" s="981"/>
    </row>
    <row r="566" spans="1:7">
      <c r="A566" s="23"/>
      <c r="B566" s="712"/>
      <c r="D566" s="981"/>
      <c r="E566" s="981"/>
      <c r="F566" s="981"/>
    </row>
    <row r="567" spans="1:7">
      <c r="A567" s="23"/>
      <c r="B567" s="699"/>
      <c r="D567" s="495"/>
    </row>
    <row r="568" spans="1:7" s="706" customFormat="1">
      <c r="A568" s="712"/>
      <c r="B568" s="703" t="s">
        <v>329</v>
      </c>
      <c r="C568" s="713"/>
      <c r="D568" s="981" t="s">
        <v>1230</v>
      </c>
      <c r="E568" s="981"/>
      <c r="F568" s="981"/>
      <c r="G568" s="7"/>
    </row>
    <row r="569" spans="1:7" s="706" customFormat="1">
      <c r="A569" s="712"/>
      <c r="B569" s="712"/>
      <c r="C569" s="713"/>
      <c r="D569" s="981"/>
      <c r="E569" s="981"/>
      <c r="F569" s="981"/>
      <c r="G569" s="7"/>
    </row>
    <row r="570" spans="1:7" s="706" customFormat="1">
      <c r="A570" s="712"/>
      <c r="B570" s="712"/>
      <c r="C570" s="713"/>
      <c r="D570" s="981"/>
      <c r="E570" s="981"/>
      <c r="F570" s="981"/>
      <c r="G570" s="7"/>
    </row>
    <row r="571" spans="1:7" s="706" customFormat="1">
      <c r="A571" s="712"/>
      <c r="B571" s="712"/>
      <c r="C571" s="713"/>
      <c r="D571" s="981"/>
      <c r="E571" s="981"/>
      <c r="F571" s="981"/>
      <c r="G571" s="7"/>
    </row>
    <row r="572" spans="1:7" s="706" customFormat="1">
      <c r="A572" s="712"/>
      <c r="B572" s="712"/>
      <c r="C572" s="713"/>
      <c r="D572" s="718"/>
      <c r="E572" s="718"/>
      <c r="F572" s="718"/>
      <c r="G572" s="7"/>
    </row>
    <row r="573" spans="1:7">
      <c r="A573" s="23"/>
      <c r="B573" s="703" t="s">
        <v>329</v>
      </c>
      <c r="D573" s="981" t="s">
        <v>1231</v>
      </c>
      <c r="E573" s="981"/>
      <c r="F573" s="981"/>
    </row>
    <row r="574" spans="1:7">
      <c r="A574" s="23"/>
      <c r="B574" s="699"/>
      <c r="D574" s="981"/>
      <c r="E574" s="981"/>
      <c r="F574" s="981"/>
    </row>
    <row r="575" spans="1:7">
      <c r="A575" s="23"/>
      <c r="B575" s="699"/>
      <c r="D575" s="393"/>
    </row>
    <row r="576" spans="1:7" s="706" customFormat="1">
      <c r="A576" s="712"/>
      <c r="B576" s="703" t="s">
        <v>329</v>
      </c>
      <c r="C576" s="713"/>
      <c r="D576" s="1005" t="s">
        <v>1232</v>
      </c>
      <c r="E576" s="1005"/>
      <c r="F576" s="1005"/>
      <c r="G576" s="7"/>
    </row>
    <row r="577" spans="1:7" s="706" customFormat="1">
      <c r="A577" s="712"/>
      <c r="B577" s="712"/>
      <c r="C577" s="713"/>
      <c r="D577" s="1005"/>
      <c r="E577" s="1005"/>
      <c r="F577" s="1005"/>
      <c r="G577" s="7"/>
    </row>
    <row r="578" spans="1:7" s="706" customFormat="1">
      <c r="A578" s="712"/>
      <c r="B578" s="712"/>
      <c r="C578" s="713"/>
      <c r="D578" s="393"/>
      <c r="E578" s="7"/>
      <c r="F578" s="7"/>
      <c r="G578" s="7"/>
    </row>
    <row r="579" spans="1:7" ht="14.25">
      <c r="A579" s="270"/>
      <c r="B579" s="703" t="s">
        <v>329</v>
      </c>
      <c r="D579" s="1005" t="s">
        <v>979</v>
      </c>
      <c r="E579" s="1005"/>
      <c r="F579" s="1005"/>
    </row>
    <row r="580" spans="1:7" ht="14.25">
      <c r="A580" s="270"/>
      <c r="B580" s="270"/>
      <c r="D580" s="393"/>
    </row>
    <row r="581" spans="1:7" ht="14.25">
      <c r="A581" s="270"/>
      <c r="B581" s="703" t="s">
        <v>329</v>
      </c>
      <c r="D581" s="1005" t="s">
        <v>1233</v>
      </c>
      <c r="E581" s="1005"/>
      <c r="F581" s="1005"/>
    </row>
    <row r="582" spans="1:7" ht="14.25">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c r="A588" s="982" t="s">
        <v>1213</v>
      </c>
      <c r="B588" s="982"/>
      <c r="C588" s="982"/>
      <c r="D588" s="982"/>
      <c r="E588" s="982"/>
      <c r="F588" s="982"/>
      <c r="G588" s="982"/>
    </row>
    <row r="589" spans="1:7"/>
    <row r="590" spans="1:7">
      <c r="D590" s="999" t="s">
        <v>1313</v>
      </c>
      <c r="E590" s="999"/>
      <c r="F590" s="999"/>
    </row>
    <row r="591" spans="1:7">
      <c r="D591" s="1038" t="s">
        <v>1314</v>
      </c>
      <c r="E591" s="1038"/>
      <c r="F591" s="1038"/>
    </row>
    <row r="592" spans="1:7" s="743" customFormat="1">
      <c r="A592" s="729"/>
      <c r="B592" s="729"/>
      <c r="C592" s="729"/>
      <c r="D592" s="747"/>
      <c r="E592" s="746"/>
      <c r="F592" s="746"/>
      <c r="G592" s="7"/>
    </row>
    <row r="593" spans="1:7" s="39" customFormat="1" ht="14.25">
      <c r="A593" s="420"/>
      <c r="B593" s="703" t="s">
        <v>329</v>
      </c>
      <c r="C593" s="282"/>
      <c r="D593" s="1001" t="s">
        <v>1315</v>
      </c>
      <c r="E593" s="1001"/>
      <c r="F593" s="1001"/>
      <c r="G593" s="133"/>
    </row>
    <row r="594" spans="1:7">
      <c r="D594" s="1001"/>
      <c r="E594" s="1001"/>
      <c r="F594" s="1001"/>
    </row>
    <row r="595" spans="1:7">
      <c r="D595" s="1001"/>
      <c r="E595" s="1001"/>
      <c r="F595" s="1001"/>
    </row>
    <row r="596" spans="1:7"/>
    <row r="597" spans="1:7">
      <c r="A597" s="982" t="s">
        <v>1214</v>
      </c>
      <c r="B597" s="982"/>
      <c r="C597" s="982"/>
      <c r="D597" s="982"/>
      <c r="E597" s="982"/>
      <c r="F597" s="982"/>
      <c r="G597" s="982"/>
    </row>
    <row r="598" spans="1:7">
      <c r="A598" s="138"/>
      <c r="B598" s="138"/>
      <c r="G598" s="57"/>
    </row>
    <row r="599" spans="1:7">
      <c r="A599" s="266"/>
      <c r="B599" s="698"/>
      <c r="C599" s="264"/>
      <c r="D599" s="1039" t="s">
        <v>1316</v>
      </c>
      <c r="E599" s="1039"/>
      <c r="F599" s="1039"/>
      <c r="G599" s="57"/>
    </row>
    <row r="600" spans="1:7">
      <c r="A600" s="266"/>
      <c r="B600" s="698"/>
      <c r="C600" s="264"/>
      <c r="D600" s="1039"/>
      <c r="E600" s="1039"/>
      <c r="F600" s="1039"/>
      <c r="G600" s="57"/>
    </row>
    <row r="601" spans="1:7">
      <c r="C601" s="269"/>
      <c r="D601" s="1038" t="s">
        <v>1317</v>
      </c>
      <c r="E601" s="1038"/>
      <c r="F601" s="1038"/>
      <c r="G601" s="57"/>
    </row>
    <row r="602" spans="1:7" s="743" customFormat="1">
      <c r="A602" s="729"/>
      <c r="B602" s="729"/>
      <c r="C602" s="744"/>
      <c r="D602" s="748"/>
      <c r="E602" s="748"/>
      <c r="F602" s="748"/>
      <c r="G602" s="57"/>
    </row>
    <row r="603" spans="1:7">
      <c r="A603" s="23"/>
      <c r="B603" s="703" t="s">
        <v>329</v>
      </c>
      <c r="D603" s="1038" t="s">
        <v>467</v>
      </c>
      <c r="E603" s="1038"/>
      <c r="F603" s="1038"/>
      <c r="G603" s="57"/>
    </row>
    <row r="604" spans="1:7">
      <c r="C604" s="277"/>
      <c r="E604" s="12"/>
      <c r="G604" s="57"/>
    </row>
    <row r="605" spans="1:7">
      <c r="A605" s="23"/>
      <c r="B605" s="703" t="s">
        <v>329</v>
      </c>
      <c r="D605" s="998" t="s">
        <v>1318</v>
      </c>
      <c r="E605" s="998"/>
      <c r="F605" s="998"/>
      <c r="G605" s="57"/>
    </row>
    <row r="606" spans="1:7">
      <c r="D606" s="998"/>
      <c r="E606" s="998"/>
      <c r="F606" s="998"/>
      <c r="G606" s="57"/>
    </row>
    <row r="607" spans="1:7">
      <c r="D607" s="12"/>
      <c r="G607" s="57"/>
    </row>
    <row r="608" spans="1:7">
      <c r="B608" s="703" t="s">
        <v>329</v>
      </c>
      <c r="D608" s="998" t="s">
        <v>1319</v>
      </c>
      <c r="E608" s="998"/>
      <c r="F608" s="998"/>
      <c r="G608" s="57"/>
    </row>
    <row r="609" spans="1:7">
      <c r="C609" s="277"/>
      <c r="D609" s="998"/>
      <c r="E609" s="998"/>
      <c r="F609" s="998"/>
      <c r="G609" s="57"/>
    </row>
    <row r="610" spans="1:7">
      <c r="C610" s="277"/>
      <c r="G610" s="57"/>
    </row>
    <row r="611" spans="1:7">
      <c r="B611" s="703" t="s">
        <v>329</v>
      </c>
      <c r="C611" s="277"/>
      <c r="D611" s="998" t="s">
        <v>1320</v>
      </c>
      <c r="E611" s="998"/>
      <c r="F611" s="998"/>
      <c r="G611" s="57"/>
    </row>
    <row r="612" spans="1:7">
      <c r="C612" s="277"/>
      <c r="D612" s="998"/>
      <c r="E612" s="998"/>
      <c r="F612" s="998"/>
      <c r="G612" s="57"/>
    </row>
    <row r="613" spans="1:7">
      <c r="C613" s="277"/>
      <c r="G613" s="57"/>
    </row>
    <row r="614" spans="1:7">
      <c r="A614" s="982" t="s">
        <v>1215</v>
      </c>
      <c r="B614" s="982"/>
      <c r="C614" s="982"/>
      <c r="D614" s="982"/>
      <c r="E614" s="982"/>
      <c r="F614" s="982"/>
      <c r="G614" s="982"/>
    </row>
    <row r="615" spans="1:7">
      <c r="A615" s="276"/>
      <c r="B615" s="276"/>
      <c r="C615" s="276"/>
      <c r="G615" s="57"/>
    </row>
    <row r="616" spans="1:7">
      <c r="C616" s="23"/>
      <c r="D616" s="999" t="s">
        <v>1321</v>
      </c>
      <c r="E616" s="999"/>
      <c r="F616" s="999"/>
      <c r="G616" s="57"/>
    </row>
    <row r="617" spans="1:7">
      <c r="A617" s="23"/>
      <c r="B617" s="699"/>
      <c r="C617" s="274"/>
      <c r="D617" s="50"/>
      <c r="G617" s="57"/>
    </row>
    <row r="618" spans="1:7" ht="14.25">
      <c r="A618" s="270"/>
      <c r="B618" s="703" t="s">
        <v>329</v>
      </c>
      <c r="C618" s="274"/>
      <c r="D618" s="1000" t="s">
        <v>1322</v>
      </c>
      <c r="E618" s="1000"/>
      <c r="F618" s="1000"/>
      <c r="G618" s="57"/>
    </row>
    <row r="619" spans="1:7">
      <c r="C619" s="274"/>
      <c r="D619" s="1000"/>
      <c r="E619" s="1000"/>
      <c r="F619" s="1000"/>
      <c r="G619" s="57"/>
    </row>
    <row r="620" spans="1:7">
      <c r="C620" s="274"/>
      <c r="D620" s="1000"/>
      <c r="E620" s="1000"/>
      <c r="F620" s="1000"/>
      <c r="G620" s="57"/>
    </row>
    <row r="621" spans="1:7">
      <c r="C621" s="274"/>
      <c r="D621" s="1000"/>
      <c r="E621" s="1000"/>
      <c r="F621" s="1000"/>
      <c r="G621" s="57"/>
    </row>
    <row r="622" spans="1:7">
      <c r="C622" s="274"/>
      <c r="D622" s="1000"/>
      <c r="E622" s="1000"/>
      <c r="F622" s="1000"/>
      <c r="G622" s="57"/>
    </row>
    <row r="623" spans="1:7">
      <c r="C623" s="274"/>
      <c r="D623" s="1000"/>
      <c r="E623" s="1000"/>
      <c r="F623" s="1000"/>
      <c r="G623" s="57"/>
    </row>
    <row r="624" spans="1:7" s="743" customFormat="1">
      <c r="A624" s="729"/>
      <c r="B624" s="729"/>
      <c r="C624" s="274"/>
      <c r="D624" s="749"/>
      <c r="E624" s="749"/>
      <c r="F624" s="749"/>
      <c r="G624" s="57"/>
    </row>
    <row r="625" spans="1:7" ht="14.25">
      <c r="A625" s="270"/>
      <c r="B625" s="703" t="s">
        <v>329</v>
      </c>
      <c r="C625" s="274"/>
      <c r="D625" s="1000" t="s">
        <v>1323</v>
      </c>
      <c r="E625" s="1000"/>
      <c r="F625" s="1000"/>
      <c r="G625" s="57"/>
    </row>
    <row r="626" spans="1:7">
      <c r="A626" s="275"/>
      <c r="B626" s="275"/>
      <c r="C626" s="275"/>
      <c r="D626" s="1000"/>
      <c r="E626" s="1000"/>
      <c r="F626" s="1000"/>
      <c r="G626" s="57"/>
    </row>
    <row r="627" spans="1:7">
      <c r="A627" s="275"/>
      <c r="B627" s="275"/>
      <c r="C627" s="275"/>
      <c r="D627" s="154"/>
      <c r="E627" s="150"/>
      <c r="F627" s="150"/>
      <c r="G627" s="57"/>
    </row>
    <row r="628" spans="1:7" ht="14.25">
      <c r="A628" s="270"/>
      <c r="B628" s="703" t="s">
        <v>329</v>
      </c>
      <c r="C628" s="275"/>
      <c r="D628" s="1001" t="s">
        <v>1324</v>
      </c>
      <c r="E628" s="1001"/>
      <c r="F628" s="1001"/>
      <c r="G628" s="57"/>
    </row>
    <row r="629" spans="1:7" ht="14.25">
      <c r="A629" s="270"/>
      <c r="B629" s="270"/>
      <c r="C629" s="275"/>
      <c r="D629" s="1001"/>
      <c r="E629" s="1001"/>
      <c r="F629" s="1001"/>
      <c r="G629" s="57"/>
    </row>
    <row r="630" spans="1:7" ht="14.25">
      <c r="A630" s="270"/>
      <c r="B630" s="270"/>
      <c r="C630" s="275"/>
      <c r="D630" s="1001"/>
      <c r="E630" s="1001"/>
      <c r="F630" s="1001"/>
      <c r="G630" s="57"/>
    </row>
    <row r="631" spans="1:7">
      <c r="A631" s="275"/>
      <c r="B631" s="275"/>
      <c r="C631" s="275"/>
      <c r="D631" s="1001"/>
      <c r="E631" s="1001"/>
      <c r="F631" s="1001"/>
      <c r="G631" s="57"/>
    </row>
    <row r="632" spans="1:7" s="743" customFormat="1">
      <c r="A632" s="275"/>
      <c r="B632" s="275"/>
      <c r="C632" s="275"/>
      <c r="D632" s="750"/>
      <c r="E632" s="750"/>
      <c r="F632" s="750"/>
      <c r="G632" s="57"/>
    </row>
    <row r="633" spans="1:7">
      <c r="A633" s="275"/>
      <c r="B633" s="703" t="s">
        <v>329</v>
      </c>
      <c r="C633" s="275"/>
      <c r="D633" s="1002" t="s">
        <v>1325</v>
      </c>
      <c r="E633" s="1002"/>
      <c r="F633" s="1002"/>
      <c r="G633" s="57"/>
    </row>
    <row r="634" spans="1:7">
      <c r="A634" s="275"/>
      <c r="B634" s="275"/>
      <c r="C634" s="275"/>
      <c r="D634" s="751"/>
      <c r="E634" s="751"/>
      <c r="F634" s="751"/>
      <c r="G634" s="57"/>
    </row>
    <row r="635" spans="1:7">
      <c r="A635" s="982" t="s">
        <v>1216</v>
      </c>
      <c r="B635" s="982"/>
      <c r="C635" s="982"/>
      <c r="D635" s="982"/>
      <c r="E635" s="982"/>
      <c r="F635" s="982"/>
      <c r="G635" s="982"/>
    </row>
    <row r="636" spans="1:7">
      <c r="A636" s="138"/>
      <c r="B636" s="138"/>
      <c r="C636" s="275"/>
      <c r="D636" s="150"/>
      <c r="E636" s="150"/>
      <c r="F636" s="150"/>
      <c r="G636" s="57"/>
    </row>
    <row r="637" spans="1:7">
      <c r="C637" s="276"/>
      <c r="D637" s="1003" t="s">
        <v>1375</v>
      </c>
      <c r="E637" s="1003"/>
      <c r="F637" s="1003"/>
      <c r="G637" s="57"/>
    </row>
    <row r="638" spans="1:7">
      <c r="A638" s="269"/>
      <c r="B638" s="269"/>
      <c r="C638" s="269"/>
      <c r="D638" s="1004" t="s">
        <v>1376</v>
      </c>
      <c r="E638" s="1004"/>
      <c r="F638" s="1004"/>
      <c r="G638" s="57"/>
    </row>
    <row r="639" spans="1:7" s="743" customFormat="1">
      <c r="A639" s="744"/>
      <c r="B639" s="744"/>
      <c r="C639" s="744"/>
      <c r="D639" s="758"/>
      <c r="E639" s="758"/>
      <c r="F639" s="758"/>
      <c r="G639" s="57"/>
    </row>
    <row r="640" spans="1:7" ht="14.45" customHeight="1">
      <c r="A640" s="270"/>
      <c r="B640" s="703" t="s">
        <v>329</v>
      </c>
      <c r="C640" s="275"/>
      <c r="D640" s="960" t="s">
        <v>1377</v>
      </c>
      <c r="E640" s="960"/>
      <c r="F640" s="960"/>
      <c r="G640" s="57"/>
    </row>
    <row r="641" spans="1:11" ht="14.25">
      <c r="A641" s="270"/>
      <c r="B641" s="270"/>
      <c r="C641" s="275"/>
      <c r="D641" s="960"/>
      <c r="E641" s="960"/>
      <c r="F641" s="960"/>
      <c r="G641" s="57"/>
    </row>
    <row r="642" spans="1:11" ht="14.25">
      <c r="A642" s="270"/>
      <c r="B642" s="270"/>
      <c r="C642" s="275"/>
      <c r="D642" s="960"/>
      <c r="E642" s="960"/>
      <c r="F642" s="960"/>
      <c r="G642" s="57"/>
    </row>
    <row r="643" spans="1:11" ht="14.25">
      <c r="A643" s="270"/>
      <c r="B643" s="270"/>
      <c r="C643" s="275"/>
      <c r="D643" s="960"/>
      <c r="E643" s="960"/>
      <c r="F643" s="960"/>
      <c r="G643" s="57"/>
    </row>
    <row r="644" spans="1:11" s="706" customFormat="1" ht="14.25">
      <c r="A644" s="270"/>
      <c r="B644" s="270"/>
      <c r="C644" s="275"/>
      <c r="D644" s="960"/>
      <c r="E644" s="960"/>
      <c r="F644" s="960"/>
      <c r="G644" s="57"/>
    </row>
    <row r="645" spans="1:11" s="743" customFormat="1" ht="14.25">
      <c r="A645" s="738"/>
      <c r="B645" s="738"/>
      <c r="C645" s="275"/>
      <c r="D645" s="760"/>
      <c r="E645" s="760"/>
      <c r="F645" s="760"/>
      <c r="G645" s="57"/>
    </row>
    <row r="646" spans="1:11" s="706" customFormat="1" ht="14.25">
      <c r="A646" s="270"/>
      <c r="B646" s="703" t="s">
        <v>329</v>
      </c>
      <c r="C646" s="275"/>
      <c r="D646" s="1021" t="s">
        <v>1227</v>
      </c>
      <c r="E646" s="1021"/>
      <c r="F646" s="1021"/>
      <c r="G646" s="57"/>
    </row>
    <row r="647" spans="1:11" s="706" customFormat="1" ht="14.25">
      <c r="A647" s="270"/>
      <c r="B647" s="270"/>
      <c r="C647" s="275"/>
      <c r="D647" s="1022" t="s">
        <v>1378</v>
      </c>
      <c r="E647" s="1022"/>
      <c r="F647" s="1022"/>
      <c r="G647" s="57"/>
    </row>
    <row r="648" spans="1:11" s="706" customFormat="1" ht="14.25">
      <c r="A648" s="270"/>
      <c r="B648" s="270"/>
      <c r="C648" s="275"/>
      <c r="D648" s="1022"/>
      <c r="E648" s="1022"/>
      <c r="F648" s="1022"/>
      <c r="G648" s="57"/>
    </row>
    <row r="649" spans="1:11" s="706" customFormat="1" ht="14.25">
      <c r="A649" s="270"/>
      <c r="B649" s="270"/>
      <c r="C649" s="275"/>
      <c r="D649" s="1022"/>
      <c r="E649" s="1022"/>
      <c r="F649" s="1022"/>
      <c r="G649" s="57"/>
    </row>
    <row r="650" spans="1:11" s="706" customFormat="1" ht="14.25">
      <c r="A650" s="270"/>
      <c r="B650" s="270"/>
      <c r="C650" s="275"/>
      <c r="D650" s="1022"/>
      <c r="E650" s="1022"/>
      <c r="F650" s="1022"/>
      <c r="G650" s="57"/>
    </row>
    <row r="651" spans="1:11" s="706" customFormat="1" ht="14.25">
      <c r="A651" s="270"/>
      <c r="B651" s="270"/>
      <c r="C651" s="275"/>
      <c r="D651" s="1022"/>
      <c r="E651" s="1022"/>
      <c r="F651" s="1022"/>
      <c r="G651" s="57"/>
    </row>
    <row r="652" spans="1:11" s="706" customFormat="1" ht="14.25">
      <c r="A652" s="270"/>
      <c r="B652" s="270"/>
      <c r="C652" s="275"/>
      <c r="D652" s="1023" t="s">
        <v>1379</v>
      </c>
      <c r="E652" s="1023"/>
      <c r="F652" s="1023"/>
      <c r="G652" s="57"/>
    </row>
    <row r="653" spans="1:11">
      <c r="A653" s="275"/>
      <c r="B653" s="275"/>
      <c r="C653" s="275"/>
      <c r="D653" s="150"/>
      <c r="E653" s="150"/>
      <c r="F653" s="150"/>
      <c r="G653" s="57"/>
    </row>
    <row r="654" spans="1:11">
      <c r="A654" s="982" t="s">
        <v>1217</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5" t="s">
        <v>106</v>
      </c>
      <c r="E656" s="985"/>
      <c r="F656" s="985"/>
      <c r="G656" s="57"/>
      <c r="H656" s="278"/>
      <c r="I656" s="278"/>
      <c r="J656" s="278"/>
      <c r="K656" s="278"/>
    </row>
    <row r="657" spans="1:11">
      <c r="A657" s="276"/>
      <c r="B657" s="276"/>
      <c r="C657" s="276"/>
      <c r="D657" s="985" t="s">
        <v>130</v>
      </c>
      <c r="E657" s="985"/>
      <c r="F657" s="985"/>
      <c r="G657" s="57"/>
      <c r="H657" s="278"/>
      <c r="I657" s="278"/>
      <c r="J657" s="278"/>
      <c r="K657" s="278"/>
    </row>
    <row r="658" spans="1:11">
      <c r="A658" s="269"/>
      <c r="B658" s="269"/>
      <c r="C658" s="269"/>
      <c r="D658" s="975" t="s">
        <v>1253</v>
      </c>
      <c r="E658" s="975"/>
      <c r="F658" s="975"/>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5" t="s">
        <v>980</v>
      </c>
      <c r="E660" s="975"/>
      <c r="F660" s="975"/>
      <c r="G660" s="57"/>
      <c r="H660" s="278"/>
      <c r="I660" s="278"/>
      <c r="J660" s="278"/>
      <c r="K660" s="278"/>
    </row>
    <row r="661" spans="1:11">
      <c r="A661" s="269"/>
      <c r="B661" s="269"/>
      <c r="C661" s="269"/>
      <c r="D661" s="975" t="s">
        <v>991</v>
      </c>
      <c r="E661" s="975"/>
      <c r="F661" s="975"/>
      <c r="G661" s="57"/>
      <c r="H661" s="278"/>
      <c r="I661" s="278"/>
      <c r="J661" s="278"/>
      <c r="K661" s="278"/>
    </row>
    <row r="662" spans="1:11">
      <c r="A662" s="269"/>
      <c r="B662" s="269"/>
      <c r="C662" s="269"/>
      <c r="D662" s="6"/>
      <c r="E662" s="971" t="s">
        <v>1254</v>
      </c>
      <c r="F662" s="971"/>
      <c r="G662" s="57"/>
      <c r="H662" s="278"/>
      <c r="I662" s="278"/>
      <c r="J662" s="278"/>
      <c r="K662" s="278"/>
    </row>
    <row r="663" spans="1:11">
      <c r="A663" s="269"/>
      <c r="B663" s="269"/>
      <c r="C663" s="269"/>
      <c r="D663" s="6"/>
      <c r="E663" s="971"/>
      <c r="F663" s="971"/>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2" t="s">
        <v>1255</v>
      </c>
      <c r="E665" s="962"/>
      <c r="F665" s="962"/>
      <c r="G665" s="57"/>
      <c r="H665" s="278"/>
      <c r="I665" s="278"/>
      <c r="J665" s="278"/>
      <c r="K665" s="278"/>
    </row>
    <row r="666" spans="1:11">
      <c r="A666" s="23"/>
      <c r="B666" s="699"/>
      <c r="C666" s="269"/>
      <c r="D666" s="962"/>
      <c r="E666" s="962"/>
      <c r="F666" s="962"/>
      <c r="G666" s="57"/>
      <c r="H666" s="278"/>
      <c r="I666" s="278"/>
      <c r="J666" s="278"/>
      <c r="K666" s="278"/>
    </row>
    <row r="667" spans="1:11">
      <c r="A667" s="269"/>
      <c r="B667" s="269"/>
      <c r="C667" s="269"/>
      <c r="D667" s="962"/>
      <c r="E667" s="962"/>
      <c r="F667" s="962"/>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5" t="s">
        <v>1021</v>
      </c>
      <c r="E669" s="975"/>
      <c r="F669" s="975"/>
      <c r="G669" s="57"/>
      <c r="H669" s="278"/>
      <c r="I669" s="278"/>
      <c r="J669" s="278"/>
      <c r="K669" s="278"/>
    </row>
    <row r="670" spans="1:11" ht="14.25">
      <c r="A670" s="270"/>
      <c r="B670" s="270"/>
      <c r="C670" s="269"/>
      <c r="D670" s="975" t="s">
        <v>991</v>
      </c>
      <c r="E670" s="975"/>
      <c r="F670" s="975"/>
      <c r="G670" s="57"/>
      <c r="H670" s="278"/>
      <c r="I670" s="278"/>
      <c r="J670" s="278"/>
      <c r="K670" s="278"/>
    </row>
    <row r="671" spans="1:11">
      <c r="A671" s="269"/>
      <c r="B671" s="269"/>
      <c r="C671" s="269"/>
      <c r="D671" s="6"/>
      <c r="E671" s="993" t="s">
        <v>1256</v>
      </c>
      <c r="F671" s="993"/>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7" t="s">
        <v>1266</v>
      </c>
      <c r="E673" s="997"/>
      <c r="F673" s="997"/>
      <c r="G673" s="57"/>
      <c r="H673" s="278"/>
      <c r="I673" s="278"/>
      <c r="J673" s="278"/>
      <c r="K673" s="278"/>
    </row>
    <row r="674" spans="1:11">
      <c r="A674" s="269"/>
      <c r="B674" s="269"/>
      <c r="C674" s="269"/>
      <c r="D674" s="997"/>
      <c r="E674" s="997"/>
      <c r="F674" s="997"/>
      <c r="G674" s="57"/>
      <c r="H674" s="278"/>
      <c r="I674" s="278"/>
      <c r="J674" s="278"/>
      <c r="K674" s="278"/>
    </row>
    <row r="675" spans="1:11">
      <c r="A675" s="269"/>
      <c r="B675" s="269"/>
      <c r="C675" s="269"/>
      <c r="D675" s="997"/>
      <c r="E675" s="997"/>
      <c r="F675" s="997"/>
      <c r="G675" s="57"/>
      <c r="H675" s="278"/>
      <c r="I675" s="278"/>
      <c r="J675" s="278"/>
      <c r="K675" s="278"/>
    </row>
    <row r="676" spans="1:11">
      <c r="A676" s="269"/>
      <c r="B676" s="269"/>
      <c r="C676" s="269"/>
      <c r="D676" s="997"/>
      <c r="E676" s="997"/>
      <c r="F676" s="997"/>
      <c r="G676" s="57"/>
      <c r="H676" s="278"/>
      <c r="I676" s="278"/>
      <c r="J676" s="278"/>
      <c r="K676" s="278"/>
    </row>
    <row r="677" spans="1:11">
      <c r="A677" s="269"/>
      <c r="B677" s="269"/>
      <c r="C677" s="269"/>
      <c r="D677" s="997"/>
      <c r="E677" s="997"/>
      <c r="F677" s="997"/>
      <c r="G677" s="57"/>
      <c r="H677" s="278"/>
      <c r="I677" s="278"/>
      <c r="J677" s="278"/>
      <c r="K677" s="278"/>
    </row>
    <row r="678" spans="1:11" s="39" customFormat="1">
      <c r="A678" s="504"/>
      <c r="B678" s="504"/>
      <c r="C678" s="504"/>
      <c r="D678" s="997"/>
      <c r="E678" s="997"/>
      <c r="F678" s="997"/>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7" t="s">
        <v>1257</v>
      </c>
      <c r="E680" s="997"/>
      <c r="F680" s="997"/>
      <c r="G680" s="57"/>
      <c r="H680" s="278"/>
      <c r="I680" s="278"/>
      <c r="J680" s="278"/>
      <c r="K680" s="278"/>
    </row>
    <row r="681" spans="1:11">
      <c r="A681" s="269"/>
      <c r="B681" s="269"/>
      <c r="C681" s="269"/>
      <c r="D681" s="997"/>
      <c r="E681" s="997"/>
      <c r="F681" s="997"/>
      <c r="G681" s="57"/>
      <c r="H681" s="278"/>
      <c r="I681" s="278"/>
      <c r="J681" s="278"/>
      <c r="K681" s="278"/>
    </row>
    <row r="682" spans="1:11">
      <c r="A682" s="269"/>
      <c r="B682" s="269"/>
      <c r="C682" s="269"/>
      <c r="D682" s="997"/>
      <c r="E682" s="997"/>
      <c r="F682" s="997"/>
      <c r="G682" s="57"/>
      <c r="H682" s="278"/>
      <c r="I682" s="278"/>
      <c r="J682" s="278"/>
      <c r="K682" s="278"/>
    </row>
    <row r="683" spans="1:11" ht="15" customHeight="1">
      <c r="A683" s="269"/>
      <c r="B683" s="269"/>
      <c r="C683" s="269"/>
      <c r="D683" s="997"/>
      <c r="E683" s="997"/>
      <c r="F683" s="997"/>
      <c r="G683" s="57"/>
      <c r="H683" s="278"/>
      <c r="I683" s="278"/>
      <c r="J683" s="278"/>
      <c r="K683" s="278"/>
    </row>
    <row r="684" spans="1:11" ht="15" customHeight="1">
      <c r="A684" s="269"/>
      <c r="B684" s="269"/>
      <c r="C684" s="269"/>
      <c r="D684" s="997"/>
      <c r="E684" s="997"/>
      <c r="F684" s="997"/>
      <c r="G684" s="57"/>
      <c r="H684" s="278"/>
      <c r="I684" s="278"/>
      <c r="J684" s="278"/>
      <c r="K684" s="278"/>
    </row>
    <row r="685" spans="1:11">
      <c r="A685" s="269"/>
      <c r="B685" s="269"/>
      <c r="C685" s="269"/>
      <c r="D685" s="997"/>
      <c r="E685" s="997"/>
      <c r="F685" s="997"/>
      <c r="G685" s="57"/>
      <c r="H685" s="278"/>
      <c r="I685" s="278"/>
      <c r="J685" s="278"/>
      <c r="K685" s="278"/>
    </row>
    <row r="686" spans="1:11">
      <c r="A686" s="269"/>
      <c r="B686" s="269"/>
      <c r="C686" s="269"/>
      <c r="D686" s="997"/>
      <c r="E686" s="997"/>
      <c r="F686" s="997"/>
      <c r="G686" s="57"/>
      <c r="H686" s="278"/>
      <c r="I686" s="278"/>
      <c r="J686" s="278"/>
      <c r="K686" s="278"/>
    </row>
    <row r="687" spans="1:11">
      <c r="A687" s="269"/>
      <c r="B687" s="269"/>
      <c r="C687" s="269"/>
      <c r="D687" s="997"/>
      <c r="E687" s="997"/>
      <c r="F687" s="997"/>
      <c r="G687" s="57"/>
      <c r="H687" s="278"/>
      <c r="I687" s="278"/>
      <c r="J687" s="278"/>
      <c r="K687" s="278"/>
    </row>
    <row r="688" spans="1:11" ht="15" customHeight="1">
      <c r="A688" s="269"/>
      <c r="B688" s="269"/>
      <c r="C688" s="269"/>
      <c r="D688" s="997"/>
      <c r="E688" s="997"/>
      <c r="F688" s="997"/>
      <c r="G688" s="57"/>
      <c r="H688" s="278"/>
      <c r="I688" s="278"/>
      <c r="J688" s="278"/>
      <c r="K688" s="278"/>
    </row>
    <row r="689" spans="1:11">
      <c r="A689" s="269"/>
      <c r="B689" s="269"/>
      <c r="C689" s="269"/>
      <c r="D689" s="997"/>
      <c r="E689" s="997"/>
      <c r="F689" s="997"/>
      <c r="G689" s="57"/>
      <c r="H689" s="278"/>
      <c r="I689" s="278"/>
      <c r="J689" s="278"/>
      <c r="K689" s="278"/>
    </row>
    <row r="690" spans="1:11">
      <c r="A690" s="269"/>
      <c r="B690" s="269"/>
      <c r="C690" s="269"/>
      <c r="D690" s="997"/>
      <c r="E690" s="997"/>
      <c r="F690" s="997"/>
      <c r="G690" s="57"/>
      <c r="H690" s="278"/>
      <c r="I690" s="278"/>
      <c r="J690" s="278"/>
      <c r="K690" s="278"/>
    </row>
    <row r="691" spans="1:11">
      <c r="A691" s="269"/>
      <c r="B691" s="269"/>
      <c r="C691" s="269"/>
      <c r="D691" s="997"/>
      <c r="E691" s="997"/>
      <c r="F691" s="997"/>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7" t="s">
        <v>1267</v>
      </c>
      <c r="E693" s="997"/>
      <c r="F693" s="997"/>
      <c r="G693" s="57"/>
      <c r="H693" s="278"/>
      <c r="I693" s="278"/>
      <c r="J693" s="278"/>
      <c r="K693" s="278"/>
    </row>
    <row r="694" spans="1:11">
      <c r="A694" s="269"/>
      <c r="B694" s="269"/>
      <c r="C694" s="269"/>
      <c r="D694" s="997"/>
      <c r="E694" s="997"/>
      <c r="F694" s="997"/>
      <c r="G694" s="57"/>
      <c r="H694" s="278"/>
      <c r="I694" s="278"/>
      <c r="J694" s="278"/>
      <c r="K694" s="278"/>
    </row>
    <row r="695" spans="1:11">
      <c r="A695" s="269"/>
      <c r="B695" s="269"/>
      <c r="C695" s="269"/>
      <c r="D695" s="997"/>
      <c r="E695" s="997"/>
      <c r="F695" s="997"/>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7" t="s">
        <v>1264</v>
      </c>
      <c r="E697" s="997"/>
      <c r="F697" s="997"/>
      <c r="G697" s="57"/>
      <c r="H697" s="278"/>
      <c r="I697" s="278"/>
      <c r="J697" s="278"/>
      <c r="K697" s="278"/>
    </row>
    <row r="698" spans="1:11" s="706" customFormat="1">
      <c r="A698" s="269"/>
      <c r="B698" s="269"/>
      <c r="C698" s="269"/>
      <c r="D698" s="997"/>
      <c r="E698" s="997"/>
      <c r="F698" s="997"/>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7" t="s">
        <v>1265</v>
      </c>
      <c r="E700" s="997"/>
      <c r="F700" s="997"/>
      <c r="G700" s="57"/>
      <c r="H700" s="278"/>
      <c r="I700" s="278"/>
      <c r="J700" s="278"/>
      <c r="K700" s="278"/>
    </row>
    <row r="701" spans="1:11" s="706" customFormat="1">
      <c r="A701" s="269"/>
      <c r="B701" s="269"/>
      <c r="C701" s="269"/>
      <c r="D701" s="997"/>
      <c r="E701" s="997"/>
      <c r="F701" s="997"/>
      <c r="G701" s="57"/>
      <c r="H701" s="278"/>
      <c r="I701" s="278"/>
      <c r="J701" s="278"/>
      <c r="K701" s="278"/>
    </row>
    <row r="702" spans="1:11" s="706" customFormat="1">
      <c r="A702" s="269"/>
      <c r="B702" s="269"/>
      <c r="C702" s="269"/>
      <c r="D702" s="997"/>
      <c r="E702" s="997"/>
      <c r="F702" s="997"/>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7" t="s">
        <v>1258</v>
      </c>
      <c r="E704" s="997"/>
      <c r="F704" s="997"/>
      <c r="G704" s="57"/>
      <c r="H704" s="278"/>
      <c r="I704" s="278"/>
      <c r="J704" s="278"/>
      <c r="K704" s="278"/>
    </row>
    <row r="705" spans="1:11">
      <c r="A705" s="269"/>
      <c r="B705" s="269"/>
      <c r="C705" s="269"/>
      <c r="D705" s="997"/>
      <c r="E705" s="997"/>
      <c r="F705" s="997"/>
      <c r="G705" s="57"/>
      <c r="H705" s="278"/>
      <c r="I705" s="278"/>
      <c r="J705" s="278"/>
      <c r="K705" s="278"/>
    </row>
    <row r="706" spans="1:11">
      <c r="A706" s="269"/>
      <c r="B706" s="269"/>
      <c r="C706" s="269"/>
      <c r="D706" s="997"/>
      <c r="E706" s="997"/>
      <c r="F706" s="997"/>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7" t="s">
        <v>1259</v>
      </c>
      <c r="E708" s="997"/>
      <c r="F708" s="997"/>
      <c r="G708" s="57"/>
      <c r="H708" s="278"/>
      <c r="I708" s="278"/>
      <c r="J708" s="278"/>
      <c r="K708" s="278"/>
    </row>
    <row r="709" spans="1:11">
      <c r="A709" s="269"/>
      <c r="B709" s="269"/>
      <c r="C709" s="269"/>
      <c r="D709" s="997"/>
      <c r="E709" s="997"/>
      <c r="F709" s="997"/>
      <c r="G709" s="57"/>
      <c r="H709" s="278"/>
      <c r="I709" s="278"/>
      <c r="J709" s="278"/>
      <c r="K709" s="278"/>
    </row>
    <row r="710" spans="1:11">
      <c r="A710" s="269"/>
      <c r="B710" s="269"/>
      <c r="C710" s="269"/>
      <c r="D710" s="997"/>
      <c r="E710" s="997"/>
      <c r="F710" s="997"/>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2" t="s">
        <v>1260</v>
      </c>
      <c r="E712" s="962"/>
      <c r="F712" s="962"/>
      <c r="G712" s="57"/>
      <c r="H712" s="278"/>
      <c r="I712" s="278"/>
      <c r="J712" s="278"/>
      <c r="K712" s="278"/>
    </row>
    <row r="713" spans="1:11">
      <c r="A713" s="269"/>
      <c r="B713" s="269"/>
      <c r="C713" s="269"/>
      <c r="D713" s="962"/>
      <c r="E713" s="962"/>
      <c r="F713" s="962"/>
      <c r="G713" s="57"/>
      <c r="H713" s="278"/>
      <c r="I713" s="278"/>
      <c r="J713" s="278"/>
      <c r="K713" s="278"/>
    </row>
    <row r="714" spans="1:11">
      <c r="A714" s="269"/>
      <c r="B714" s="269"/>
      <c r="C714" s="269"/>
      <c r="D714" s="962"/>
      <c r="E714" s="962"/>
      <c r="F714" s="962"/>
      <c r="G714" s="57"/>
      <c r="H714" s="278"/>
      <c r="I714" s="278"/>
      <c r="J714" s="278"/>
      <c r="K714" s="278"/>
    </row>
    <row r="715" spans="1:11">
      <c r="A715" s="269"/>
      <c r="B715" s="269"/>
      <c r="C715" s="269"/>
      <c r="D715" s="962"/>
      <c r="E715" s="962"/>
      <c r="F715" s="962"/>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7" t="s">
        <v>1393</v>
      </c>
      <c r="E717" s="997"/>
      <c r="F717" s="997"/>
      <c r="G717" s="57"/>
      <c r="H717" s="278"/>
      <c r="I717" s="278"/>
      <c r="J717" s="278"/>
      <c r="K717" s="278"/>
    </row>
    <row r="718" spans="1:11">
      <c r="A718" s="269"/>
      <c r="B718" s="269"/>
      <c r="C718" s="269"/>
      <c r="D718" s="997"/>
      <c r="E718" s="997"/>
      <c r="F718" s="997"/>
      <c r="G718" s="57"/>
      <c r="H718" s="278"/>
      <c r="I718" s="278"/>
      <c r="J718" s="278"/>
      <c r="K718" s="278"/>
    </row>
    <row r="719" spans="1:11">
      <c r="A719" s="269"/>
      <c r="B719" s="269"/>
      <c r="C719" s="269"/>
      <c r="D719" s="997"/>
      <c r="E719" s="997"/>
      <c r="F719" s="997"/>
      <c r="G719" s="57"/>
      <c r="H719" s="278"/>
      <c r="I719" s="278"/>
      <c r="J719" s="278"/>
      <c r="K719" s="278"/>
    </row>
    <row r="720" spans="1:11">
      <c r="A720" s="269"/>
      <c r="B720" s="269"/>
      <c r="C720" s="269"/>
      <c r="D720" s="997"/>
      <c r="E720" s="997"/>
      <c r="F720" s="997"/>
      <c r="G720" s="57"/>
      <c r="H720" s="278"/>
      <c r="I720" s="278"/>
      <c r="J720" s="278"/>
      <c r="K720" s="278"/>
    </row>
    <row r="721" spans="1:11">
      <c r="A721" s="269"/>
      <c r="B721" s="269"/>
      <c r="C721" s="269"/>
      <c r="D721" s="997"/>
      <c r="E721" s="997"/>
      <c r="F721" s="997"/>
      <c r="G721" s="57"/>
      <c r="H721" s="278"/>
      <c r="I721" s="278"/>
      <c r="J721" s="278"/>
      <c r="K721" s="278"/>
    </row>
    <row r="722" spans="1:11">
      <c r="A722" s="269"/>
      <c r="B722" s="269"/>
      <c r="C722" s="269"/>
      <c r="D722" s="997"/>
      <c r="E722" s="997"/>
      <c r="F722" s="997"/>
      <c r="G722" s="57"/>
      <c r="H722" s="278"/>
      <c r="I722" s="278"/>
      <c r="J722" s="278"/>
      <c r="K722" s="278"/>
    </row>
    <row r="723" spans="1:11">
      <c r="A723" s="269"/>
      <c r="B723" s="269"/>
      <c r="C723" s="269"/>
      <c r="D723" s="997"/>
      <c r="E723" s="997"/>
      <c r="F723" s="997"/>
      <c r="G723" s="57"/>
      <c r="H723" s="278"/>
      <c r="I723" s="278"/>
      <c r="J723" s="278"/>
      <c r="K723" s="278"/>
    </row>
    <row r="724" spans="1:11">
      <c r="A724" s="269"/>
      <c r="B724" s="269"/>
      <c r="C724" s="269"/>
      <c r="D724" s="1030" t="s">
        <v>1261</v>
      </c>
      <c r="E724" s="1030"/>
      <c r="F724" s="1030"/>
      <c r="G724" s="57"/>
      <c r="H724" s="278"/>
      <c r="I724" s="278"/>
      <c r="J724" s="278"/>
      <c r="K724" s="278"/>
    </row>
    <row r="725" spans="1:11" s="706" customFormat="1">
      <c r="A725" s="269"/>
      <c r="B725" s="269"/>
      <c r="C725" s="269"/>
      <c r="D725" s="557"/>
      <c r="E725" s="7"/>
      <c r="F725" s="7"/>
      <c r="G725" s="57"/>
      <c r="H725" s="278"/>
      <c r="I725" s="278"/>
      <c r="J725" s="278"/>
      <c r="K725" s="278"/>
    </row>
    <row r="726" spans="1:11">
      <c r="A726" s="1032" t="s">
        <v>1218</v>
      </c>
      <c r="B726" s="1032"/>
      <c r="C726" s="1032"/>
      <c r="D726" s="1032"/>
      <c r="E726" s="1032"/>
      <c r="F726" s="1032"/>
      <c r="G726" s="1032"/>
      <c r="H726" s="278"/>
      <c r="I726" s="278"/>
      <c r="J726" s="278"/>
      <c r="K726" s="278"/>
    </row>
    <row r="727" spans="1:11">
      <c r="A727" s="269"/>
      <c r="B727" s="269"/>
      <c r="C727" s="269"/>
      <c r="D727" s="272"/>
      <c r="G727" s="280"/>
      <c r="H727" s="278"/>
      <c r="I727" s="278"/>
      <c r="J727" s="278"/>
      <c r="K727" s="278"/>
    </row>
    <row r="728" spans="1:11" ht="13.15" customHeight="1">
      <c r="C728" s="269"/>
      <c r="D728" s="1011" t="s">
        <v>1234</v>
      </c>
      <c r="E728" s="1011"/>
      <c r="F728" s="1011"/>
      <c r="G728" s="280"/>
      <c r="H728" s="278"/>
      <c r="I728" s="278"/>
      <c r="J728" s="278"/>
      <c r="K728" s="278"/>
    </row>
    <row r="729" spans="1:11">
      <c r="A729" s="269"/>
      <c r="B729" s="269"/>
      <c r="C729" s="269"/>
      <c r="D729" s="1028" t="s">
        <v>1235</v>
      </c>
      <c r="E729" s="1028"/>
      <c r="F729" s="1028"/>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2" t="s">
        <v>1236</v>
      </c>
      <c r="E731" s="962"/>
      <c r="F731" s="962"/>
      <c r="G731" s="280"/>
      <c r="H731" s="281"/>
      <c r="I731" s="281"/>
      <c r="J731" s="281"/>
      <c r="K731" s="281"/>
    </row>
    <row r="732" spans="1:11" s="39" customFormat="1" ht="10.5" customHeight="1">
      <c r="A732" s="135"/>
      <c r="B732" s="700"/>
      <c r="C732" s="135"/>
      <c r="D732" s="962"/>
      <c r="E732" s="962"/>
      <c r="F732" s="962"/>
      <c r="G732" s="280"/>
      <c r="H732" s="281"/>
      <c r="I732" s="281"/>
      <c r="J732" s="281"/>
      <c r="K732" s="281"/>
    </row>
    <row r="733" spans="1:11" s="39" customFormat="1">
      <c r="A733" s="135"/>
      <c r="B733" s="700"/>
      <c r="C733" s="135"/>
      <c r="D733" s="962"/>
      <c r="E733" s="962"/>
      <c r="F733" s="962"/>
      <c r="G733" s="280"/>
      <c r="H733" s="281"/>
      <c r="I733" s="281"/>
      <c r="J733" s="281"/>
      <c r="K733" s="281"/>
    </row>
    <row r="734" spans="1:11">
      <c r="D734" s="962"/>
      <c r="E734" s="962"/>
      <c r="F734" s="962"/>
      <c r="G734" s="280"/>
      <c r="H734" s="278"/>
      <c r="I734" s="278"/>
      <c r="J734" s="278"/>
      <c r="K734" s="278"/>
    </row>
    <row r="735" spans="1:11">
      <c r="A735" s="282"/>
      <c r="B735" s="282"/>
      <c r="C735" s="282"/>
      <c r="D735" s="962"/>
      <c r="E735" s="962"/>
      <c r="F735" s="962"/>
      <c r="G735" s="284"/>
      <c r="H735" s="278"/>
      <c r="I735" s="278"/>
      <c r="J735" s="278"/>
      <c r="K735" s="278"/>
    </row>
    <row r="736" spans="1:11" ht="15.6" customHeight="1">
      <c r="A736" s="282"/>
      <c r="B736" s="282"/>
      <c r="C736" s="282"/>
      <c r="D736" s="962"/>
      <c r="E736" s="962"/>
      <c r="F736" s="962"/>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3" t="s">
        <v>1237</v>
      </c>
      <c r="E738" s="963"/>
      <c r="F738" s="963"/>
      <c r="G738" s="321"/>
    </row>
    <row r="739" spans="1:11" s="426" customFormat="1">
      <c r="A739" s="425"/>
      <c r="B739" s="425"/>
      <c r="C739" s="425"/>
      <c r="D739" s="963"/>
      <c r="E739" s="963"/>
      <c r="F739" s="963"/>
      <c r="G739" s="321"/>
    </row>
    <row r="740" spans="1:11" s="426" customFormat="1">
      <c r="A740" s="425"/>
      <c r="B740" s="425"/>
      <c r="C740" s="425"/>
      <c r="D740" s="963"/>
      <c r="E740" s="963"/>
      <c r="F740" s="963"/>
      <c r="G740" s="321"/>
    </row>
    <row r="741" spans="1:11" s="426" customFormat="1">
      <c r="A741" s="425"/>
      <c r="B741" s="425"/>
      <c r="C741" s="425"/>
      <c r="D741" s="963"/>
      <c r="E741" s="963"/>
      <c r="F741" s="963"/>
      <c r="G741" s="321"/>
    </row>
    <row r="742" spans="1:11" s="426" customFormat="1">
      <c r="A742" s="425"/>
      <c r="B742" s="425"/>
      <c r="C742" s="425"/>
      <c r="D742" s="393"/>
      <c r="E742" s="321"/>
      <c r="F742" s="321"/>
      <c r="G742" s="321"/>
    </row>
    <row r="743" spans="1:11" s="426" customFormat="1" ht="14.25">
      <c r="A743" s="270"/>
      <c r="B743" s="703" t="s">
        <v>329</v>
      </c>
      <c r="C743" s="425"/>
      <c r="D743" s="1029" t="s">
        <v>1238</v>
      </c>
      <c r="E743" s="1029"/>
      <c r="F743" s="1029"/>
      <c r="G743" s="321"/>
    </row>
    <row r="744" spans="1:11" s="426" customFormat="1">
      <c r="A744" s="425"/>
      <c r="B744" s="425"/>
      <c r="C744" s="425"/>
      <c r="D744" s="1029"/>
      <c r="E744" s="1029"/>
      <c r="F744" s="1029"/>
      <c r="G744" s="321"/>
    </row>
    <row r="745" spans="1:11" s="426" customFormat="1">
      <c r="A745" s="425"/>
      <c r="B745" s="425"/>
      <c r="C745" s="425"/>
      <c r="D745" s="1029"/>
      <c r="E745" s="1029"/>
      <c r="F745" s="1029"/>
      <c r="G745" s="321"/>
    </row>
    <row r="746" spans="1:11">
      <c r="A746" s="282"/>
      <c r="B746" s="282"/>
      <c r="C746" s="282"/>
      <c r="D746" s="393"/>
      <c r="E746" s="283"/>
      <c r="F746" s="283"/>
      <c r="G746" s="284"/>
      <c r="H746" s="278"/>
      <c r="I746" s="278"/>
      <c r="J746" s="278"/>
      <c r="K746" s="278"/>
    </row>
    <row r="747" spans="1:11" ht="14.25">
      <c r="A747" s="270"/>
      <c r="B747" s="703" t="s">
        <v>329</v>
      </c>
      <c r="C747" s="282"/>
      <c r="D747" s="963" t="s">
        <v>1239</v>
      </c>
      <c r="E747" s="963"/>
      <c r="F747" s="963"/>
      <c r="G747" s="284"/>
      <c r="H747" s="278"/>
      <c r="I747" s="278"/>
      <c r="J747" s="278"/>
      <c r="K747" s="278"/>
    </row>
    <row r="748" spans="1:11">
      <c r="A748" s="282"/>
      <c r="B748" s="282"/>
      <c r="C748" s="282"/>
      <c r="D748" s="963"/>
      <c r="E748" s="963"/>
      <c r="F748" s="963"/>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3" t="s">
        <v>1240</v>
      </c>
      <c r="E750" s="963"/>
      <c r="F750" s="963"/>
      <c r="G750" s="284"/>
      <c r="H750" s="278"/>
      <c r="I750" s="278"/>
      <c r="J750" s="278"/>
      <c r="K750" s="278"/>
    </row>
    <row r="751" spans="1:11" s="706" customFormat="1">
      <c r="A751" s="282"/>
      <c r="B751" s="282"/>
      <c r="C751" s="282"/>
      <c r="D751" s="963"/>
      <c r="E751" s="963"/>
      <c r="F751" s="963"/>
      <c r="G751" s="284"/>
      <c r="H751" s="278"/>
      <c r="I751" s="278"/>
      <c r="J751" s="278"/>
      <c r="K751" s="278"/>
    </row>
    <row r="752" spans="1:11" s="706" customFormat="1">
      <c r="A752" s="282"/>
      <c r="B752" s="282"/>
      <c r="C752" s="282"/>
      <c r="D752" s="963"/>
      <c r="E752" s="963"/>
      <c r="F752" s="963"/>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4" t="s">
        <v>1241</v>
      </c>
      <c r="B754" s="1034"/>
      <c r="C754" s="1034"/>
      <c r="D754" s="1034"/>
      <c r="E754" s="1034"/>
      <c r="F754" s="1034"/>
      <c r="G754" s="1034"/>
    </row>
    <row r="755" spans="1:11">
      <c r="A755" s="269"/>
      <c r="B755" s="269"/>
      <c r="C755" s="269"/>
      <c r="D755" s="285"/>
      <c r="F755" s="150"/>
      <c r="G755" s="280"/>
    </row>
    <row r="756" spans="1:11">
      <c r="A756" s="282"/>
      <c r="B756" s="282"/>
      <c r="C756" s="459"/>
      <c r="D756" s="1035" t="s">
        <v>1225</v>
      </c>
      <c r="E756" s="1035"/>
      <c r="F756" s="1035"/>
      <c r="G756" s="280"/>
    </row>
    <row r="757" spans="1:11">
      <c r="A757" s="523"/>
      <c r="B757" s="523"/>
      <c r="C757" s="522"/>
      <c r="D757" s="1025" t="s">
        <v>1242</v>
      </c>
      <c r="E757" s="1025"/>
      <c r="F757" s="1025"/>
      <c r="G757" s="280"/>
    </row>
    <row r="758" spans="1:11">
      <c r="A758" s="282"/>
      <c r="B758" s="282"/>
      <c r="C758" s="459"/>
      <c r="D758" s="717"/>
      <c r="E758" s="717"/>
      <c r="F758" s="717"/>
      <c r="G758" s="280"/>
    </row>
    <row r="759" spans="1:11" ht="14.25">
      <c r="A759" s="270"/>
      <c r="B759" s="703" t="s">
        <v>329</v>
      </c>
      <c r="C759" s="459"/>
      <c r="D759" s="1026" t="s">
        <v>1103</v>
      </c>
      <c r="E759" s="1026"/>
      <c r="F759" s="1026"/>
      <c r="G759" s="280"/>
    </row>
    <row r="760" spans="1:11">
      <c r="A760" s="282"/>
      <c r="B760" s="282"/>
      <c r="C760" s="459"/>
      <c r="D760" s="716"/>
      <c r="E760" s="1027" t="s">
        <v>1226</v>
      </c>
      <c r="F760" s="1027"/>
      <c r="G760" s="280"/>
    </row>
    <row r="761" spans="1:11">
      <c r="A761" s="276"/>
      <c r="B761" s="276"/>
      <c r="C761" s="276"/>
      <c r="D761" s="138"/>
      <c r="F761" s="57"/>
      <c r="G761" s="280"/>
    </row>
    <row r="762" spans="1:11">
      <c r="A762" s="1031" t="s">
        <v>484</v>
      </c>
      <c r="B762" s="1031"/>
      <c r="C762" s="1031"/>
      <c r="D762" s="1031"/>
      <c r="E762" s="1031"/>
      <c r="F762" s="1031"/>
      <c r="G762" s="1031"/>
    </row>
    <row r="763" spans="1:11">
      <c r="A763" s="264"/>
      <c r="B763" s="697"/>
      <c r="C763" s="275"/>
      <c r="D763" s="280"/>
      <c r="E763" s="280"/>
      <c r="F763" s="280"/>
      <c r="G763" s="280"/>
    </row>
    <row r="764" spans="1:11">
      <c r="A764" s="138"/>
      <c r="B764" s="1033" t="s">
        <v>1102</v>
      </c>
      <c r="C764" s="1033"/>
      <c r="D764" s="1033"/>
      <c r="E764" s="1033"/>
      <c r="F764" s="1033"/>
      <c r="G764" s="280"/>
    </row>
    <row r="765" spans="1:11">
      <c r="A765" s="23"/>
      <c r="B765" s="699"/>
      <c r="G765" s="280"/>
    </row>
    <row r="766" spans="1:11">
      <c r="A766" s="1031" t="s">
        <v>485</v>
      </c>
      <c r="B766" s="1031"/>
      <c r="C766" s="1031"/>
      <c r="D766" s="1031"/>
      <c r="E766" s="1031"/>
      <c r="F766" s="1031"/>
      <c r="G766" s="1031"/>
    </row>
    <row r="767" spans="1:11">
      <c r="A767" s="264"/>
      <c r="B767" s="697"/>
      <c r="C767" s="264"/>
      <c r="D767" s="272"/>
      <c r="G767" s="280"/>
    </row>
    <row r="768" spans="1:11">
      <c r="A768" s="138"/>
      <c r="B768" s="977" t="s">
        <v>483</v>
      </c>
      <c r="C768" s="977"/>
      <c r="D768" s="977"/>
      <c r="E768" s="977"/>
      <c r="F768" s="977"/>
      <c r="G768" s="280"/>
    </row>
    <row r="769" spans="1:7" ht="14.25">
      <c r="A769" s="270"/>
      <c r="B769" s="270"/>
      <c r="D769" s="138"/>
      <c r="E769" s="138"/>
      <c r="F769" s="280"/>
      <c r="G769" s="280"/>
    </row>
    <row r="770" spans="1:7">
      <c r="A770" s="1031" t="s">
        <v>486</v>
      </c>
      <c r="B770" s="1031"/>
      <c r="C770" s="1031"/>
      <c r="D770" s="1031"/>
      <c r="E770" s="1031"/>
      <c r="F770" s="1031"/>
      <c r="G770" s="1031"/>
    </row>
    <row r="771" spans="1:7">
      <c r="C771" s="269"/>
      <c r="D771" s="268"/>
      <c r="E771" s="138"/>
      <c r="F771" s="280"/>
      <c r="G771" s="280"/>
    </row>
    <row r="772" spans="1:7">
      <c r="A772" s="138"/>
      <c r="B772" s="977" t="s">
        <v>483</v>
      </c>
      <c r="C772" s="977"/>
      <c r="D772" s="977"/>
      <c r="E772" s="977"/>
      <c r="F772" s="977"/>
      <c r="G772" s="280"/>
    </row>
    <row r="773" spans="1:7">
      <c r="A773" s="138"/>
      <c r="B773" s="138"/>
      <c r="C773" s="275"/>
      <c r="D773" s="280"/>
      <c r="E773" s="280"/>
      <c r="F773" s="280"/>
      <c r="G773" s="280"/>
    </row>
    <row r="774" spans="1:7">
      <c r="A774" s="1031" t="s">
        <v>487</v>
      </c>
      <c r="B774" s="1031"/>
      <c r="C774" s="1031"/>
      <c r="D774" s="1031"/>
      <c r="E774" s="1031"/>
      <c r="F774" s="1031"/>
      <c r="G774" s="1031"/>
    </row>
    <row r="775" spans="1:7">
      <c r="A775" s="138"/>
      <c r="B775" s="138"/>
    </row>
    <row r="776" spans="1:7">
      <c r="A776" s="138"/>
      <c r="B776" s="977" t="s">
        <v>483</v>
      </c>
      <c r="C776" s="977"/>
      <c r="D776" s="977"/>
      <c r="E776" s="977"/>
      <c r="F776" s="977"/>
    </row>
    <row r="777" spans="1:7">
      <c r="A777" s="275"/>
      <c r="B777" s="275"/>
      <c r="C777" s="275"/>
      <c r="D777" s="267"/>
      <c r="F777" s="280"/>
    </row>
    <row r="778" spans="1:7">
      <c r="A778" s="1031" t="s">
        <v>488</v>
      </c>
      <c r="B778" s="1031"/>
      <c r="C778" s="1031"/>
      <c r="D778" s="1031"/>
      <c r="E778" s="1031"/>
      <c r="F778" s="1031"/>
      <c r="G778" s="1031"/>
    </row>
    <row r="779" spans="1:7">
      <c r="A779" s="138"/>
      <c r="B779" s="138"/>
    </row>
    <row r="780" spans="1:7">
      <c r="A780" s="138"/>
      <c r="B780" s="977" t="s">
        <v>483</v>
      </c>
      <c r="C780" s="977"/>
      <c r="D780" s="977"/>
      <c r="E780" s="977"/>
      <c r="F780" s="977"/>
    </row>
    <row r="781" spans="1:7">
      <c r="A781" s="275"/>
      <c r="B781" s="275"/>
      <c r="C781" s="275"/>
      <c r="D781" s="267"/>
      <c r="F781" s="280"/>
    </row>
    <row r="782" spans="1:7">
      <c r="A782" s="1031" t="s">
        <v>489</v>
      </c>
      <c r="B782" s="1031"/>
      <c r="C782" s="1031"/>
      <c r="D782" s="1031"/>
      <c r="E782" s="1031"/>
      <c r="F782" s="1031"/>
      <c r="G782" s="1031"/>
    </row>
    <row r="783" spans="1:7">
      <c r="A783" s="138"/>
      <c r="B783" s="138"/>
    </row>
    <row r="784" spans="1:7">
      <c r="A784" s="138"/>
      <c r="B784" s="977" t="s">
        <v>483</v>
      </c>
      <c r="C784" s="977"/>
      <c r="D784" s="977"/>
      <c r="E784" s="977"/>
      <c r="F784" s="977"/>
    </row>
    <row r="785" spans="1:7">
      <c r="A785" s="274"/>
      <c r="B785" s="274"/>
      <c r="C785" s="274"/>
      <c r="D785" s="286"/>
      <c r="E785" s="57"/>
      <c r="F785" s="57"/>
      <c r="G785" s="57"/>
    </row>
    <row r="786" spans="1:7">
      <c r="A786" s="1031" t="s">
        <v>200</v>
      </c>
      <c r="B786" s="1031"/>
      <c r="C786" s="1031"/>
      <c r="D786" s="1031"/>
      <c r="E786" s="1031"/>
      <c r="F786" s="1031"/>
      <c r="G786" s="1031"/>
    </row>
    <row r="787" spans="1:7">
      <c r="A787" s="138"/>
      <c r="B787" s="138"/>
    </row>
    <row r="788" spans="1:7">
      <c r="A788" s="138"/>
      <c r="B788" s="977" t="s">
        <v>483</v>
      </c>
      <c r="C788" s="977"/>
      <c r="D788" s="977"/>
      <c r="E788" s="977"/>
      <c r="F788" s="977"/>
    </row>
    <row r="789" spans="1:7">
      <c r="A789" s="138"/>
      <c r="B789" s="138"/>
      <c r="D789" s="267"/>
    </row>
    <row r="790" spans="1:7">
      <c r="A790" s="1031" t="s">
        <v>967</v>
      </c>
      <c r="B790" s="1031"/>
      <c r="C790" s="1031"/>
      <c r="D790" s="1031"/>
      <c r="E790" s="1031"/>
      <c r="F790" s="1031"/>
      <c r="G790" s="1031"/>
    </row>
    <row r="791" spans="1:7">
      <c r="A791" s="138"/>
      <c r="B791" s="138"/>
    </row>
    <row r="792" spans="1:7">
      <c r="A792" s="138"/>
      <c r="B792" s="977" t="s">
        <v>483</v>
      </c>
      <c r="C792" s="977"/>
      <c r="D792" s="977"/>
      <c r="E792" s="977"/>
      <c r="F792" s="977"/>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6"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0" t="s">
        <v>1473</v>
      </c>
      <c r="B2" s="1041"/>
      <c r="C2" s="1041"/>
      <c r="D2" s="1041"/>
      <c r="E2" s="1041"/>
      <c r="F2" s="1041"/>
      <c r="G2" s="1041"/>
      <c r="H2" s="1041"/>
      <c r="I2" s="1041"/>
      <c r="J2" s="1041"/>
    </row>
    <row r="3" spans="1:10" ht="15.75">
      <c r="A3" s="1045" t="s">
        <v>698</v>
      </c>
      <c r="B3" s="1046"/>
      <c r="C3" s="1046"/>
      <c r="D3" s="1046"/>
      <c r="E3" s="1046"/>
      <c r="F3" s="1046"/>
      <c r="G3" s="1046"/>
      <c r="H3" s="1046"/>
      <c r="I3" s="1046"/>
      <c r="J3" s="1046"/>
    </row>
    <row r="4" spans="1:10" ht="15">
      <c r="A4" s="1047" t="s">
        <v>1559</v>
      </c>
      <c r="B4" s="1046"/>
      <c r="C4" s="1046"/>
      <c r="D4" s="1046"/>
      <c r="E4" s="1046"/>
      <c r="F4" s="1046"/>
      <c r="G4" s="1046"/>
      <c r="H4" s="1046"/>
      <c r="I4" s="1046"/>
      <c r="J4" s="1046"/>
    </row>
    <row r="5" spans="1:10" ht="12.75"/>
    <row r="6" spans="1:10" ht="12.75">
      <c r="A6" s="1042" t="s">
        <v>1598</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1434</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1528</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1436</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1437</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1438</v>
      </c>
      <c r="B75" s="1044"/>
      <c r="C75" s="1044"/>
      <c r="D75" s="1044"/>
      <c r="E75" s="1044"/>
      <c r="F75" s="1044"/>
      <c r="G75" s="1044"/>
      <c r="H75" s="1044"/>
      <c r="I75" s="1044"/>
    </row>
    <row r="76" spans="1:9" ht="12.75">
      <c r="A76" s="968" t="s">
        <v>1132</v>
      </c>
      <c r="B76" s="968"/>
      <c r="C76" s="968"/>
      <c r="D76" s="968"/>
      <c r="E76" s="968"/>
    </row>
    <row r="77" spans="1:9" ht="12.75">
      <c r="A77" s="968" t="s">
        <v>1439</v>
      </c>
      <c r="B77" s="968"/>
      <c r="C77" s="968"/>
      <c r="D77" s="968"/>
      <c r="E77" s="968"/>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7" t="s">
        <v>1560</v>
      </c>
      <c r="B2" s="1057"/>
      <c r="C2" s="1058"/>
      <c r="D2" s="1058"/>
      <c r="E2" s="1058"/>
      <c r="F2" s="1058"/>
      <c r="G2" s="1058"/>
    </row>
    <row r="3" spans="1:9">
      <c r="A3" s="1065" t="s">
        <v>1563</v>
      </c>
      <c r="B3" s="1065"/>
      <c r="C3" s="1066"/>
      <c r="D3" s="1066"/>
      <c r="E3" s="1066"/>
      <c r="F3" s="1066"/>
      <c r="G3" s="1066"/>
      <c r="I3" s="717" t="s">
        <v>1199</v>
      </c>
    </row>
    <row r="4" spans="1:9">
      <c r="A4" s="1061" t="s">
        <v>1562</v>
      </c>
      <c r="B4" s="1061"/>
      <c r="C4" s="1067"/>
      <c r="D4" s="1067"/>
      <c r="E4" s="1067"/>
      <c r="F4" s="1067"/>
      <c r="G4" s="1067"/>
      <c r="I4" s="717"/>
    </row>
    <row r="5" spans="1:9" s="816" customFormat="1">
      <c r="A5" s="1061"/>
      <c r="B5" s="1061"/>
      <c r="C5" s="1062"/>
      <c r="D5" s="1062"/>
      <c r="E5" s="1062"/>
      <c r="F5" s="1062"/>
      <c r="G5" s="1062"/>
      <c r="I5" s="717" t="s">
        <v>1200</v>
      </c>
    </row>
    <row r="6" spans="1:9" s="816" customFormat="1">
      <c r="A6" s="1059" t="s">
        <v>1295</v>
      </c>
      <c r="B6" s="1059"/>
      <c r="C6" s="1060"/>
      <c r="D6" s="1060"/>
      <c r="E6" s="1060"/>
      <c r="F6" s="1060"/>
      <c r="G6" s="1060"/>
    </row>
    <row r="7" spans="1:9" s="816" customFormat="1">
      <c r="A7" s="1059" t="s">
        <v>1296</v>
      </c>
      <c r="B7" s="1059"/>
      <c r="C7" s="1060"/>
      <c r="D7" s="1060"/>
      <c r="E7" s="1060"/>
      <c r="F7" s="1060"/>
      <c r="G7" s="1060"/>
    </row>
    <row r="8" spans="1:9">
      <c r="A8" s="817"/>
      <c r="B8" s="817"/>
      <c r="C8" s="818"/>
      <c r="D8" s="818"/>
      <c r="E8" s="818"/>
      <c r="F8" s="818"/>
    </row>
    <row r="9" spans="1:9">
      <c r="A9" s="1018" t="s">
        <v>1298</v>
      </c>
      <c r="B9" s="1018"/>
      <c r="C9" s="1018"/>
      <c r="D9" s="1018"/>
      <c r="E9" s="1018"/>
      <c r="F9" s="1018"/>
      <c r="G9" s="1018"/>
    </row>
    <row r="10" spans="1:9">
      <c r="A10" s="818"/>
      <c r="B10" s="818"/>
      <c r="E10" s="819"/>
    </row>
    <row r="11" spans="1:9" ht="13.7" customHeight="1">
      <c r="C11" s="818"/>
      <c r="D11" s="1084" t="s">
        <v>1297</v>
      </c>
      <c r="E11" s="1084"/>
      <c r="F11" s="1084"/>
    </row>
    <row r="12" spans="1:9">
      <c r="C12" s="818"/>
      <c r="D12" s="1084"/>
      <c r="E12" s="1084"/>
      <c r="F12" s="1084"/>
    </row>
    <row r="13" spans="1:9">
      <c r="A13" s="820"/>
      <c r="B13" s="820"/>
      <c r="C13" s="820"/>
      <c r="D13" s="1002" t="s">
        <v>1280</v>
      </c>
      <c r="E13" s="1002"/>
      <c r="F13" s="1002"/>
    </row>
    <row r="14" spans="1:9">
      <c r="A14" s="820"/>
      <c r="B14" s="820"/>
      <c r="C14" s="820"/>
      <c r="D14" s="821"/>
    </row>
    <row r="15" spans="1:9" ht="14.25">
      <c r="A15" s="822"/>
      <c r="B15" s="823" t="s">
        <v>329</v>
      </c>
      <c r="C15" s="824"/>
      <c r="D15" s="1000" t="s">
        <v>1281</v>
      </c>
      <c r="E15" s="1000"/>
      <c r="F15" s="1000"/>
    </row>
    <row r="16" spans="1:9">
      <c r="A16" s="820"/>
      <c r="B16" s="820"/>
      <c r="C16" s="824"/>
      <c r="D16" s="1000"/>
      <c r="E16" s="1000"/>
      <c r="F16" s="1000"/>
    </row>
    <row r="17" spans="1:7">
      <c r="A17" s="820"/>
      <c r="B17" s="820"/>
      <c r="C17" s="824"/>
      <c r="D17" s="1000"/>
      <c r="E17" s="1000"/>
      <c r="F17" s="1000"/>
    </row>
    <row r="18" spans="1:7">
      <c r="A18" s="820"/>
      <c r="B18" s="820"/>
      <c r="C18" s="820"/>
    </row>
    <row r="19" spans="1:7" ht="14.25">
      <c r="A19" s="822"/>
      <c r="B19" s="823" t="s">
        <v>329</v>
      </c>
      <c r="D19" s="1026" t="s">
        <v>1282</v>
      </c>
      <c r="E19" s="1026"/>
      <c r="F19" s="1026"/>
    </row>
    <row r="20" spans="1:7" ht="14.25">
      <c r="A20" s="822"/>
      <c r="B20" s="822"/>
      <c r="D20" s="825"/>
    </row>
    <row r="21" spans="1:7" ht="14.25">
      <c r="A21" s="822"/>
      <c r="B21" s="823" t="s">
        <v>329</v>
      </c>
      <c r="D21" s="1000" t="s">
        <v>1283</v>
      </c>
      <c r="E21" s="1000"/>
      <c r="F21" s="1000"/>
    </row>
    <row r="22" spans="1:7" ht="14.25">
      <c r="A22" s="822"/>
      <c r="B22" s="822"/>
      <c r="D22" s="1000"/>
      <c r="E22" s="1000"/>
      <c r="F22" s="1000"/>
    </row>
    <row r="23" spans="1:7"/>
    <row r="24" spans="1:7" ht="14.25">
      <c r="A24" s="822"/>
      <c r="B24" s="823" t="s">
        <v>329</v>
      </c>
      <c r="D24" s="1054" t="s">
        <v>1284</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1001" t="s">
        <v>1285</v>
      </c>
      <c r="E30" s="1001"/>
      <c r="F30" s="1001"/>
      <c r="G30" s="827"/>
    </row>
    <row r="31" spans="1:7" s="816" customFormat="1">
      <c r="A31" s="826"/>
      <c r="B31" s="826"/>
      <c r="C31" s="826"/>
      <c r="D31" s="1001"/>
      <c r="E31" s="1001"/>
      <c r="F31" s="1001"/>
      <c r="G31" s="827"/>
    </row>
    <row r="32" spans="1:7" ht="14.25">
      <c r="A32" s="822"/>
      <c r="B32" s="822"/>
      <c r="D32" s="828"/>
    </row>
    <row r="33" spans="1:6" ht="14.45" customHeight="1">
      <c r="A33" s="822"/>
      <c r="B33" s="823" t="s">
        <v>329</v>
      </c>
      <c r="D33" s="1001" t="s">
        <v>1474</v>
      </c>
      <c r="E33" s="1001"/>
      <c r="F33" s="1001"/>
    </row>
    <row r="34" spans="1:6" ht="14.25">
      <c r="A34" s="822"/>
      <c r="B34" s="822"/>
      <c r="D34" s="1001"/>
      <c r="E34" s="1001"/>
      <c r="F34" s="1001"/>
    </row>
    <row r="35" spans="1:6" ht="14.25">
      <c r="A35" s="822"/>
      <c r="B35" s="822"/>
      <c r="D35" s="1001"/>
      <c r="E35" s="1001"/>
      <c r="F35" s="1001"/>
    </row>
    <row r="36" spans="1:6" ht="14.25">
      <c r="A36" s="822"/>
      <c r="B36" s="822"/>
      <c r="D36" s="1001"/>
      <c r="E36" s="1001"/>
      <c r="F36" s="1001"/>
    </row>
    <row r="37" spans="1:6" ht="14.25">
      <c r="A37" s="822"/>
      <c r="B37" s="822"/>
      <c r="D37" s="815"/>
    </row>
    <row r="38" spans="1:6" ht="14.25">
      <c r="A38" s="822"/>
      <c r="B38" s="823" t="s">
        <v>329</v>
      </c>
      <c r="D38" s="1001" t="s">
        <v>1287</v>
      </c>
      <c r="E38" s="1001"/>
      <c r="F38" s="1001"/>
    </row>
    <row r="39" spans="1:6" ht="14.25">
      <c r="A39" s="822"/>
      <c r="B39" s="822"/>
      <c r="D39" s="1001"/>
      <c r="E39" s="1001"/>
      <c r="F39" s="1001"/>
    </row>
    <row r="40" spans="1:6" ht="14.25">
      <c r="A40" s="822"/>
      <c r="B40" s="822"/>
      <c r="D40" s="1001"/>
      <c r="E40" s="1001"/>
      <c r="F40" s="1001"/>
    </row>
    <row r="41" spans="1:6" ht="14.25">
      <c r="A41" s="822"/>
      <c r="B41" s="822"/>
      <c r="D41" s="1001"/>
      <c r="E41" s="1001"/>
      <c r="F41" s="1001"/>
    </row>
    <row r="42" spans="1:6" ht="14.25">
      <c r="A42" s="822"/>
      <c r="B42" s="822"/>
      <c r="D42" s="1001"/>
      <c r="E42" s="1001"/>
      <c r="F42" s="1001"/>
    </row>
    <row r="43" spans="1:6" ht="14.25">
      <c r="A43" s="822"/>
      <c r="B43" s="822"/>
      <c r="D43" s="805"/>
      <c r="E43" s="805"/>
      <c r="F43" s="805"/>
    </row>
    <row r="44" spans="1:6" ht="14.25">
      <c r="A44" s="822"/>
      <c r="B44" s="823" t="s">
        <v>329</v>
      </c>
      <c r="D44" s="1001" t="s">
        <v>1288</v>
      </c>
      <c r="E44" s="1001"/>
      <c r="F44" s="1001"/>
    </row>
    <row r="45" spans="1:6" ht="14.25">
      <c r="A45" s="822"/>
      <c r="B45" s="822"/>
      <c r="D45" s="1001"/>
      <c r="E45" s="1001"/>
      <c r="F45" s="1001"/>
    </row>
    <row r="46" spans="1:6" ht="14.25">
      <c r="A46" s="822"/>
      <c r="B46" s="822"/>
      <c r="D46" s="1001"/>
      <c r="E46" s="1001"/>
      <c r="F46" s="1001"/>
    </row>
    <row r="47" spans="1:6" ht="23.25" customHeight="1">
      <c r="A47" s="822"/>
      <c r="B47" s="822"/>
      <c r="D47" s="1001"/>
      <c r="E47" s="1001"/>
      <c r="F47" s="1001"/>
    </row>
    <row r="48" spans="1:6" ht="14.25">
      <c r="A48" s="822"/>
      <c r="B48" s="822"/>
      <c r="D48" s="810"/>
    </row>
    <row r="49" spans="1:7" ht="14.45" customHeight="1">
      <c r="A49" s="822"/>
      <c r="B49" s="823" t="s">
        <v>329</v>
      </c>
      <c r="D49" s="1001" t="s">
        <v>1289</v>
      </c>
      <c r="E49" s="1001"/>
      <c r="F49" s="1001"/>
    </row>
    <row r="50" spans="1:7" ht="14.25">
      <c r="A50" s="822"/>
      <c r="B50" s="822"/>
      <c r="D50" s="1001"/>
      <c r="E50" s="1001"/>
      <c r="F50" s="1001"/>
    </row>
    <row r="51" spans="1:7" ht="14.25">
      <c r="A51" s="822"/>
      <c r="B51" s="822"/>
      <c r="D51" s="1001"/>
      <c r="E51" s="1001"/>
      <c r="F51" s="1001"/>
    </row>
    <row r="52" spans="1:7" s="642" customFormat="1" ht="14.25">
      <c r="A52" s="822"/>
      <c r="B52" s="822"/>
      <c r="C52" s="829"/>
      <c r="D52" s="827"/>
      <c r="E52" s="717"/>
      <c r="F52" s="717"/>
      <c r="G52" s="717"/>
    </row>
    <row r="53" spans="1:7" s="642" customFormat="1" ht="14.25">
      <c r="A53" s="830"/>
      <c r="B53" s="823" t="s">
        <v>329</v>
      </c>
      <c r="C53" s="831"/>
      <c r="D53" s="1001" t="s">
        <v>1290</v>
      </c>
      <c r="E53" s="1001"/>
      <c r="F53" s="1001"/>
      <c r="G53" s="717"/>
    </row>
    <row r="54" spans="1:7" s="642" customFormat="1" ht="14.25">
      <c r="A54" s="830"/>
      <c r="B54" s="830"/>
      <c r="C54" s="831"/>
      <c r="D54" s="1001"/>
      <c r="E54" s="1001"/>
      <c r="F54" s="1001"/>
      <c r="G54" s="717"/>
    </row>
    <row r="55" spans="1:7" s="816" customFormat="1">
      <c r="A55" s="826"/>
      <c r="B55" s="826"/>
      <c r="C55" s="826"/>
      <c r="D55" s="757"/>
      <c r="E55" s="827"/>
      <c r="F55" s="827"/>
      <c r="G55" s="827"/>
    </row>
    <row r="56" spans="1:7" ht="14.25">
      <c r="A56" s="822"/>
      <c r="B56" s="823" t="s">
        <v>329</v>
      </c>
      <c r="D56" s="1001" t="s">
        <v>1291</v>
      </c>
      <c r="E56" s="1001"/>
      <c r="F56" s="1001"/>
    </row>
    <row r="57" spans="1:7">
      <c r="D57" s="1001"/>
      <c r="E57" s="1001"/>
      <c r="F57" s="1001"/>
    </row>
    <row r="58" spans="1:7">
      <c r="D58" s="1001"/>
      <c r="E58" s="1001"/>
      <c r="F58" s="1001"/>
    </row>
    <row r="59" spans="1:7">
      <c r="D59" s="717"/>
    </row>
    <row r="60" spans="1:7" ht="14.25">
      <c r="A60" s="822"/>
      <c r="B60" s="823" t="s">
        <v>329</v>
      </c>
      <c r="D60" s="1001" t="s">
        <v>1292</v>
      </c>
      <c r="E60" s="1001"/>
      <c r="F60" s="1001"/>
    </row>
    <row r="61" spans="1:7">
      <c r="D61" s="1001"/>
      <c r="E61" s="1001"/>
      <c r="F61" s="1001"/>
    </row>
    <row r="62" spans="1:7"/>
    <row r="63" spans="1:7" ht="14.25">
      <c r="A63" s="822"/>
      <c r="B63" s="823" t="s">
        <v>329</v>
      </c>
      <c r="D63" s="1001" t="s">
        <v>1293</v>
      </c>
      <c r="E63" s="1001"/>
      <c r="F63" s="1001"/>
    </row>
    <row r="64" spans="1:7">
      <c r="D64" s="1001"/>
      <c r="E64" s="1001"/>
      <c r="F64" s="1001"/>
    </row>
    <row r="65" spans="1:7">
      <c r="D65" s="1001"/>
      <c r="E65" s="1001"/>
      <c r="F65" s="1001"/>
    </row>
    <row r="66" spans="1:7">
      <c r="D66" s="815"/>
    </row>
    <row r="67" spans="1:7" ht="14.25">
      <c r="A67" s="822"/>
      <c r="B67" s="823" t="s">
        <v>329</v>
      </c>
      <c r="D67" s="1000" t="s">
        <v>1294</v>
      </c>
      <c r="E67" s="1000"/>
      <c r="F67" s="1000"/>
    </row>
    <row r="68" spans="1:7">
      <c r="D68" s="1000"/>
      <c r="E68" s="1000"/>
      <c r="F68" s="1000"/>
    </row>
    <row r="69" spans="1:7" ht="14.25">
      <c r="A69" s="822"/>
      <c r="B69" s="822"/>
      <c r="D69" s="825"/>
    </row>
    <row r="70" spans="1:7">
      <c r="A70" s="982" t="s">
        <v>1201</v>
      </c>
      <c r="B70" s="982"/>
      <c r="C70" s="982"/>
      <c r="D70" s="982"/>
      <c r="E70" s="982"/>
      <c r="F70" s="982"/>
      <c r="G70" s="982"/>
    </row>
    <row r="71" spans="1:7"/>
    <row r="72" spans="1:7">
      <c r="C72" s="832"/>
      <c r="D72" s="1071" t="s">
        <v>1299</v>
      </c>
      <c r="E72" s="1071"/>
      <c r="F72" s="1071"/>
    </row>
    <row r="73" spans="1:7">
      <c r="A73" s="825"/>
      <c r="B73" s="825"/>
      <c r="D73" s="1000" t="s">
        <v>1326</v>
      </c>
      <c r="E73" s="1000"/>
      <c r="F73" s="1000"/>
    </row>
    <row r="74" spans="1:7">
      <c r="A74" s="825"/>
      <c r="B74" s="825"/>
    </row>
    <row r="75" spans="1:7" ht="13.7" customHeight="1">
      <c r="A75" s="822"/>
      <c r="B75" s="823" t="s">
        <v>329</v>
      </c>
      <c r="D75" s="1000" t="s">
        <v>1527</v>
      </c>
      <c r="E75" s="1000"/>
      <c r="F75" s="1000"/>
    </row>
    <row r="76" spans="1:7" ht="14.25">
      <c r="A76" s="822"/>
      <c r="B76" s="822"/>
      <c r="D76" s="1000"/>
      <c r="E76" s="1000"/>
      <c r="F76" s="1000"/>
    </row>
    <row r="77" spans="1:7" ht="14.25">
      <c r="A77" s="822"/>
      <c r="B77" s="822"/>
      <c r="D77" s="1000"/>
      <c r="E77" s="1000"/>
      <c r="F77" s="1000"/>
    </row>
    <row r="78" spans="1:7" ht="14.25">
      <c r="A78" s="822"/>
      <c r="B78" s="822"/>
      <c r="D78" s="1000"/>
      <c r="E78" s="1000"/>
      <c r="F78" s="1000"/>
    </row>
    <row r="79" spans="1:7" ht="14.25">
      <c r="A79" s="822"/>
      <c r="B79" s="822"/>
      <c r="D79" s="1000"/>
      <c r="E79" s="1000"/>
      <c r="F79" s="1000"/>
    </row>
    <row r="80" spans="1:7" ht="14.25">
      <c r="A80" s="822"/>
      <c r="B80" s="822"/>
      <c r="D80" s="1000"/>
      <c r="E80" s="1000"/>
      <c r="F80" s="1000"/>
    </row>
    <row r="81" spans="1:6" ht="14.25">
      <c r="A81" s="822"/>
      <c r="B81" s="822"/>
      <c r="D81" s="1000"/>
      <c r="E81" s="1000"/>
      <c r="F81" s="1000"/>
    </row>
    <row r="82" spans="1:6" ht="14.25">
      <c r="A82" s="822"/>
      <c r="B82" s="822"/>
      <c r="D82" s="1000"/>
      <c r="E82" s="1000"/>
      <c r="F82" s="1000"/>
    </row>
    <row r="83" spans="1:6" s="815" customFormat="1" ht="14.25">
      <c r="A83" s="822"/>
      <c r="B83" s="822"/>
      <c r="C83" s="813"/>
      <c r="D83" s="1000"/>
      <c r="E83" s="1000"/>
      <c r="F83" s="1000"/>
    </row>
    <row r="84" spans="1:6" s="815" customFormat="1" ht="14.45" customHeight="1">
      <c r="A84" s="822"/>
      <c r="B84" s="823" t="s">
        <v>329</v>
      </c>
      <c r="C84" s="813"/>
      <c r="D84" s="1000" t="s">
        <v>1446</v>
      </c>
      <c r="E84" s="1000"/>
      <c r="F84" s="1000"/>
    </row>
    <row r="85" spans="1:6" s="815" customFormat="1" ht="14.25">
      <c r="A85" s="822"/>
      <c r="B85" s="822"/>
      <c r="C85" s="813"/>
      <c r="D85" s="1000"/>
      <c r="E85" s="1000"/>
      <c r="F85" s="1000"/>
    </row>
    <row r="86" spans="1:6" s="815" customFormat="1" ht="14.25">
      <c r="A86" s="822"/>
      <c r="B86" s="822"/>
      <c r="C86" s="813"/>
      <c r="D86" s="1000"/>
      <c r="E86" s="1000"/>
      <c r="F86" s="1000"/>
    </row>
    <row r="87" spans="1:6" s="815" customFormat="1" ht="14.25">
      <c r="A87" s="822"/>
      <c r="B87" s="822"/>
      <c r="C87" s="813"/>
      <c r="D87" s="1000"/>
      <c r="E87" s="1000"/>
      <c r="F87" s="1000"/>
    </row>
    <row r="88" spans="1:6" s="815" customFormat="1" ht="14.25">
      <c r="A88" s="822"/>
      <c r="B88" s="822"/>
      <c r="C88" s="813"/>
      <c r="D88" s="1000"/>
      <c r="E88" s="1000"/>
      <c r="F88" s="1000"/>
    </row>
    <row r="89" spans="1:6" s="815" customFormat="1" ht="14.25">
      <c r="A89" s="822"/>
      <c r="B89" s="822"/>
      <c r="C89" s="813"/>
      <c r="D89" s="1000"/>
      <c r="E89" s="1000"/>
      <c r="F89" s="1000"/>
    </row>
    <row r="90" spans="1:6" s="815" customFormat="1" ht="14.25">
      <c r="A90" s="822"/>
      <c r="B90" s="822"/>
      <c r="C90" s="813"/>
      <c r="D90" s="1000"/>
      <c r="E90" s="1000"/>
      <c r="F90" s="1000"/>
    </row>
    <row r="91" spans="1:6" s="815" customFormat="1" ht="14.25">
      <c r="A91" s="822"/>
      <c r="B91" s="822"/>
      <c r="C91" s="813"/>
      <c r="D91" s="1000"/>
      <c r="E91" s="1000"/>
      <c r="F91" s="1000"/>
    </row>
    <row r="92" spans="1:6" s="815" customFormat="1" ht="14.25">
      <c r="A92" s="822"/>
      <c r="B92" s="822"/>
      <c r="C92" s="813"/>
      <c r="D92" s="1000"/>
      <c r="E92" s="1000"/>
      <c r="F92" s="1000"/>
    </row>
    <row r="93" spans="1:6" s="815" customFormat="1" ht="14.25">
      <c r="A93" s="822"/>
      <c r="B93" s="822"/>
      <c r="C93" s="813"/>
      <c r="D93" s="1000"/>
      <c r="E93" s="1000"/>
      <c r="F93" s="1000"/>
    </row>
    <row r="94" spans="1:6" s="815" customFormat="1" ht="14.25">
      <c r="A94" s="822"/>
      <c r="B94" s="822"/>
      <c r="C94" s="813"/>
      <c r="D94" s="1000"/>
      <c r="E94" s="1000"/>
      <c r="F94" s="1000"/>
    </row>
    <row r="95" spans="1:6" s="815" customFormat="1" ht="14.25">
      <c r="A95" s="822"/>
      <c r="B95" s="822"/>
      <c r="C95" s="813"/>
      <c r="D95" s="1000"/>
      <c r="E95" s="1000"/>
      <c r="F95" s="1000"/>
    </row>
    <row r="96" spans="1:6" s="815" customFormat="1" ht="14.25">
      <c r="A96" s="822"/>
      <c r="B96" s="822"/>
      <c r="C96" s="813"/>
      <c r="D96" s="1000"/>
      <c r="E96" s="1000"/>
      <c r="F96" s="1000"/>
    </row>
    <row r="97" spans="1:11" ht="14.25">
      <c r="A97" s="822"/>
      <c r="B97" s="822"/>
      <c r="D97" s="1000"/>
      <c r="E97" s="1000"/>
      <c r="F97" s="1000"/>
    </row>
    <row r="98" spans="1:11" ht="14.25">
      <c r="A98" s="822"/>
      <c r="B98" s="822"/>
      <c r="D98" s="1000"/>
      <c r="E98" s="1000"/>
      <c r="F98" s="1000"/>
    </row>
    <row r="99" spans="1:11" ht="14.25">
      <c r="A99" s="822"/>
      <c r="B99" s="822"/>
      <c r="D99" s="947"/>
      <c r="E99" s="947"/>
      <c r="F99" s="947"/>
    </row>
    <row r="100" spans="1:11" ht="14.25" customHeight="1">
      <c r="A100" s="822"/>
      <c r="B100" s="823" t="s">
        <v>329</v>
      </c>
      <c r="D100" s="1020" t="s">
        <v>1301</v>
      </c>
      <c r="E100" s="1020"/>
      <c r="F100" s="1020"/>
    </row>
    <row r="101" spans="1:11" ht="14.25">
      <c r="A101" s="822"/>
      <c r="B101" s="822"/>
      <c r="D101" s="1020"/>
      <c r="E101" s="1020"/>
      <c r="F101" s="1020"/>
    </row>
    <row r="102" spans="1:11" ht="14.25">
      <c r="A102" s="822"/>
      <c r="B102" s="822"/>
      <c r="D102" s="1020"/>
      <c r="E102" s="1020"/>
      <c r="F102" s="1020"/>
    </row>
    <row r="103" spans="1:11" ht="14.25">
      <c r="A103" s="822"/>
      <c r="B103" s="822"/>
      <c r="D103" s="1020"/>
      <c r="E103" s="1020"/>
      <c r="F103" s="1020"/>
    </row>
    <row r="104" spans="1:11" ht="14.25">
      <c r="A104" s="822"/>
      <c r="B104" s="822"/>
      <c r="D104" s="1020"/>
      <c r="E104" s="1020"/>
      <c r="F104" s="1020"/>
    </row>
    <row r="105" spans="1:11" ht="14.25">
      <c r="A105" s="822"/>
      <c r="B105" s="822"/>
      <c r="D105" s="1020"/>
      <c r="E105" s="1020"/>
      <c r="F105" s="1020"/>
    </row>
    <row r="106" spans="1:11" ht="14.25">
      <c r="A106" s="822"/>
      <c r="B106" s="822"/>
      <c r="D106" s="1020"/>
      <c r="E106" s="1020"/>
      <c r="F106" s="1020"/>
    </row>
    <row r="107" spans="1:11" ht="14.25">
      <c r="A107" s="822"/>
      <c r="B107" s="822"/>
      <c r="D107" s="1020"/>
      <c r="E107" s="1020"/>
      <c r="F107" s="1020"/>
    </row>
    <row r="108" spans="1:11">
      <c r="C108" s="746"/>
      <c r="D108" s="948"/>
      <c r="E108" s="948"/>
      <c r="F108" s="948"/>
      <c r="G108" s="746"/>
      <c r="H108" s="746"/>
      <c r="I108" s="746"/>
      <c r="J108" s="746"/>
      <c r="K108" s="746"/>
    </row>
    <row r="109" spans="1:11" ht="14.25">
      <c r="A109" s="822"/>
      <c r="B109" s="823" t="s">
        <v>329</v>
      </c>
      <c r="C109" s="746"/>
      <c r="D109" s="1020" t="s">
        <v>1303</v>
      </c>
      <c r="E109" s="1020"/>
      <c r="F109" s="1020"/>
      <c r="G109" s="746"/>
      <c r="H109" s="746"/>
      <c r="I109" s="746"/>
      <c r="J109" s="746"/>
      <c r="K109" s="746"/>
    </row>
    <row r="110" spans="1:11" ht="14.25">
      <c r="A110" s="822"/>
      <c r="B110" s="822"/>
      <c r="C110" s="746"/>
      <c r="D110" s="1020"/>
      <c r="E110" s="1020"/>
      <c r="F110" s="1020"/>
      <c r="G110" s="746"/>
      <c r="H110" s="746"/>
      <c r="I110" s="746"/>
      <c r="J110" s="746"/>
      <c r="K110" s="746"/>
    </row>
    <row r="111" spans="1:11"/>
    <row r="112" spans="1:11" ht="14.25">
      <c r="A112" s="822"/>
      <c r="B112" s="823" t="s">
        <v>329</v>
      </c>
      <c r="C112" s="829"/>
      <c r="D112" s="1000" t="s">
        <v>1304</v>
      </c>
      <c r="E112" s="1000"/>
      <c r="F112" s="1000"/>
    </row>
    <row r="113" spans="1:7">
      <c r="C113" s="829"/>
      <c r="D113" s="1000"/>
      <c r="E113" s="1000"/>
      <c r="F113" s="1000"/>
    </row>
    <row r="114" spans="1:7">
      <c r="C114" s="829"/>
      <c r="D114" s="1000"/>
      <c r="E114" s="1000"/>
      <c r="F114" s="1000"/>
    </row>
    <row r="115" spans="1:7">
      <c r="C115" s="829"/>
      <c r="D115" s="1000"/>
      <c r="E115" s="1000"/>
      <c r="F115" s="1000"/>
    </row>
    <row r="116" spans="1:7">
      <c r="C116" s="829"/>
      <c r="D116" s="1000"/>
      <c r="E116" s="1000"/>
      <c r="F116" s="1000"/>
    </row>
    <row r="117" spans="1:7">
      <c r="C117" s="829"/>
      <c r="D117" s="696"/>
      <c r="E117" s="696"/>
      <c r="F117" s="696"/>
    </row>
    <row r="118" spans="1:7" s="746" customFormat="1" ht="14.25">
      <c r="A118" s="822"/>
      <c r="B118" s="823" t="s">
        <v>329</v>
      </c>
      <c r="C118" s="829"/>
      <c r="D118" s="1001" t="s">
        <v>1305</v>
      </c>
      <c r="E118" s="1001"/>
      <c r="F118" s="1001"/>
      <c r="G118" s="696"/>
    </row>
    <row r="119" spans="1:7" s="837" customFormat="1" ht="13.7" customHeight="1">
      <c r="A119" s="834"/>
      <c r="B119" s="834"/>
      <c r="C119" s="835"/>
      <c r="D119" s="1001"/>
      <c r="E119" s="1001"/>
      <c r="F119" s="1001"/>
      <c r="G119" s="836"/>
    </row>
    <row r="120" spans="1:7" s="746" customFormat="1" ht="13.7" customHeight="1">
      <c r="A120" s="813"/>
      <c r="B120" s="813"/>
      <c r="C120" s="829"/>
      <c r="D120" s="1001"/>
      <c r="E120" s="1001"/>
      <c r="F120" s="1001"/>
      <c r="G120" s="696"/>
    </row>
    <row r="121" spans="1:7" s="746" customFormat="1" ht="13.7" customHeight="1">
      <c r="A121" s="813"/>
      <c r="B121" s="813"/>
      <c r="C121" s="829"/>
      <c r="D121" s="1001"/>
      <c r="E121" s="1001"/>
      <c r="F121" s="1001"/>
      <c r="G121" s="696"/>
    </row>
    <row r="122" spans="1:7" s="746" customFormat="1" ht="13.7" customHeight="1">
      <c r="A122" s="813"/>
      <c r="B122" s="813"/>
      <c r="C122" s="829"/>
      <c r="D122" s="1001"/>
      <c r="E122" s="1001"/>
      <c r="F122" s="1001"/>
      <c r="G122" s="696"/>
    </row>
    <row r="123" spans="1:7" s="746" customFormat="1" ht="13.7" customHeight="1">
      <c r="A123" s="838"/>
      <c r="B123" s="838"/>
      <c r="C123" s="829"/>
      <c r="D123" s="1001"/>
      <c r="E123" s="1001"/>
      <c r="F123" s="1001"/>
      <c r="G123" s="696"/>
    </row>
    <row r="124" spans="1:7" s="642" customFormat="1" ht="13.7" customHeight="1">
      <c r="A124" s="826"/>
      <c r="B124" s="826"/>
      <c r="C124" s="831"/>
      <c r="D124" s="1001"/>
      <c r="E124" s="1001"/>
      <c r="F124" s="1001"/>
      <c r="G124" s="717"/>
    </row>
    <row r="125" spans="1:7" s="642" customFormat="1" ht="13.7" customHeight="1">
      <c r="A125" s="826"/>
      <c r="B125" s="826"/>
      <c r="C125" s="831"/>
      <c r="D125" s="1001"/>
      <c r="E125" s="1001"/>
      <c r="F125" s="1001"/>
      <c r="G125" s="717"/>
    </row>
    <row r="126" spans="1:7" s="746" customFormat="1" ht="13.7" customHeight="1">
      <c r="A126" s="813"/>
      <c r="B126" s="813"/>
      <c r="C126" s="829"/>
      <c r="D126" s="1001"/>
      <c r="E126" s="1001"/>
      <c r="F126" s="1001"/>
      <c r="G126" s="696"/>
    </row>
    <row r="127" spans="1:7" s="746" customFormat="1" ht="13.7" customHeight="1">
      <c r="A127" s="813"/>
      <c r="B127" s="813"/>
      <c r="C127" s="829"/>
      <c r="D127" s="1001"/>
      <c r="E127" s="1001"/>
      <c r="F127" s="1001"/>
      <c r="G127" s="696"/>
    </row>
    <row r="128" spans="1:7" s="746" customFormat="1" ht="13.7" customHeight="1">
      <c r="A128" s="813"/>
      <c r="B128" s="813"/>
      <c r="C128" s="829"/>
      <c r="D128" s="1001"/>
      <c r="E128" s="1001"/>
      <c r="F128" s="1001"/>
      <c r="G128" s="696"/>
    </row>
    <row r="129" spans="1:7" s="746" customFormat="1" ht="13.7" customHeight="1">
      <c r="A129" s="813"/>
      <c r="B129" s="813"/>
      <c r="C129" s="829"/>
      <c r="D129" s="1001"/>
      <c r="E129" s="1001"/>
      <c r="F129" s="1001"/>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9" t="s">
        <v>1413</v>
      </c>
      <c r="E131" s="1069"/>
      <c r="F131" s="1069"/>
      <c r="G131" s="696"/>
    </row>
    <row r="132" spans="1:7" s="746" customFormat="1" ht="13.7" customHeight="1">
      <c r="A132" s="813"/>
      <c r="B132" s="813"/>
      <c r="C132" s="829"/>
      <c r="D132" s="1069"/>
      <c r="E132" s="1069"/>
      <c r="F132" s="1069"/>
      <c r="G132" s="696"/>
    </row>
    <row r="133" spans="1:7" s="746" customFormat="1" ht="13.7" customHeight="1">
      <c r="A133" s="813"/>
      <c r="B133" s="813"/>
      <c r="C133" s="829"/>
      <c r="D133" s="1069"/>
      <c r="E133" s="1069"/>
      <c r="F133" s="1069"/>
      <c r="G133" s="696"/>
    </row>
    <row r="134" spans="1:7" s="746" customFormat="1" ht="13.7" customHeight="1">
      <c r="A134" s="813"/>
      <c r="B134" s="813"/>
      <c r="C134" s="829"/>
      <c r="D134" s="1069"/>
      <c r="E134" s="1069"/>
      <c r="F134" s="1069"/>
      <c r="G134" s="696"/>
    </row>
    <row r="135" spans="1:7" s="746" customFormat="1" ht="13.7" customHeight="1">
      <c r="A135" s="813"/>
      <c r="B135" s="813"/>
      <c r="C135" s="829"/>
      <c r="D135" s="1069"/>
      <c r="E135" s="1069"/>
      <c r="F135" s="1069"/>
      <c r="G135" s="696"/>
    </row>
    <row r="136" spans="1:7" s="746" customFormat="1" ht="13.7" customHeight="1">
      <c r="A136" s="813"/>
      <c r="B136" s="813"/>
      <c r="C136" s="829"/>
      <c r="D136" s="1069"/>
      <c r="E136" s="1069"/>
      <c r="F136" s="1069"/>
      <c r="G136" s="696"/>
    </row>
    <row r="137" spans="1:7" s="746" customFormat="1" ht="13.7" customHeight="1">
      <c r="A137" s="813"/>
      <c r="B137" s="813"/>
      <c r="C137" s="829"/>
      <c r="D137" s="1069"/>
      <c r="E137" s="1069"/>
      <c r="F137" s="1069"/>
      <c r="G137" s="696"/>
    </row>
    <row r="138" spans="1:7" s="746" customFormat="1" ht="13.7" customHeight="1">
      <c r="A138" s="813"/>
      <c r="B138" s="813"/>
      <c r="C138" s="829"/>
      <c r="D138" s="1069"/>
      <c r="E138" s="1069"/>
      <c r="F138" s="1069"/>
      <c r="G138" s="696"/>
    </row>
    <row r="139" spans="1:7" s="746" customFormat="1" ht="13.7" customHeight="1">
      <c r="A139" s="813"/>
      <c r="B139" s="813"/>
      <c r="C139" s="829"/>
      <c r="D139" s="1069"/>
      <c r="E139" s="1069"/>
      <c r="F139" s="1069"/>
      <c r="G139" s="696"/>
    </row>
    <row r="140" spans="1:7" s="746" customFormat="1" ht="13.7" customHeight="1">
      <c r="A140" s="813"/>
      <c r="B140" s="813"/>
      <c r="C140" s="829"/>
      <c r="D140" s="1069"/>
      <c r="E140" s="1069"/>
      <c r="F140" s="1069"/>
      <c r="G140" s="696"/>
    </row>
    <row r="141" spans="1:7" s="746" customFormat="1" ht="13.7" customHeight="1">
      <c r="A141" s="813"/>
      <c r="B141" s="813"/>
      <c r="C141" s="829"/>
      <c r="D141" s="1069"/>
      <c r="E141" s="1069"/>
      <c r="F141" s="1069"/>
      <c r="G141" s="696"/>
    </row>
    <row r="142" spans="1:7" s="746" customFormat="1" ht="13.7" customHeight="1">
      <c r="A142" s="813"/>
      <c r="B142" s="813"/>
      <c r="C142" s="829"/>
      <c r="D142" s="1069"/>
      <c r="E142" s="1069"/>
      <c r="F142" s="1069"/>
      <c r="G142" s="696"/>
    </row>
    <row r="143" spans="1:7" s="746" customFormat="1" ht="13.7" customHeight="1">
      <c r="A143" s="813"/>
      <c r="B143" s="813"/>
      <c r="C143" s="829"/>
      <c r="D143" s="1069"/>
      <c r="E143" s="1069"/>
      <c r="F143" s="1069"/>
      <c r="G143" s="696"/>
    </row>
    <row r="144" spans="1:7" s="746" customFormat="1" ht="13.7" customHeight="1">
      <c r="A144" s="813"/>
      <c r="B144" s="813"/>
      <c r="C144" s="829"/>
      <c r="D144" s="1069"/>
      <c r="E144" s="1069"/>
      <c r="F144" s="1069"/>
      <c r="G144" s="696"/>
    </row>
    <row r="145" spans="1:7" s="746" customFormat="1" ht="13.7" customHeight="1">
      <c r="A145" s="813"/>
      <c r="B145" s="813"/>
      <c r="C145" s="829"/>
      <c r="D145" s="1069"/>
      <c r="E145" s="1069"/>
      <c r="F145" s="1069"/>
      <c r="G145" s="696"/>
    </row>
    <row r="146" spans="1:7" s="746" customFormat="1" ht="13.7" customHeight="1">
      <c r="A146" s="813"/>
      <c r="B146" s="813"/>
      <c r="C146" s="829"/>
      <c r="D146" s="1069"/>
      <c r="E146" s="1069"/>
      <c r="F146" s="1069"/>
      <c r="G146" s="696"/>
    </row>
    <row r="147" spans="1:7" s="746" customFormat="1" ht="13.7" customHeight="1">
      <c r="A147" s="813"/>
      <c r="B147" s="813"/>
      <c r="C147" s="829"/>
      <c r="D147" s="1069"/>
      <c r="E147" s="1069"/>
      <c r="F147" s="1069"/>
      <c r="G147" s="696"/>
    </row>
    <row r="148" spans="1:7" s="746" customFormat="1" ht="13.7" customHeight="1">
      <c r="A148" s="813"/>
      <c r="B148" s="813"/>
      <c r="C148" s="829"/>
      <c r="D148" s="1069"/>
      <c r="E148" s="1069"/>
      <c r="F148" s="1069"/>
      <c r="G148" s="696"/>
    </row>
    <row r="149" spans="1:7" s="746" customFormat="1" ht="13.7" customHeight="1">
      <c r="A149" s="813"/>
      <c r="B149" s="813"/>
      <c r="C149" s="829"/>
      <c r="D149" s="1070" t="s">
        <v>1456</v>
      </c>
      <c r="E149" s="1070"/>
      <c r="F149" s="1070"/>
      <c r="G149" s="887"/>
    </row>
    <row r="150" spans="1:7" s="746" customFormat="1" ht="13.7" customHeight="1">
      <c r="A150" s="813"/>
      <c r="B150" s="813"/>
      <c r="C150" s="829"/>
      <c r="D150" s="1068"/>
      <c r="E150" s="1068"/>
      <c r="F150" s="1068"/>
      <c r="G150" s="1068"/>
    </row>
    <row r="151" spans="1:7" s="746" customFormat="1" ht="14.45" customHeight="1">
      <c r="A151" s="838"/>
      <c r="B151" s="823" t="s">
        <v>329</v>
      </c>
      <c r="C151" s="839"/>
      <c r="D151" s="974" t="s">
        <v>1488</v>
      </c>
      <c r="E151" s="974"/>
      <c r="F151" s="974"/>
      <c r="G151" s="840"/>
    </row>
    <row r="152" spans="1:7" s="746" customFormat="1" ht="14.45" customHeight="1">
      <c r="A152" s="838"/>
      <c r="B152" s="838"/>
      <c r="C152" s="839"/>
      <c r="D152" s="974"/>
      <c r="E152" s="974"/>
      <c r="F152" s="974"/>
      <c r="G152" s="840"/>
    </row>
    <row r="153" spans="1:7" s="746" customFormat="1" ht="13.7" customHeight="1">
      <c r="A153" s="838"/>
      <c r="B153" s="838"/>
      <c r="C153" s="839"/>
      <c r="D153" s="974"/>
      <c r="E153" s="974"/>
      <c r="F153" s="974"/>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0" t="s">
        <v>1307</v>
      </c>
      <c r="E155" s="970"/>
      <c r="F155" s="970"/>
      <c r="G155" s="840"/>
    </row>
    <row r="156" spans="1:7" s="746" customFormat="1" ht="13.7" customHeight="1">
      <c r="A156" s="838"/>
      <c r="B156" s="838"/>
      <c r="C156" s="839"/>
      <c r="D156" s="970"/>
      <c r="E156" s="970"/>
      <c r="F156" s="970"/>
      <c r="G156" s="840"/>
    </row>
    <row r="157" spans="1:7" s="746" customFormat="1" ht="13.7" customHeight="1">
      <c r="A157" s="838"/>
      <c r="B157" s="838"/>
      <c r="C157" s="839"/>
      <c r="D157" s="970"/>
      <c r="E157" s="970"/>
      <c r="F157" s="970"/>
      <c r="G157" s="840"/>
    </row>
    <row r="158" spans="1:7" s="746" customFormat="1" ht="13.7" customHeight="1">
      <c r="A158" s="838"/>
      <c r="B158" s="838"/>
      <c r="C158" s="839"/>
      <c r="D158" s="970"/>
      <c r="E158" s="970"/>
      <c r="F158" s="970"/>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5" t="s">
        <v>1308</v>
      </c>
      <c r="E160" s="1005"/>
      <c r="F160" s="1005"/>
      <c r="G160" s="696"/>
    </row>
    <row r="161" spans="1:7" s="746" customFormat="1" ht="13.7" customHeight="1">
      <c r="A161" s="813"/>
      <c r="B161" s="813"/>
      <c r="C161" s="829"/>
      <c r="D161" s="1005"/>
      <c r="E161" s="1005"/>
      <c r="F161" s="1005"/>
      <c r="G161" s="696"/>
    </row>
    <row r="162" spans="1:7" s="746" customFormat="1" ht="13.7" customHeight="1">
      <c r="A162" s="813"/>
      <c r="B162" s="813"/>
      <c r="C162" s="829"/>
      <c r="D162" s="1005"/>
      <c r="E162" s="1005"/>
      <c r="F162" s="1005"/>
      <c r="G162" s="696"/>
    </row>
    <row r="163" spans="1:7" s="746" customFormat="1" ht="13.7" customHeight="1">
      <c r="A163" s="841"/>
      <c r="B163" s="841"/>
      <c r="C163" s="829"/>
      <c r="D163" s="814"/>
      <c r="E163" s="810"/>
      <c r="F163" s="810"/>
      <c r="G163" s="696"/>
    </row>
    <row r="164" spans="1:7">
      <c r="A164" s="982" t="s">
        <v>1202</v>
      </c>
      <c r="B164" s="982"/>
      <c r="C164" s="982"/>
      <c r="D164" s="982"/>
      <c r="E164" s="982"/>
      <c r="F164" s="982"/>
      <c r="G164" s="982"/>
    </row>
    <row r="165" spans="1:7" ht="12" customHeight="1">
      <c r="D165" s="825"/>
      <c r="E165" s="825"/>
      <c r="F165" s="825"/>
    </row>
    <row r="166" spans="1:7">
      <c r="B166" s="1064" t="s">
        <v>483</v>
      </c>
      <c r="C166" s="1064"/>
      <c r="D166" s="1064"/>
      <c r="E166" s="1064"/>
      <c r="F166" s="1064"/>
    </row>
    <row r="167" spans="1:7" ht="12" customHeight="1">
      <c r="A167" s="818"/>
      <c r="B167" s="818"/>
      <c r="C167" s="818"/>
    </row>
    <row r="168" spans="1:7">
      <c r="A168" s="982" t="s">
        <v>1203</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06" t="s">
        <v>1311</v>
      </c>
      <c r="E170" s="1006"/>
      <c r="F170" s="1006"/>
      <c r="G170" s="844"/>
    </row>
    <row r="171" spans="1:7">
      <c r="A171" s="842"/>
      <c r="B171" s="842"/>
      <c r="C171" s="843"/>
      <c r="D171" s="1006"/>
      <c r="E171" s="1006"/>
      <c r="F171" s="1006"/>
      <c r="G171" s="844"/>
    </row>
    <row r="172" spans="1:7">
      <c r="A172" s="842"/>
      <c r="B172" s="842"/>
      <c r="C172" s="843"/>
      <c r="D172" s="1007" t="s">
        <v>1447</v>
      </c>
      <c r="E172" s="1007"/>
      <c r="F172" s="1007"/>
      <c r="G172" s="844"/>
    </row>
    <row r="173" spans="1:7" ht="12" customHeight="1">
      <c r="A173" s="842"/>
      <c r="B173" s="842"/>
      <c r="C173" s="843"/>
      <c r="D173" s="844"/>
      <c r="E173" s="845"/>
      <c r="F173" s="844"/>
      <c r="G173" s="844"/>
    </row>
    <row r="174" spans="1:7" ht="14.25">
      <c r="A174" s="822"/>
      <c r="B174" s="823" t="s">
        <v>329</v>
      </c>
      <c r="C174" s="843"/>
      <c r="D174" s="1000" t="s">
        <v>1310</v>
      </c>
      <c r="E174" s="1000"/>
      <c r="F174" s="1000"/>
      <c r="G174" s="844"/>
    </row>
    <row r="175" spans="1:7" ht="14.25">
      <c r="A175" s="822"/>
      <c r="B175" s="822"/>
      <c r="C175" s="843"/>
      <c r="D175" s="1000"/>
      <c r="E175" s="1000"/>
      <c r="F175" s="1000"/>
      <c r="G175" s="844"/>
    </row>
    <row r="176" spans="1:7" ht="14.25">
      <c r="A176" s="822"/>
      <c r="B176" s="822"/>
      <c r="C176" s="843"/>
      <c r="D176" s="1000"/>
      <c r="E176" s="1000"/>
      <c r="F176" s="1000"/>
      <c r="G176" s="844"/>
    </row>
    <row r="177" spans="1:7">
      <c r="A177" s="843"/>
      <c r="B177" s="843"/>
      <c r="C177" s="843"/>
      <c r="D177" s="1000"/>
      <c r="E177" s="1000"/>
      <c r="F177" s="1000"/>
    </row>
    <row r="178" spans="1:7">
      <c r="A178" s="843"/>
      <c r="B178" s="843"/>
      <c r="C178" s="843"/>
      <c r="D178" s="828"/>
      <c r="E178" s="844"/>
      <c r="F178" s="844"/>
    </row>
    <row r="179" spans="1:7">
      <c r="A179" s="843"/>
      <c r="B179" s="843"/>
      <c r="C179" s="843"/>
      <c r="D179" s="970" t="s">
        <v>1219</v>
      </c>
      <c r="E179" s="970"/>
      <c r="F179" s="970"/>
    </row>
    <row r="180" spans="1:7">
      <c r="A180" s="843"/>
      <c r="B180" s="843"/>
      <c r="C180" s="843"/>
      <c r="D180" s="970"/>
      <c r="E180" s="970"/>
      <c r="F180" s="970"/>
    </row>
    <row r="181" spans="1:7">
      <c r="A181" s="843"/>
      <c r="B181" s="843"/>
      <c r="C181" s="843"/>
      <c r="D181" s="803"/>
      <c r="E181" s="803"/>
      <c r="F181" s="803"/>
    </row>
    <row r="182" spans="1:7" s="642" customFormat="1" ht="14.25">
      <c r="A182" s="822"/>
      <c r="B182" s="823" t="s">
        <v>329</v>
      </c>
      <c r="C182" s="831"/>
      <c r="D182" s="1000" t="s">
        <v>1476</v>
      </c>
      <c r="E182" s="1000"/>
      <c r="F182" s="1000"/>
      <c r="G182" s="717"/>
    </row>
    <row r="183" spans="1:7" s="642" customFormat="1" ht="14.45" customHeight="1">
      <c r="A183" s="822"/>
      <c r="C183" s="831"/>
      <c r="D183" s="1000"/>
      <c r="E183" s="1000"/>
      <c r="F183" s="1000"/>
      <c r="G183" s="717"/>
    </row>
    <row r="184" spans="1:7" s="642" customFormat="1" ht="14.25">
      <c r="A184" s="822"/>
      <c r="B184" s="843"/>
      <c r="C184" s="831"/>
      <c r="D184" s="1000"/>
      <c r="E184" s="1000"/>
      <c r="F184" s="1000"/>
      <c r="G184" s="717"/>
    </row>
    <row r="185" spans="1:7" s="642" customFormat="1" ht="14.25">
      <c r="A185" s="822"/>
      <c r="B185" s="843"/>
      <c r="C185" s="831"/>
      <c r="D185" s="1000"/>
      <c r="E185" s="1000"/>
      <c r="F185" s="1000"/>
      <c r="G185" s="717"/>
    </row>
    <row r="186" spans="1:7">
      <c r="A186" s="843"/>
      <c r="B186" s="843"/>
      <c r="C186" s="843"/>
      <c r="D186" s="803"/>
      <c r="E186" s="803"/>
      <c r="F186" s="803"/>
    </row>
    <row r="187" spans="1:7">
      <c r="A187" s="982" t="s">
        <v>1204</v>
      </c>
      <c r="B187" s="982"/>
      <c r="C187" s="982"/>
      <c r="D187" s="982"/>
      <c r="E187" s="982"/>
      <c r="F187" s="982"/>
      <c r="G187" s="982"/>
    </row>
    <row r="188" spans="1:7" ht="12" customHeight="1">
      <c r="D188" s="825"/>
      <c r="E188" s="825"/>
      <c r="F188" s="825"/>
    </row>
    <row r="189" spans="1:7">
      <c r="C189" s="832"/>
      <c r="D189" s="1063" t="s">
        <v>222</v>
      </c>
      <c r="E189" s="1063"/>
      <c r="F189" s="1063"/>
    </row>
    <row r="190" spans="1:7">
      <c r="A190" s="818"/>
      <c r="B190" s="818"/>
      <c r="C190" s="818"/>
      <c r="D190" s="1077" t="s">
        <v>1333</v>
      </c>
      <c r="E190" s="1077"/>
      <c r="F190" s="1077"/>
    </row>
    <row r="191" spans="1:7" ht="12" customHeight="1">
      <c r="A191" s="841"/>
      <c r="B191" s="841"/>
      <c r="C191" s="841"/>
    </row>
    <row r="192" spans="1:7" ht="13.7" customHeight="1">
      <c r="A192" s="841"/>
      <c r="C192" s="841"/>
      <c r="D192" s="999" t="s">
        <v>592</v>
      </c>
      <c r="E192" s="999"/>
      <c r="F192" s="999"/>
    </row>
    <row r="193" spans="1:6" ht="14.25">
      <c r="A193" s="822"/>
      <c r="B193" s="823" t="s">
        <v>329</v>
      </c>
      <c r="D193" s="1000" t="s">
        <v>1328</v>
      </c>
      <c r="E193" s="1000"/>
      <c r="F193" s="1000"/>
    </row>
    <row r="194" spans="1:6" ht="14.25">
      <c r="A194" s="822"/>
      <c r="B194" s="822"/>
      <c r="D194" s="1000"/>
      <c r="E194" s="1000"/>
      <c r="F194" s="1000"/>
    </row>
    <row r="195" spans="1:6" ht="14.25">
      <c r="A195" s="822"/>
      <c r="B195" s="822"/>
      <c r="D195" s="1000"/>
      <c r="E195" s="1000"/>
      <c r="F195" s="1000"/>
    </row>
    <row r="196" spans="1:6" ht="5.0999999999999996" customHeight="1">
      <c r="A196" s="822"/>
      <c r="B196" s="822"/>
      <c r="D196" s="810"/>
      <c r="E196" s="825"/>
      <c r="F196" s="825"/>
    </row>
    <row r="197" spans="1:6" ht="14.25">
      <c r="A197" s="822"/>
      <c r="B197" s="822"/>
      <c r="D197" s="1000" t="s">
        <v>1329</v>
      </c>
      <c r="E197" s="1000"/>
      <c r="F197" s="1000"/>
    </row>
    <row r="198" spans="1:6" ht="14.25">
      <c r="A198" s="822"/>
      <c r="B198" s="822"/>
      <c r="D198" s="1000"/>
      <c r="E198" s="1000"/>
      <c r="F198" s="1000"/>
    </row>
    <row r="199" spans="1:6" ht="14.25">
      <c r="A199" s="822"/>
      <c r="B199" s="822"/>
      <c r="D199" s="1000"/>
      <c r="E199" s="1000"/>
      <c r="F199" s="1000"/>
    </row>
    <row r="200" spans="1:6" ht="14.25">
      <c r="A200" s="822"/>
      <c r="B200" s="822"/>
      <c r="D200" s="1000"/>
      <c r="E200" s="1000"/>
      <c r="F200" s="1000"/>
    </row>
    <row r="201" spans="1:6" ht="14.25">
      <c r="A201" s="822"/>
      <c r="B201" s="822"/>
      <c r="D201" s="1000"/>
      <c r="E201" s="1000"/>
      <c r="F201" s="1000"/>
    </row>
    <row r="202" spans="1:6" ht="14.25">
      <c r="A202" s="822"/>
      <c r="B202" s="822"/>
      <c r="D202" s="825"/>
      <c r="E202" s="825"/>
      <c r="F202" s="825"/>
    </row>
    <row r="203" spans="1:6" ht="14.25">
      <c r="A203" s="822"/>
      <c r="B203" s="823" t="s">
        <v>329</v>
      </c>
      <c r="D203" s="1072" t="s">
        <v>1330</v>
      </c>
      <c r="E203" s="1072"/>
      <c r="F203" s="1072"/>
    </row>
    <row r="204" spans="1:6" ht="14.25">
      <c r="A204" s="822"/>
      <c r="B204" s="822"/>
      <c r="D204" s="1072"/>
      <c r="E204" s="1072"/>
      <c r="F204" s="1072"/>
    </row>
    <row r="205" spans="1:6" ht="14.25">
      <c r="A205" s="822"/>
      <c r="B205" s="822"/>
      <c r="D205" s="1064" t="s">
        <v>992</v>
      </c>
      <c r="E205" s="1064"/>
      <c r="F205" s="1064"/>
    </row>
    <row r="206" spans="1:6" ht="14.25">
      <c r="A206" s="822"/>
      <c r="B206" s="822"/>
      <c r="D206" s="825"/>
      <c r="E206" s="825"/>
      <c r="F206" s="825"/>
    </row>
    <row r="207" spans="1:6" ht="14.45" customHeight="1">
      <c r="A207" s="822"/>
      <c r="B207" s="823" t="s">
        <v>329</v>
      </c>
      <c r="D207" s="1072" t="s">
        <v>1332</v>
      </c>
      <c r="E207" s="1072"/>
      <c r="F207" s="1072"/>
    </row>
    <row r="208" spans="1:6" ht="14.25">
      <c r="A208" s="822"/>
      <c r="B208" s="822"/>
      <c r="D208" s="1072"/>
      <c r="E208" s="1072"/>
      <c r="F208" s="1072"/>
    </row>
    <row r="209" spans="1:7" ht="14.25">
      <c r="A209" s="822"/>
      <c r="B209" s="822"/>
      <c r="D209" s="1072"/>
      <c r="E209" s="1072"/>
      <c r="F209" s="1072"/>
    </row>
    <row r="210" spans="1:7" ht="14.25">
      <c r="A210" s="822"/>
      <c r="B210" s="822"/>
      <c r="D210" s="1072"/>
      <c r="E210" s="1072"/>
      <c r="F210" s="1072"/>
    </row>
    <row r="211" spans="1:7" ht="14.25">
      <c r="A211" s="822"/>
      <c r="B211" s="822"/>
      <c r="D211" s="1072"/>
      <c r="E211" s="1072"/>
      <c r="F211" s="1072"/>
    </row>
    <row r="212" spans="1:7">
      <c r="D212" s="825"/>
      <c r="E212" s="825"/>
      <c r="F212" s="825"/>
    </row>
    <row r="213" spans="1:7" ht="14.25">
      <c r="A213" s="822"/>
      <c r="B213" s="823" t="s">
        <v>329</v>
      </c>
      <c r="D213" s="1000" t="s">
        <v>1331</v>
      </c>
      <c r="E213" s="1000"/>
      <c r="F213" s="1000"/>
    </row>
    <row r="214" spans="1:7" ht="14.25">
      <c r="A214" s="822"/>
      <c r="B214" s="822"/>
      <c r="D214" s="1000"/>
      <c r="E214" s="1000"/>
      <c r="F214" s="1000"/>
    </row>
    <row r="215" spans="1:7">
      <c r="D215" s="846"/>
    </row>
    <row r="216" spans="1:7">
      <c r="A216" s="982" t="s">
        <v>1205</v>
      </c>
      <c r="B216" s="982"/>
      <c r="C216" s="982"/>
      <c r="D216" s="982"/>
      <c r="E216" s="982"/>
      <c r="F216" s="982"/>
      <c r="G216" s="982"/>
    </row>
    <row r="217" spans="1:7">
      <c r="D217" s="846"/>
    </row>
    <row r="218" spans="1:7">
      <c r="C218" s="832"/>
      <c r="D218" s="999" t="s">
        <v>1334</v>
      </c>
      <c r="E218" s="999"/>
      <c r="F218" s="999"/>
    </row>
    <row r="219" spans="1:7">
      <c r="A219" s="818"/>
      <c r="B219" s="818"/>
      <c r="C219" s="818"/>
      <c r="D219" s="825"/>
      <c r="E219" s="825"/>
      <c r="F219" s="825"/>
    </row>
    <row r="220" spans="1:7">
      <c r="A220" s="820"/>
      <c r="B220" s="820"/>
      <c r="C220" s="820"/>
      <c r="D220" s="999" t="s">
        <v>285</v>
      </c>
      <c r="E220" s="999"/>
      <c r="F220" s="999"/>
    </row>
    <row r="221" spans="1:7" ht="14.45" customHeight="1">
      <c r="A221" s="822"/>
      <c r="B221" s="823" t="s">
        <v>329</v>
      </c>
      <c r="D221" s="1074" t="s">
        <v>1448</v>
      </c>
      <c r="E221" s="1074"/>
      <c r="F221" s="1074"/>
    </row>
    <row r="222" spans="1:7">
      <c r="D222" s="1074"/>
      <c r="E222" s="1074"/>
      <c r="F222" s="1074"/>
    </row>
    <row r="223" spans="1:7">
      <c r="D223" s="1077" t="s">
        <v>983</v>
      </c>
      <c r="E223" s="1077"/>
      <c r="F223" s="1077"/>
    </row>
    <row r="224" spans="1:7">
      <c r="D224" s="825"/>
      <c r="E224" s="825"/>
      <c r="F224" s="825"/>
    </row>
    <row r="225" spans="1:7" ht="14.45" customHeight="1">
      <c r="A225" s="822"/>
      <c r="B225" s="823" t="s">
        <v>329</v>
      </c>
      <c r="D225" s="1072" t="s">
        <v>1449</v>
      </c>
      <c r="E225" s="1072"/>
      <c r="F225" s="1072"/>
    </row>
    <row r="226" spans="1:7">
      <c r="D226" s="1072"/>
      <c r="E226" s="1072"/>
      <c r="F226" s="1072"/>
    </row>
    <row r="227" spans="1:7">
      <c r="D227" s="1072"/>
      <c r="E227" s="1072"/>
      <c r="F227" s="1072"/>
    </row>
    <row r="228" spans="1:7">
      <c r="D228" s="1072"/>
      <c r="E228" s="1072"/>
      <c r="F228" s="1072"/>
    </row>
    <row r="229" spans="1:7">
      <c r="D229" s="1072"/>
      <c r="E229" s="1072"/>
      <c r="F229" s="1072"/>
    </row>
    <row r="230" spans="1:7">
      <c r="D230" s="825"/>
      <c r="E230" s="825"/>
      <c r="F230" s="825"/>
    </row>
    <row r="231" spans="1:7" ht="14.25">
      <c r="A231" s="822"/>
      <c r="B231" s="823" t="s">
        <v>329</v>
      </c>
      <c r="D231" s="1000" t="s">
        <v>1337</v>
      </c>
      <c r="E231" s="1000"/>
      <c r="F231" s="1000"/>
    </row>
    <row r="232" spans="1:7">
      <c r="D232" s="1000"/>
      <c r="E232" s="1000"/>
      <c r="F232" s="1000"/>
    </row>
    <row r="233" spans="1:7">
      <c r="D233" s="1000"/>
      <c r="E233" s="1000"/>
      <c r="F233" s="1000"/>
    </row>
    <row r="234" spans="1:7">
      <c r="D234" s="847"/>
      <c r="E234" s="825"/>
      <c r="F234" s="825"/>
    </row>
    <row r="235" spans="1:7">
      <c r="A235" s="982" t="s">
        <v>1206</v>
      </c>
      <c r="B235" s="982"/>
      <c r="C235" s="982"/>
      <c r="D235" s="982"/>
      <c r="E235" s="982"/>
      <c r="F235" s="982"/>
      <c r="G235" s="982"/>
    </row>
    <row r="236" spans="1:7">
      <c r="D236" s="847"/>
      <c r="E236" s="825"/>
      <c r="F236" s="825"/>
    </row>
    <row r="237" spans="1:7">
      <c r="C237" s="818"/>
      <c r="D237" s="1071" t="s">
        <v>1339</v>
      </c>
      <c r="E237" s="1071"/>
      <c r="F237" s="1071"/>
    </row>
    <row r="238" spans="1:7">
      <c r="C238" s="818"/>
      <c r="D238" s="1071"/>
      <c r="E238" s="1071"/>
      <c r="F238" s="1071"/>
    </row>
    <row r="239" spans="1:7">
      <c r="A239" s="820"/>
      <c r="B239" s="820"/>
      <c r="C239" s="820"/>
      <c r="D239" s="646"/>
      <c r="E239" s="696"/>
      <c r="F239" s="696"/>
    </row>
    <row r="240" spans="1:7">
      <c r="C240" s="820"/>
      <c r="D240" s="999" t="s">
        <v>223</v>
      </c>
      <c r="E240" s="999"/>
      <c r="F240" s="999"/>
    </row>
    <row r="241" spans="1:7" ht="15.75" customHeight="1">
      <c r="A241" s="822"/>
      <c r="B241" s="822"/>
      <c r="D241" s="1055" t="s">
        <v>1340</v>
      </c>
      <c r="E241" s="1055"/>
      <c r="F241" s="1055"/>
    </row>
    <row r="242" spans="1:7">
      <c r="E242" s="825"/>
      <c r="F242" s="825"/>
    </row>
    <row r="243" spans="1:7" ht="14.25">
      <c r="A243" s="822"/>
      <c r="B243" s="823" t="s">
        <v>329</v>
      </c>
      <c r="D243" s="1000" t="s">
        <v>1341</v>
      </c>
      <c r="E243" s="1000"/>
      <c r="F243" s="1000"/>
    </row>
    <row r="244" spans="1:7" ht="14.25">
      <c r="A244" s="822"/>
      <c r="B244" s="822"/>
      <c r="D244" s="1000"/>
      <c r="E244" s="1000"/>
      <c r="F244" s="1000"/>
    </row>
    <row r="245" spans="1:7">
      <c r="D245" s="825"/>
      <c r="E245" s="825"/>
      <c r="F245" s="825"/>
    </row>
    <row r="246" spans="1:7" ht="14.25">
      <c r="A246" s="822"/>
      <c r="B246" s="823" t="s">
        <v>329</v>
      </c>
      <c r="D246" s="1072" t="s">
        <v>1342</v>
      </c>
      <c r="E246" s="1072"/>
      <c r="F246" s="1072"/>
    </row>
    <row r="247" spans="1:7" ht="14.25">
      <c r="A247" s="822"/>
      <c r="B247" s="822"/>
      <c r="D247" s="1072"/>
      <c r="E247" s="1072"/>
      <c r="F247" s="1072"/>
    </row>
    <row r="248" spans="1:7" ht="14.25">
      <c r="A248" s="822"/>
      <c r="B248" s="822"/>
      <c r="D248" s="1072"/>
      <c r="E248" s="1072"/>
      <c r="F248" s="1072"/>
    </row>
    <row r="249" spans="1:7">
      <c r="D249" s="825"/>
      <c r="E249" s="825"/>
      <c r="F249" s="825"/>
    </row>
    <row r="250" spans="1:7" ht="14.25">
      <c r="A250" s="822"/>
      <c r="B250" s="823" t="s">
        <v>329</v>
      </c>
      <c r="D250" s="1000" t="s">
        <v>1343</v>
      </c>
      <c r="E250" s="1000"/>
      <c r="F250" s="1000"/>
    </row>
    <row r="251" spans="1:7" ht="14.25">
      <c r="A251" s="822"/>
      <c r="B251" s="822"/>
      <c r="D251" s="1000"/>
      <c r="E251" s="1000"/>
      <c r="F251" s="1000"/>
    </row>
    <row r="252" spans="1:7">
      <c r="A252" s="841"/>
      <c r="B252" s="841"/>
      <c r="E252" s="825"/>
      <c r="F252" s="825"/>
    </row>
    <row r="253" spans="1:7">
      <c r="A253" s="982" t="s">
        <v>1207</v>
      </c>
      <c r="B253" s="982"/>
      <c r="C253" s="982"/>
      <c r="D253" s="982"/>
      <c r="E253" s="982"/>
      <c r="F253" s="982"/>
      <c r="G253" s="982"/>
    </row>
    <row r="254" spans="1:7">
      <c r="A254" s="841"/>
      <c r="B254" s="841"/>
      <c r="D254" s="825"/>
      <c r="E254" s="825"/>
      <c r="F254" s="825"/>
    </row>
    <row r="255" spans="1:7">
      <c r="C255" s="841"/>
      <c r="D255" s="999" t="s">
        <v>735</v>
      </c>
      <c r="E255" s="999"/>
      <c r="F255" s="999"/>
    </row>
    <row r="256" spans="1:7">
      <c r="C256" s="841"/>
      <c r="D256" s="1002" t="s">
        <v>1344</v>
      </c>
      <c r="E256" s="1002"/>
      <c r="F256" s="1002"/>
    </row>
    <row r="257" spans="1:7">
      <c r="C257" s="841"/>
      <c r="D257" s="848"/>
    </row>
    <row r="258" spans="1:7">
      <c r="A258" s="826"/>
      <c r="B258" s="823" t="s">
        <v>329</v>
      </c>
      <c r="D258" s="1002" t="s">
        <v>1345</v>
      </c>
      <c r="E258" s="1002"/>
      <c r="F258" s="1002"/>
    </row>
    <row r="259" spans="1:7" s="816" customFormat="1" ht="14.25">
      <c r="A259" s="830"/>
      <c r="B259" s="830"/>
      <c r="C259" s="826"/>
      <c r="D259" s="849"/>
      <c r="E259" s="850"/>
      <c r="F259" s="850"/>
      <c r="G259" s="827"/>
    </row>
    <row r="260" spans="1:7" s="816" customFormat="1" ht="13.7" customHeight="1">
      <c r="A260" s="826"/>
      <c r="B260" s="823" t="s">
        <v>329</v>
      </c>
      <c r="C260" s="826"/>
      <c r="D260" s="1081" t="s">
        <v>1481</v>
      </c>
      <c r="E260" s="1081"/>
      <c r="F260" s="1081"/>
      <c r="G260" s="827"/>
    </row>
    <row r="261" spans="1:7" s="816" customFormat="1" ht="14.25">
      <c r="A261" s="830"/>
      <c r="B261" s="830"/>
      <c r="C261" s="826"/>
      <c r="D261" s="1081"/>
      <c r="E261" s="1081"/>
      <c r="F261" s="1081"/>
      <c r="G261" s="827"/>
    </row>
    <row r="262" spans="1:7" s="816" customFormat="1" ht="14.25">
      <c r="A262" s="830"/>
      <c r="B262" s="830"/>
      <c r="C262" s="826"/>
      <c r="D262" s="1081"/>
      <c r="E262" s="1081"/>
      <c r="F262" s="1081"/>
      <c r="G262" s="827"/>
    </row>
    <row r="263" spans="1:7" s="816" customFormat="1" ht="14.25">
      <c r="A263" s="830"/>
      <c r="B263" s="830"/>
      <c r="C263" s="826"/>
      <c r="D263" s="1081"/>
      <c r="E263" s="1081"/>
      <c r="F263" s="1081"/>
      <c r="G263" s="827"/>
    </row>
    <row r="264" spans="1:7" s="816" customFormat="1" ht="14.25">
      <c r="A264" s="830"/>
      <c r="B264" s="830"/>
      <c r="C264" s="826"/>
      <c r="D264" s="1081"/>
      <c r="E264" s="1081"/>
      <c r="F264" s="1081"/>
      <c r="G264" s="827"/>
    </row>
    <row r="265" spans="1:7" s="816" customFormat="1" ht="14.25">
      <c r="A265" s="830"/>
      <c r="B265" s="830"/>
      <c r="C265" s="826"/>
      <c r="D265" s="849"/>
      <c r="E265" s="850"/>
      <c r="F265" s="850"/>
      <c r="G265" s="827"/>
    </row>
    <row r="266" spans="1:7" s="816" customFormat="1" ht="13.7" customHeight="1">
      <c r="A266" s="826"/>
      <c r="B266" s="823" t="s">
        <v>329</v>
      </c>
      <c r="C266" s="826"/>
      <c r="D266" s="1081" t="s">
        <v>1347</v>
      </c>
      <c r="E266" s="1081"/>
      <c r="F266" s="1081"/>
      <c r="G266" s="827"/>
    </row>
    <row r="267" spans="1:7" s="816" customFormat="1">
      <c r="A267" s="826"/>
      <c r="B267" s="826"/>
      <c r="C267" s="826"/>
      <c r="D267" s="1081"/>
      <c r="E267" s="1081"/>
      <c r="F267" s="1081"/>
      <c r="G267" s="827"/>
    </row>
    <row r="268" spans="1:7" s="816" customFormat="1" ht="14.25">
      <c r="A268" s="830"/>
      <c r="B268" s="830"/>
      <c r="C268" s="826"/>
      <c r="D268" s="849"/>
      <c r="E268" s="850"/>
      <c r="F268" s="850"/>
      <c r="G268" s="827"/>
    </row>
    <row r="269" spans="1:7">
      <c r="A269" s="826"/>
      <c r="B269" s="823" t="s">
        <v>329</v>
      </c>
      <c r="D269" s="1002" t="s">
        <v>1348</v>
      </c>
      <c r="E269" s="1002"/>
      <c r="F269" s="1002"/>
    </row>
    <row r="270" spans="1:7">
      <c r="E270" s="825"/>
      <c r="F270" s="825"/>
    </row>
    <row r="271" spans="1:7" ht="14.25">
      <c r="A271" s="822"/>
      <c r="B271" s="823" t="s">
        <v>329</v>
      </c>
      <c r="D271" s="1072" t="s">
        <v>1511</v>
      </c>
      <c r="E271" s="1072"/>
      <c r="F271" s="1072"/>
    </row>
    <row r="272" spans="1:7" ht="14.25">
      <c r="A272" s="822"/>
      <c r="B272" s="822"/>
      <c r="D272" s="1072"/>
      <c r="E272" s="1072"/>
      <c r="F272" s="1072"/>
    </row>
    <row r="273" spans="1:6" ht="14.25">
      <c r="A273" s="822"/>
      <c r="B273" s="822"/>
      <c r="D273" s="1072"/>
      <c r="E273" s="1072"/>
      <c r="F273" s="1072"/>
    </row>
    <row r="274" spans="1:6" ht="14.25">
      <c r="A274" s="822"/>
      <c r="B274" s="822"/>
      <c r="D274" s="1072"/>
      <c r="E274" s="1072"/>
      <c r="F274" s="1072"/>
    </row>
    <row r="275" spans="1:6" ht="14.25">
      <c r="A275" s="822"/>
      <c r="B275" s="822"/>
      <c r="D275" s="1072"/>
      <c r="E275" s="1072"/>
      <c r="F275" s="1072"/>
    </row>
    <row r="276" spans="1:6" ht="14.25">
      <c r="A276" s="822"/>
      <c r="B276" s="822"/>
      <c r="D276" s="1072"/>
      <c r="E276" s="1072"/>
      <c r="F276" s="1072"/>
    </row>
    <row r="277" spans="1:6" ht="14.25">
      <c r="A277" s="822"/>
      <c r="B277" s="822"/>
      <c r="D277" s="1072"/>
      <c r="E277" s="1072"/>
      <c r="F277" s="1072"/>
    </row>
    <row r="278" spans="1:6" ht="14.25">
      <c r="A278" s="822"/>
      <c r="B278" s="822"/>
      <c r="D278" s="1072"/>
      <c r="E278" s="1072"/>
      <c r="F278" s="1072"/>
    </row>
    <row r="279" spans="1:6" ht="14.25">
      <c r="A279" s="822"/>
      <c r="B279" s="822"/>
      <c r="D279" s="1072"/>
      <c r="E279" s="1072"/>
      <c r="F279" s="1072"/>
    </row>
    <row r="280" spans="1:6" ht="14.25">
      <c r="A280" s="822"/>
      <c r="B280" s="822"/>
      <c r="D280" s="1072"/>
      <c r="E280" s="1072"/>
      <c r="F280" s="1072"/>
    </row>
    <row r="281" spans="1:6" ht="14.25">
      <c r="A281" s="822"/>
      <c r="B281" s="822"/>
      <c r="D281" s="1072"/>
      <c r="E281" s="1072"/>
      <c r="F281" s="1072"/>
    </row>
    <row r="282" spans="1:6" ht="14.25">
      <c r="A282" s="822"/>
      <c r="B282" s="822"/>
      <c r="D282" s="1072"/>
      <c r="E282" s="1072"/>
      <c r="F282" s="1072"/>
    </row>
    <row r="283" spans="1:6" ht="14.25">
      <c r="A283" s="822"/>
      <c r="B283" s="822"/>
      <c r="D283" s="1072"/>
      <c r="E283" s="1072"/>
      <c r="F283" s="1072"/>
    </row>
    <row r="284" spans="1:6" ht="14.25">
      <c r="A284" s="822"/>
      <c r="B284" s="822"/>
      <c r="D284" s="1072"/>
      <c r="E284" s="1072"/>
      <c r="F284" s="1072"/>
    </row>
    <row r="285" spans="1:6" ht="14.25">
      <c r="A285" s="822"/>
      <c r="B285" s="822"/>
      <c r="D285" s="1072"/>
      <c r="E285" s="1072"/>
      <c r="F285" s="1072"/>
    </row>
    <row r="286" spans="1:6">
      <c r="D286" s="825"/>
      <c r="E286" s="825"/>
      <c r="F286" s="825"/>
    </row>
    <row r="287" spans="1:6" ht="14.25">
      <c r="A287" s="822"/>
      <c r="B287" s="823" t="s">
        <v>329</v>
      </c>
      <c r="D287" s="1072" t="s">
        <v>1350</v>
      </c>
      <c r="E287" s="1072"/>
      <c r="F287" s="1072"/>
    </row>
    <row r="288" spans="1:6">
      <c r="D288" s="1072"/>
      <c r="E288" s="1072"/>
      <c r="F288" s="1072"/>
    </row>
    <row r="289" spans="1:7">
      <c r="D289" s="1072"/>
      <c r="E289" s="1072"/>
      <c r="F289" s="1072"/>
    </row>
    <row r="290" spans="1:7">
      <c r="D290" s="1072"/>
      <c r="E290" s="1072"/>
      <c r="F290" s="1072"/>
    </row>
    <row r="291" spans="1:7">
      <c r="D291" s="1072"/>
      <c r="E291" s="1072"/>
      <c r="F291" s="1072"/>
    </row>
    <row r="292" spans="1:7">
      <c r="D292" s="1072"/>
      <c r="E292" s="1072"/>
      <c r="F292" s="1072"/>
    </row>
    <row r="293" spans="1:7">
      <c r="D293" s="1072"/>
      <c r="E293" s="1072"/>
      <c r="F293" s="1072"/>
    </row>
    <row r="294" spans="1:7">
      <c r="D294" s="1072"/>
      <c r="E294" s="1072"/>
      <c r="F294" s="1072"/>
    </row>
    <row r="295" spans="1:7">
      <c r="D295" s="1072"/>
      <c r="E295" s="1072"/>
      <c r="F295" s="1072"/>
    </row>
    <row r="296" spans="1:7">
      <c r="D296" s="825"/>
      <c r="E296" s="825"/>
      <c r="F296" s="825"/>
    </row>
    <row r="297" spans="1:7" ht="14.25">
      <c r="A297" s="822"/>
      <c r="B297" s="823" t="s">
        <v>329</v>
      </c>
      <c r="D297" s="1000" t="s">
        <v>1581</v>
      </c>
      <c r="E297" s="1000"/>
      <c r="F297" s="1000"/>
    </row>
    <row r="298" spans="1:7">
      <c r="D298" s="1000"/>
      <c r="E298" s="1000"/>
      <c r="F298" s="1000"/>
      <c r="G298" s="815"/>
    </row>
    <row r="299" spans="1:7">
      <c r="D299" s="1000"/>
      <c r="E299" s="1000"/>
      <c r="F299" s="1000"/>
      <c r="G299" s="815"/>
    </row>
    <row r="300" spans="1:7">
      <c r="D300" s="1000"/>
      <c r="E300" s="1000"/>
      <c r="F300" s="1000"/>
      <c r="G300" s="815"/>
    </row>
    <row r="301" spans="1:7">
      <c r="D301" s="1000"/>
      <c r="E301" s="1000"/>
      <c r="F301" s="1000"/>
      <c r="G301" s="815"/>
    </row>
    <row r="302" spans="1:7">
      <c r="D302" s="1000"/>
      <c r="E302" s="1000"/>
      <c r="F302" s="1000"/>
      <c r="G302" s="815"/>
    </row>
    <row r="303" spans="1:7">
      <c r="D303" s="809"/>
      <c r="E303" s="809"/>
      <c r="F303" s="809"/>
      <c r="G303" s="815"/>
    </row>
    <row r="304" spans="1:7" ht="13.5" thickBot="1">
      <c r="D304" s="1073" t="s">
        <v>1093</v>
      </c>
      <c r="E304" s="1073"/>
      <c r="F304" s="1073"/>
      <c r="G304" s="815"/>
    </row>
    <row r="305" spans="1:7" ht="13.5" thickTop="1">
      <c r="D305" s="1082" t="s">
        <v>1352</v>
      </c>
      <c r="E305" s="1082"/>
      <c r="F305" s="1082"/>
      <c r="G305" s="815"/>
    </row>
    <row r="306" spans="1:7">
      <c r="A306" s="839"/>
      <c r="B306" s="839"/>
      <c r="C306" s="839"/>
      <c r="D306" s="811"/>
      <c r="E306" s="811"/>
      <c r="F306" s="825"/>
      <c r="G306" s="815"/>
    </row>
    <row r="307" spans="1:7" ht="14.25">
      <c r="A307" s="822"/>
      <c r="B307" s="823" t="s">
        <v>329</v>
      </c>
      <c r="C307" s="839"/>
      <c r="D307" s="996" t="s">
        <v>1353</v>
      </c>
      <c r="E307" s="996"/>
      <c r="F307" s="996"/>
      <c r="G307" s="815"/>
    </row>
    <row r="308" spans="1:7">
      <c r="A308" s="839"/>
      <c r="B308" s="839"/>
      <c r="C308" s="839"/>
      <c r="D308" s="811"/>
      <c r="E308" s="811"/>
      <c r="F308" s="825"/>
      <c r="G308" s="815"/>
    </row>
    <row r="309" spans="1:7">
      <c r="A309" s="839"/>
      <c r="B309" s="823" t="s">
        <v>329</v>
      </c>
      <c r="C309" s="839"/>
      <c r="D309" s="991" t="s">
        <v>1485</v>
      </c>
      <c r="E309" s="991"/>
      <c r="F309" s="991"/>
      <c r="G309" s="815"/>
    </row>
    <row r="310" spans="1:7">
      <c r="A310" s="839"/>
      <c r="B310" s="839"/>
      <c r="C310" s="839"/>
      <c r="D310" s="991"/>
      <c r="E310" s="991"/>
      <c r="F310" s="991"/>
      <c r="G310" s="815"/>
    </row>
    <row r="311" spans="1:7">
      <c r="A311" s="839"/>
      <c r="B311" s="839"/>
      <c r="C311" s="839"/>
      <c r="D311" s="991"/>
      <c r="E311" s="991"/>
      <c r="F311" s="991"/>
      <c r="G311" s="815"/>
    </row>
    <row r="312" spans="1:7">
      <c r="A312" s="839"/>
      <c r="B312" s="839"/>
      <c r="C312" s="839"/>
      <c r="D312" s="991"/>
      <c r="E312" s="991"/>
      <c r="F312" s="991"/>
      <c r="G312" s="815"/>
    </row>
    <row r="313" spans="1:7">
      <c r="A313" s="839"/>
      <c r="B313" s="839"/>
      <c r="C313" s="839"/>
      <c r="D313" s="991"/>
      <c r="E313" s="991"/>
      <c r="F313" s="991"/>
      <c r="G313" s="815"/>
    </row>
    <row r="314" spans="1:7">
      <c r="A314" s="839"/>
      <c r="B314" s="839"/>
      <c r="C314" s="839"/>
      <c r="D314" s="991"/>
      <c r="E314" s="991"/>
      <c r="F314" s="991"/>
      <c r="G314" s="815"/>
    </row>
    <row r="315" spans="1:7">
      <c r="A315" s="839"/>
      <c r="B315" s="839"/>
      <c r="C315" s="839"/>
      <c r="D315" s="991"/>
      <c r="E315" s="991"/>
      <c r="F315" s="991"/>
      <c r="G315" s="815"/>
    </row>
    <row r="316" spans="1:7">
      <c r="A316" s="839"/>
      <c r="B316" s="839"/>
      <c r="C316" s="839"/>
      <c r="D316" s="991"/>
      <c r="E316" s="991"/>
      <c r="F316" s="991"/>
      <c r="G316" s="815"/>
    </row>
    <row r="317" spans="1:7">
      <c r="A317" s="839"/>
      <c r="B317" s="839"/>
      <c r="C317" s="839"/>
      <c r="D317" s="991"/>
      <c r="E317" s="991"/>
      <c r="F317" s="991"/>
      <c r="G317" s="815"/>
    </row>
    <row r="318" spans="1:7">
      <c r="A318" s="839"/>
      <c r="B318" s="839"/>
      <c r="C318" s="839"/>
      <c r="D318" s="991"/>
      <c r="E318" s="991"/>
      <c r="F318" s="991"/>
      <c r="G318" s="815"/>
    </row>
    <row r="319" spans="1:7">
      <c r="A319" s="839"/>
      <c r="B319" s="839"/>
      <c r="C319" s="839"/>
      <c r="D319" s="991"/>
      <c r="E319" s="991"/>
      <c r="F319" s="991"/>
      <c r="G319" s="815"/>
    </row>
    <row r="320" spans="1:7">
      <c r="A320" s="839"/>
      <c r="B320" s="839"/>
      <c r="C320" s="839"/>
      <c r="D320" s="991"/>
      <c r="E320" s="991"/>
      <c r="F320" s="991"/>
      <c r="G320" s="815"/>
    </row>
    <row r="321" spans="1:7" ht="12.4" customHeight="1">
      <c r="A321" s="839"/>
      <c r="B321" s="823" t="s">
        <v>329</v>
      </c>
      <c r="C321" s="839"/>
      <c r="D321" s="1083" t="s">
        <v>1486</v>
      </c>
      <c r="E321" s="1083"/>
      <c r="F321" s="1083"/>
      <c r="G321" s="815"/>
    </row>
    <row r="322" spans="1:7">
      <c r="A322" s="839"/>
      <c r="B322" s="839"/>
      <c r="C322" s="839"/>
      <c r="D322" s="1083"/>
      <c r="E322" s="1083"/>
      <c r="F322" s="1083"/>
      <c r="G322" s="815"/>
    </row>
    <row r="323" spans="1:7">
      <c r="A323" s="839"/>
      <c r="B323" s="839"/>
      <c r="C323" s="839"/>
      <c r="D323" s="1083"/>
      <c r="E323" s="1083"/>
      <c r="F323" s="1083"/>
      <c r="G323" s="815"/>
    </row>
    <row r="324" spans="1:7">
      <c r="A324" s="839"/>
      <c r="B324" s="839"/>
      <c r="C324" s="839"/>
      <c r="D324" s="1083"/>
      <c r="E324" s="1083"/>
      <c r="F324" s="1083"/>
      <c r="G324" s="815"/>
    </row>
    <row r="325" spans="1:7">
      <c r="A325" s="839"/>
      <c r="B325" s="839"/>
      <c r="C325" s="839"/>
      <c r="D325" s="815"/>
      <c r="E325" s="811"/>
      <c r="F325" s="825"/>
      <c r="G325" s="815"/>
    </row>
    <row r="326" spans="1:7" ht="14.25">
      <c r="A326" s="822"/>
      <c r="B326" s="823" t="s">
        <v>329</v>
      </c>
      <c r="C326" s="839"/>
      <c r="D326" s="989" t="s">
        <v>1355</v>
      </c>
      <c r="E326" s="989"/>
      <c r="F326" s="989"/>
      <c r="G326" s="815"/>
    </row>
    <row r="327" spans="1:7">
      <c r="A327" s="839"/>
      <c r="B327" s="839"/>
      <c r="C327" s="839"/>
      <c r="D327" s="989"/>
      <c r="E327" s="989"/>
      <c r="F327" s="989"/>
      <c r="G327" s="815"/>
    </row>
    <row r="328" spans="1:7">
      <c r="A328" s="839"/>
      <c r="B328" s="839"/>
      <c r="C328" s="839"/>
      <c r="D328" s="989"/>
      <c r="E328" s="989"/>
      <c r="F328" s="989"/>
      <c r="G328" s="815"/>
    </row>
    <row r="329" spans="1:7">
      <c r="A329" s="839"/>
      <c r="B329" s="839"/>
      <c r="C329" s="839"/>
      <c r="D329" s="989"/>
      <c r="E329" s="989"/>
      <c r="F329" s="989"/>
      <c r="G329" s="815"/>
    </row>
    <row r="330" spans="1:7">
      <c r="A330" s="839"/>
      <c r="B330" s="839"/>
      <c r="C330" s="839"/>
      <c r="D330" s="851"/>
      <c r="E330" s="811"/>
      <c r="F330" s="825"/>
      <c r="G330" s="815"/>
    </row>
    <row r="331" spans="1:7">
      <c r="A331" s="839"/>
      <c r="B331" s="839"/>
      <c r="C331" s="839"/>
      <c r="D331" s="989" t="s">
        <v>1356</v>
      </c>
      <c r="E331" s="989"/>
      <c r="F331" s="989"/>
      <c r="G331" s="815"/>
    </row>
    <row r="332" spans="1:7">
      <c r="A332" s="839"/>
      <c r="B332" s="839"/>
      <c r="C332" s="839"/>
      <c r="D332" s="989"/>
      <c r="E332" s="989"/>
      <c r="F332" s="989"/>
      <c r="G332" s="815"/>
    </row>
    <row r="333" spans="1:7">
      <c r="A333" s="839"/>
      <c r="B333" s="839"/>
      <c r="C333" s="839"/>
      <c r="D333" s="989"/>
      <c r="E333" s="989"/>
      <c r="F333" s="989"/>
      <c r="G333" s="815"/>
    </row>
    <row r="334" spans="1:7">
      <c r="A334" s="839"/>
      <c r="B334" s="839"/>
      <c r="C334" s="839"/>
      <c r="D334" s="989"/>
      <c r="E334" s="989"/>
      <c r="F334" s="989"/>
      <c r="G334" s="815"/>
    </row>
    <row r="335" spans="1:7" ht="18" customHeight="1">
      <c r="A335" s="839"/>
      <c r="B335" s="839"/>
      <c r="C335" s="839"/>
      <c r="D335" s="989"/>
      <c r="E335" s="989"/>
      <c r="F335" s="989"/>
      <c r="G335" s="815"/>
    </row>
    <row r="336" spans="1:7">
      <c r="A336" s="839"/>
      <c r="B336" s="839"/>
      <c r="C336" s="839"/>
      <c r="D336" s="989"/>
      <c r="E336" s="989"/>
      <c r="F336" s="989"/>
      <c r="G336" s="815"/>
    </row>
    <row r="337" spans="1:7">
      <c r="A337" s="839"/>
      <c r="B337" s="839"/>
      <c r="C337" s="839"/>
      <c r="D337" s="989"/>
      <c r="E337" s="989"/>
      <c r="F337" s="989"/>
      <c r="G337" s="815"/>
    </row>
    <row r="338" spans="1:7">
      <c r="A338" s="839"/>
      <c r="B338" s="839"/>
      <c r="C338" s="839"/>
      <c r="D338" s="989"/>
      <c r="E338" s="989"/>
      <c r="F338" s="989"/>
      <c r="G338" s="815"/>
    </row>
    <row r="339" spans="1:7" ht="8.25" customHeight="1">
      <c r="A339" s="839"/>
      <c r="B339" s="839"/>
      <c r="C339" s="839"/>
      <c r="D339" s="989"/>
      <c r="E339" s="989"/>
      <c r="F339" s="989"/>
      <c r="G339" s="815"/>
    </row>
    <row r="340" spans="1:7" ht="13.7" customHeight="1">
      <c r="A340" s="839"/>
      <c r="B340" s="839"/>
      <c r="C340" s="839"/>
      <c r="D340" s="990" t="s">
        <v>1357</v>
      </c>
      <c r="E340" s="990"/>
      <c r="F340" s="990"/>
      <c r="G340" s="815"/>
    </row>
    <row r="341" spans="1:7">
      <c r="A341" s="839"/>
      <c r="B341" s="839"/>
      <c r="C341" s="839"/>
      <c r="D341" s="990"/>
      <c r="E341" s="990"/>
      <c r="F341" s="990"/>
      <c r="G341" s="815"/>
    </row>
    <row r="342" spans="1:7">
      <c r="A342" s="839"/>
      <c r="B342" s="839"/>
      <c r="C342" s="839"/>
      <c r="D342" s="990"/>
      <c r="E342" s="990"/>
      <c r="F342" s="990"/>
      <c r="G342" s="815"/>
    </row>
    <row r="343" spans="1:7">
      <c r="A343" s="839"/>
      <c r="B343" s="839"/>
      <c r="C343" s="839"/>
      <c r="D343" s="990"/>
      <c r="E343" s="990"/>
      <c r="F343" s="990"/>
      <c r="G343" s="815"/>
    </row>
    <row r="344" spans="1:7">
      <c r="A344" s="839"/>
      <c r="B344" s="839"/>
      <c r="C344" s="839"/>
      <c r="D344" s="990"/>
      <c r="E344" s="990"/>
      <c r="F344" s="990"/>
      <c r="G344" s="815"/>
    </row>
    <row r="345" spans="1:7">
      <c r="A345" s="839"/>
      <c r="B345" s="839"/>
      <c r="C345" s="839"/>
      <c r="D345" s="990"/>
      <c r="E345" s="990"/>
      <c r="F345" s="990"/>
      <c r="G345" s="815"/>
    </row>
    <row r="346" spans="1:7">
      <c r="A346" s="839"/>
      <c r="B346" s="839"/>
      <c r="C346" s="839"/>
      <c r="D346" s="990"/>
      <c r="E346" s="990"/>
      <c r="F346" s="990"/>
      <c r="G346" s="815"/>
    </row>
    <row r="347" spans="1:7">
      <c r="A347" s="839"/>
      <c r="B347" s="839"/>
      <c r="C347" s="839"/>
      <c r="D347" s="990"/>
      <c r="E347" s="990"/>
      <c r="F347" s="990"/>
      <c r="G347" s="815"/>
    </row>
    <row r="348" spans="1:7">
      <c r="A348" s="839"/>
      <c r="B348" s="839"/>
      <c r="C348" s="839"/>
      <c r="D348" s="990"/>
      <c r="E348" s="990"/>
      <c r="F348" s="990"/>
      <c r="G348" s="815"/>
    </row>
    <row r="349" spans="1:7">
      <c r="A349" s="839"/>
      <c r="B349" s="839"/>
      <c r="C349" s="839"/>
      <c r="D349" s="990"/>
      <c r="E349" s="990"/>
      <c r="F349" s="990"/>
      <c r="G349" s="815"/>
    </row>
    <row r="350" spans="1:7">
      <c r="A350" s="839"/>
      <c r="B350" s="839"/>
      <c r="C350" s="839"/>
      <c r="D350" s="990"/>
      <c r="E350" s="990"/>
      <c r="F350" s="990"/>
      <c r="G350" s="815"/>
    </row>
    <row r="351" spans="1:7">
      <c r="A351" s="839"/>
      <c r="B351" s="839"/>
      <c r="C351" s="839"/>
      <c r="D351" s="990"/>
      <c r="E351" s="990"/>
      <c r="F351" s="990"/>
      <c r="G351" s="815"/>
    </row>
    <row r="352" spans="1:7">
      <c r="A352" s="839"/>
      <c r="B352" s="839"/>
      <c r="C352" s="852"/>
      <c r="D352" s="990"/>
      <c r="E352" s="990"/>
      <c r="F352" s="990"/>
      <c r="G352" s="815"/>
    </row>
    <row r="353" spans="1:7">
      <c r="A353" s="839"/>
      <c r="B353" s="839"/>
      <c r="C353" s="852"/>
      <c r="D353" s="990"/>
      <c r="E353" s="990"/>
      <c r="F353" s="990"/>
      <c r="G353" s="815"/>
    </row>
    <row r="354" spans="1:7">
      <c r="A354" s="839"/>
      <c r="B354" s="839"/>
      <c r="C354" s="839"/>
      <c r="D354" s="990"/>
      <c r="E354" s="990"/>
      <c r="F354" s="990"/>
      <c r="G354" s="815"/>
    </row>
    <row r="355" spans="1:7">
      <c r="A355" s="839"/>
      <c r="B355" s="839"/>
      <c r="C355" s="852"/>
      <c r="D355" s="990"/>
      <c r="E355" s="990"/>
      <c r="F355" s="990"/>
      <c r="G355" s="815"/>
    </row>
    <row r="356" spans="1:7">
      <c r="A356" s="839"/>
      <c r="B356" s="839"/>
      <c r="C356" s="852"/>
      <c r="D356" s="990"/>
      <c r="E356" s="990"/>
      <c r="F356" s="990"/>
      <c r="G356" s="815"/>
    </row>
    <row r="357" spans="1:7">
      <c r="A357" s="839"/>
      <c r="B357" s="839"/>
      <c r="C357" s="852"/>
      <c r="D357" s="990"/>
      <c r="E357" s="990"/>
      <c r="F357" s="990"/>
      <c r="G357" s="815"/>
    </row>
    <row r="358" spans="1:7">
      <c r="A358" s="839"/>
      <c r="B358" s="839"/>
      <c r="C358" s="839"/>
      <c r="D358" s="851"/>
      <c r="E358" s="811"/>
      <c r="F358" s="825"/>
      <c r="G358" s="815"/>
    </row>
    <row r="359" spans="1:7">
      <c r="A359" s="839"/>
      <c r="B359" s="823" t="s">
        <v>329</v>
      </c>
      <c r="C359" s="839"/>
      <c r="D359" s="990" t="s">
        <v>1358</v>
      </c>
      <c r="E359" s="990"/>
      <c r="F359" s="990"/>
      <c r="G359" s="815"/>
    </row>
    <row r="360" spans="1:7">
      <c r="A360" s="839"/>
      <c r="B360" s="839"/>
      <c r="C360" s="839"/>
      <c r="D360" s="990"/>
      <c r="E360" s="990"/>
      <c r="F360" s="990"/>
      <c r="G360" s="815"/>
    </row>
    <row r="361" spans="1:7">
      <c r="A361" s="839"/>
      <c r="B361" s="839"/>
      <c r="C361" s="839"/>
      <c r="D361" s="946"/>
      <c r="E361" s="946"/>
      <c r="F361" s="946"/>
      <c r="G361" s="815"/>
    </row>
    <row r="362" spans="1:7" ht="14.45" customHeight="1">
      <c r="A362" s="822"/>
      <c r="B362" s="914" t="s">
        <v>329</v>
      </c>
      <c r="D362" s="990" t="s">
        <v>1604</v>
      </c>
      <c r="E362" s="990"/>
      <c r="F362" s="990"/>
    </row>
    <row r="363" spans="1:7" ht="14.45" customHeight="1">
      <c r="A363" s="822"/>
      <c r="D363" s="990"/>
      <c r="E363" s="990"/>
      <c r="F363" s="990"/>
    </row>
    <row r="364" spans="1:7" ht="14.45" customHeight="1">
      <c r="A364" s="822"/>
      <c r="D364" s="990"/>
      <c r="E364" s="990"/>
      <c r="F364" s="990"/>
    </row>
    <row r="365" spans="1:7" ht="14.45" customHeight="1">
      <c r="A365" s="822"/>
      <c r="D365" s="990"/>
      <c r="E365" s="990"/>
      <c r="F365" s="990"/>
    </row>
    <row r="366" spans="1:7" ht="14.45" customHeight="1">
      <c r="A366" s="822"/>
      <c r="D366" s="990"/>
      <c r="E366" s="990"/>
      <c r="F366" s="990"/>
    </row>
    <row r="367" spans="1:7" ht="14.45" customHeight="1">
      <c r="A367" s="822"/>
      <c r="D367" s="913"/>
      <c r="E367" s="913"/>
      <c r="F367" s="913"/>
    </row>
    <row r="368" spans="1:7" ht="13.7" customHeight="1">
      <c r="A368" s="822"/>
      <c r="B368" s="823" t="s">
        <v>329</v>
      </c>
      <c r="C368" s="839"/>
      <c r="D368" s="991" t="s">
        <v>1512</v>
      </c>
      <c r="E368" s="991"/>
      <c r="F368" s="991"/>
      <c r="G368" s="815"/>
    </row>
    <row r="369" spans="1:7" ht="14.25">
      <c r="A369" s="853"/>
      <c r="B369" s="853"/>
      <c r="C369" s="839"/>
      <c r="D369" s="991"/>
      <c r="E369" s="991"/>
      <c r="F369" s="991"/>
      <c r="G369" s="815"/>
    </row>
    <row r="370" spans="1:7" ht="14.25">
      <c r="A370" s="853"/>
      <c r="B370" s="853"/>
      <c r="C370" s="839"/>
      <c r="D370" s="991"/>
      <c r="E370" s="991"/>
      <c r="F370" s="991"/>
      <c r="G370" s="815"/>
    </row>
    <row r="371" spans="1:7" ht="14.25">
      <c r="A371" s="853"/>
      <c r="B371" s="853"/>
      <c r="C371" s="839"/>
      <c r="D371" s="991"/>
      <c r="E371" s="991"/>
      <c r="F371" s="991"/>
      <c r="G371" s="815"/>
    </row>
    <row r="372" spans="1:7" ht="15.75" customHeight="1">
      <c r="A372" s="853"/>
      <c r="B372" s="853"/>
      <c r="C372" s="839"/>
      <c r="D372" s="1085" t="s">
        <v>1582</v>
      </c>
      <c r="E372" s="991"/>
      <c r="F372" s="991"/>
      <c r="G372" s="815"/>
    </row>
    <row r="373" spans="1:7">
      <c r="D373" s="825"/>
      <c r="E373" s="825"/>
      <c r="F373" s="825"/>
      <c r="G373" s="815"/>
    </row>
    <row r="374" spans="1:7" ht="14.25">
      <c r="A374" s="822"/>
      <c r="B374" s="823" t="s">
        <v>329</v>
      </c>
      <c r="C374" s="854"/>
      <c r="D374" s="1000" t="s">
        <v>1360</v>
      </c>
      <c r="E374" s="1000"/>
      <c r="F374" s="1000"/>
      <c r="G374" s="815"/>
    </row>
    <row r="375" spans="1:7" ht="14.25">
      <c r="A375" s="822"/>
      <c r="B375" s="822"/>
      <c r="D375" s="1000"/>
      <c r="E375" s="1000"/>
      <c r="F375" s="1000"/>
      <c r="G375" s="815"/>
    </row>
    <row r="376" spans="1:7">
      <c r="D376" s="1000"/>
      <c r="E376" s="1000"/>
      <c r="F376" s="1000"/>
      <c r="G376" s="815"/>
    </row>
    <row r="377" spans="1:7">
      <c r="D377" s="1000"/>
      <c r="E377" s="1000"/>
      <c r="F377" s="1000"/>
      <c r="G377" s="815"/>
    </row>
    <row r="378" spans="1:7">
      <c r="D378" s="1000"/>
      <c r="E378" s="1000"/>
      <c r="F378" s="1000"/>
      <c r="G378" s="815"/>
    </row>
    <row r="379" spans="1:7">
      <c r="D379" s="1000"/>
      <c r="E379" s="1000"/>
      <c r="F379" s="1000"/>
      <c r="G379" s="815"/>
    </row>
    <row r="380" spans="1:7">
      <c r="D380" s="1000"/>
      <c r="E380" s="1000"/>
      <c r="F380" s="1000"/>
      <c r="G380" s="815"/>
    </row>
    <row r="381" spans="1:7">
      <c r="D381" s="1000"/>
      <c r="E381" s="1000"/>
      <c r="F381" s="1000"/>
      <c r="G381" s="815"/>
    </row>
    <row r="382" spans="1:7">
      <c r="D382" s="1000"/>
      <c r="E382" s="1000"/>
      <c r="F382" s="1000"/>
      <c r="G382" s="815"/>
    </row>
    <row r="383" spans="1:7">
      <c r="D383" s="1000"/>
      <c r="E383" s="1000"/>
      <c r="F383" s="1000"/>
      <c r="G383" s="815"/>
    </row>
    <row r="384" spans="1:7">
      <c r="D384" s="1000"/>
      <c r="E384" s="1000"/>
      <c r="F384" s="1000"/>
      <c r="G384" s="815"/>
    </row>
    <row r="385" spans="1:7">
      <c r="D385" s="1000"/>
      <c r="E385" s="1000"/>
      <c r="F385" s="1000"/>
      <c r="G385" s="815"/>
    </row>
    <row r="386" spans="1:7">
      <c r="D386" s="1000"/>
      <c r="E386" s="1000"/>
      <c r="F386" s="1000"/>
      <c r="G386" s="815"/>
    </row>
    <row r="387" spans="1:7">
      <c r="A387" s="815"/>
      <c r="B387" s="815"/>
      <c r="C387" s="815"/>
      <c r="D387" s="1000"/>
      <c r="E387" s="1000"/>
      <c r="F387" s="1000"/>
      <c r="G387" s="815"/>
    </row>
    <row r="388" spans="1:7">
      <c r="A388" s="815"/>
      <c r="B388" s="815"/>
      <c r="C388" s="815"/>
      <c r="D388" s="1000"/>
      <c r="E388" s="1000"/>
      <c r="F388" s="1000"/>
      <c r="G388" s="815"/>
    </row>
    <row r="389" spans="1:7">
      <c r="A389" s="815"/>
      <c r="B389" s="815"/>
      <c r="C389" s="815"/>
      <c r="D389" s="1000"/>
      <c r="E389" s="1000"/>
      <c r="F389" s="1000"/>
      <c r="G389" s="815"/>
    </row>
    <row r="390" spans="1:7">
      <c r="A390" s="815"/>
      <c r="B390" s="815"/>
      <c r="C390" s="815"/>
      <c r="D390" s="1000"/>
      <c r="E390" s="1000"/>
      <c r="F390" s="1000"/>
      <c r="G390" s="815"/>
    </row>
    <row r="391" spans="1:7">
      <c r="A391" s="815"/>
      <c r="B391" s="815"/>
      <c r="C391" s="815"/>
      <c r="D391" s="1000"/>
      <c r="E391" s="1000"/>
      <c r="F391" s="1000"/>
      <c r="G391" s="815"/>
    </row>
    <row r="392" spans="1:7">
      <c r="A392" s="815"/>
      <c r="B392" s="815"/>
      <c r="C392" s="815"/>
      <c r="D392" s="1000"/>
      <c r="E392" s="1000"/>
      <c r="F392" s="1000"/>
      <c r="G392" s="815"/>
    </row>
    <row r="393" spans="1:7">
      <c r="A393" s="815"/>
      <c r="B393" s="815"/>
      <c r="C393" s="815"/>
      <c r="D393" s="1000"/>
      <c r="E393" s="1000"/>
      <c r="F393" s="1000"/>
      <c r="G393" s="815"/>
    </row>
    <row r="394" spans="1:7">
      <c r="A394" s="815"/>
      <c r="B394" s="815"/>
      <c r="C394" s="815"/>
      <c r="D394" s="1000"/>
      <c r="E394" s="1000"/>
      <c r="F394" s="1000"/>
      <c r="G394" s="815"/>
    </row>
    <row r="395" spans="1:7">
      <c r="A395" s="815"/>
      <c r="B395" s="815"/>
      <c r="C395" s="815"/>
      <c r="D395" s="1000"/>
      <c r="E395" s="1000"/>
      <c r="F395" s="1000"/>
      <c r="G395" s="815"/>
    </row>
    <row r="396" spans="1:7">
      <c r="A396" s="815"/>
      <c r="B396" s="815"/>
      <c r="C396" s="815"/>
      <c r="D396" s="1000"/>
      <c r="E396" s="1000"/>
      <c r="F396" s="1000"/>
      <c r="G396" s="815"/>
    </row>
    <row r="397" spans="1:7">
      <c r="A397" s="815"/>
      <c r="B397" s="815"/>
      <c r="C397" s="815"/>
      <c r="D397" s="1000"/>
      <c r="E397" s="1000"/>
      <c r="F397" s="1000"/>
      <c r="G397" s="815"/>
    </row>
    <row r="398" spans="1:7">
      <c r="A398" s="815"/>
      <c r="B398" s="815"/>
      <c r="C398" s="815"/>
      <c r="D398" s="1000"/>
      <c r="E398" s="1000"/>
      <c r="F398" s="1000"/>
      <c r="G398" s="815"/>
    </row>
    <row r="399" spans="1:7">
      <c r="A399" s="815"/>
      <c r="B399" s="815"/>
      <c r="C399" s="815"/>
      <c r="D399" s="1000"/>
      <c r="E399" s="1000"/>
      <c r="F399" s="1000"/>
      <c r="G399" s="815"/>
    </row>
    <row r="400" spans="1:7">
      <c r="A400" s="815"/>
      <c r="B400" s="815"/>
      <c r="C400" s="815"/>
      <c r="D400" s="1000"/>
      <c r="E400" s="1000"/>
      <c r="F400" s="1000"/>
      <c r="G400" s="815"/>
    </row>
    <row r="401" spans="1:7">
      <c r="A401" s="815"/>
      <c r="B401" s="815"/>
      <c r="C401" s="815"/>
      <c r="D401" s="1000"/>
      <c r="E401" s="1000"/>
      <c r="F401" s="1000"/>
      <c r="G401" s="815"/>
    </row>
    <row r="402" spans="1:7">
      <c r="A402" s="815"/>
      <c r="B402" s="815"/>
      <c r="C402" s="815"/>
      <c r="D402" s="1000"/>
      <c r="E402" s="1000"/>
      <c r="F402" s="1000"/>
      <c r="G402" s="815"/>
    </row>
    <row r="403" spans="1:7" s="856" customFormat="1">
      <c r="A403" s="813"/>
      <c r="B403" s="813"/>
      <c r="C403" s="813"/>
      <c r="D403" s="1000"/>
      <c r="E403" s="1000"/>
      <c r="F403" s="1000"/>
      <c r="G403" s="855"/>
    </row>
    <row r="404" spans="1:7" s="856" customFormat="1" ht="40.700000000000003" customHeight="1">
      <c r="A404" s="813"/>
      <c r="B404" s="813"/>
      <c r="C404" s="813"/>
      <c r="D404" s="1000"/>
      <c r="E404" s="1000"/>
      <c r="F404" s="1000"/>
      <c r="G404" s="855"/>
    </row>
    <row r="405" spans="1:7" s="856" customFormat="1">
      <c r="A405" s="813"/>
      <c r="B405" s="813"/>
      <c r="C405" s="813"/>
      <c r="D405" s="825"/>
      <c r="E405" s="825"/>
      <c r="F405" s="825"/>
      <c r="G405" s="855"/>
    </row>
    <row r="406" spans="1:7" ht="14.25">
      <c r="A406" s="822"/>
      <c r="B406" s="823" t="s">
        <v>329</v>
      </c>
      <c r="C406" s="854"/>
      <c r="D406" s="1002" t="s">
        <v>1361</v>
      </c>
      <c r="E406" s="1002"/>
      <c r="F406" s="1002"/>
    </row>
    <row r="407" spans="1:7">
      <c r="D407" s="992" t="s">
        <v>1509</v>
      </c>
      <c r="E407" s="992"/>
      <c r="F407" s="992"/>
    </row>
    <row r="408" spans="1:7">
      <c r="D408" s="1072" t="s">
        <v>1508</v>
      </c>
      <c r="E408" s="1072"/>
      <c r="F408" s="1072"/>
    </row>
    <row r="409" spans="1:7">
      <c r="D409" s="1072"/>
      <c r="E409" s="1072"/>
      <c r="F409" s="1072"/>
    </row>
    <row r="410" spans="1:7">
      <c r="D410" s="1072"/>
      <c r="E410" s="1072"/>
      <c r="F410" s="1072"/>
    </row>
    <row r="411" spans="1:7">
      <c r="D411" s="825"/>
      <c r="E411" s="825"/>
      <c r="F411" s="825"/>
      <c r="G411" s="815"/>
    </row>
    <row r="412" spans="1:7" ht="14.25">
      <c r="A412" s="822"/>
      <c r="B412" s="823" t="s">
        <v>329</v>
      </c>
      <c r="C412" s="854"/>
      <c r="D412" s="1000" t="s">
        <v>1363</v>
      </c>
      <c r="E412" s="1000"/>
      <c r="F412" s="1000"/>
      <c r="G412" s="815"/>
    </row>
    <row r="413" spans="1:7">
      <c r="D413" s="1000"/>
      <c r="E413" s="1000"/>
      <c r="F413" s="1000"/>
      <c r="G413" s="815"/>
    </row>
    <row r="414" spans="1:7">
      <c r="D414" s="1000"/>
      <c r="E414" s="1000"/>
      <c r="F414" s="1000"/>
      <c r="G414" s="815"/>
    </row>
    <row r="415" spans="1:7">
      <c r="D415" s="809"/>
      <c r="E415" s="809"/>
      <c r="F415" s="809"/>
      <c r="G415" s="815"/>
    </row>
    <row r="416" spans="1:7" ht="14.25">
      <c r="B416" s="823" t="s">
        <v>329</v>
      </c>
      <c r="C416" s="822"/>
      <c r="D416" s="1072" t="s">
        <v>1450</v>
      </c>
      <c r="E416" s="1072"/>
      <c r="F416" s="1072"/>
      <c r="G416" s="815"/>
    </row>
    <row r="417" spans="1:7">
      <c r="D417" s="1072"/>
      <c r="E417" s="1072"/>
      <c r="F417" s="1072"/>
      <c r="G417" s="815"/>
    </row>
    <row r="418" spans="1:7">
      <c r="D418" s="825"/>
      <c r="E418" s="825"/>
      <c r="F418" s="825"/>
      <c r="G418" s="815"/>
    </row>
    <row r="419" spans="1:7" ht="14.25">
      <c r="B419" s="823" t="s">
        <v>329</v>
      </c>
      <c r="C419" s="822"/>
      <c r="D419" s="1072" t="s">
        <v>1365</v>
      </c>
      <c r="E419" s="1072"/>
      <c r="F419" s="1072"/>
      <c r="G419" s="815"/>
    </row>
    <row r="420" spans="1:7">
      <c r="D420" s="1072"/>
      <c r="E420" s="1072"/>
      <c r="F420" s="1072"/>
      <c r="G420" s="815"/>
    </row>
    <row r="421" spans="1:7">
      <c r="D421" s="1072"/>
      <c r="E421" s="1072"/>
      <c r="F421" s="1072"/>
      <c r="G421" s="815"/>
    </row>
    <row r="422" spans="1:7">
      <c r="D422" s="1072"/>
      <c r="E422" s="1072"/>
      <c r="F422" s="1072"/>
      <c r="G422" s="815"/>
    </row>
    <row r="423" spans="1:7">
      <c r="B423" s="823" t="s">
        <v>329</v>
      </c>
      <c r="D423" s="1072"/>
      <c r="E423" s="1072"/>
      <c r="F423" s="1072"/>
      <c r="G423" s="815"/>
    </row>
    <row r="424" spans="1:7">
      <c r="A424" s="815"/>
      <c r="B424" s="815"/>
      <c r="C424" s="815"/>
      <c r="D424" s="1072"/>
      <c r="E424" s="1072"/>
      <c r="F424" s="1072"/>
      <c r="G424" s="815"/>
    </row>
    <row r="425" spans="1:7">
      <c r="A425" s="815"/>
      <c r="C425" s="815"/>
      <c r="D425" s="1072"/>
      <c r="E425" s="1072"/>
      <c r="F425" s="1072"/>
      <c r="G425" s="815"/>
    </row>
    <row r="426" spans="1:7">
      <c r="A426" s="815"/>
      <c r="B426" s="823" t="s">
        <v>329</v>
      </c>
      <c r="C426" s="815"/>
      <c r="D426" s="1072"/>
      <c r="E426" s="1072"/>
      <c r="F426" s="1072"/>
      <c r="G426" s="815"/>
    </row>
    <row r="427" spans="1:7">
      <c r="A427" s="815"/>
      <c r="B427" s="815"/>
      <c r="C427" s="815"/>
      <c r="D427" s="1072"/>
      <c r="E427" s="1072"/>
      <c r="F427" s="1072"/>
      <c r="G427" s="815"/>
    </row>
    <row r="428" spans="1:7">
      <c r="A428" s="815"/>
      <c r="C428" s="815"/>
      <c r="D428" s="1072"/>
      <c r="E428" s="1072"/>
      <c r="F428" s="1072"/>
      <c r="G428" s="815"/>
    </row>
    <row r="429" spans="1:7">
      <c r="A429" s="815"/>
      <c r="C429" s="815"/>
      <c r="D429" s="1072"/>
      <c r="E429" s="1072"/>
      <c r="F429" s="1072"/>
      <c r="G429" s="815"/>
    </row>
    <row r="430" spans="1:7">
      <c r="A430" s="815"/>
      <c r="B430" s="823" t="s">
        <v>329</v>
      </c>
      <c r="C430" s="815"/>
      <c r="D430" s="1072"/>
      <c r="E430" s="1072"/>
      <c r="F430" s="1072"/>
      <c r="G430" s="815"/>
    </row>
    <row r="431" spans="1:7">
      <c r="A431" s="815"/>
      <c r="B431" s="815"/>
      <c r="C431" s="815"/>
      <c r="D431" s="1072"/>
      <c r="E431" s="1072"/>
      <c r="F431" s="1072"/>
      <c r="G431" s="815"/>
    </row>
    <row r="432" spans="1:7">
      <c r="A432" s="815"/>
      <c r="B432" s="823" t="s">
        <v>329</v>
      </c>
      <c r="C432" s="815"/>
      <c r="D432" s="1072"/>
      <c r="E432" s="1072"/>
      <c r="F432" s="1072"/>
      <c r="G432" s="815"/>
    </row>
    <row r="433" spans="1:7">
      <c r="A433" s="815"/>
      <c r="B433" s="815"/>
      <c r="C433" s="815"/>
      <c r="D433" s="857"/>
      <c r="E433" s="857"/>
      <c r="F433" s="857"/>
      <c r="G433" s="815"/>
    </row>
    <row r="434" spans="1:7">
      <c r="A434" s="815"/>
      <c r="B434" s="823" t="s">
        <v>329</v>
      </c>
      <c r="C434" s="815"/>
      <c r="D434" s="1072" t="s">
        <v>1366</v>
      </c>
      <c r="E434" s="1072"/>
      <c r="F434" s="1072"/>
      <c r="G434" s="815"/>
    </row>
    <row r="435" spans="1:7">
      <c r="A435" s="815"/>
      <c r="B435" s="815"/>
      <c r="C435" s="815"/>
      <c r="D435" s="1072"/>
      <c r="E435" s="1072"/>
      <c r="F435" s="1072"/>
      <c r="G435" s="815"/>
    </row>
    <row r="436" spans="1:7">
      <c r="A436" s="815"/>
      <c r="B436" s="815"/>
      <c r="C436" s="815"/>
      <c r="D436" s="1072"/>
      <c r="E436" s="1072"/>
      <c r="F436" s="1072"/>
      <c r="G436" s="815"/>
    </row>
    <row r="437" spans="1:7">
      <c r="A437" s="815"/>
      <c r="B437" s="815"/>
      <c r="C437" s="815"/>
      <c r="D437" s="1072"/>
      <c r="E437" s="1072"/>
      <c r="F437" s="1072"/>
      <c r="G437" s="815"/>
    </row>
    <row r="438" spans="1:7">
      <c r="D438" s="1072"/>
      <c r="E438" s="1072"/>
      <c r="F438" s="1072"/>
    </row>
    <row r="439" spans="1:7">
      <c r="D439" s="825"/>
      <c r="E439" s="825"/>
      <c r="F439" s="825"/>
    </row>
    <row r="440" spans="1:7">
      <c r="B440" s="823" t="s">
        <v>329</v>
      </c>
      <c r="D440" s="1077" t="s">
        <v>1367</v>
      </c>
      <c r="E440" s="1077"/>
      <c r="F440" s="1077"/>
    </row>
    <row r="441" spans="1:7">
      <c r="A441" s="825"/>
      <c r="B441" s="825"/>
    </row>
    <row r="442" spans="1:7">
      <c r="A442" s="982" t="s">
        <v>1208</v>
      </c>
      <c r="B442" s="982"/>
      <c r="C442" s="982"/>
      <c r="D442" s="982"/>
      <c r="E442" s="982"/>
      <c r="F442" s="982"/>
      <c r="G442" s="982"/>
    </row>
    <row r="443" spans="1:7">
      <c r="A443" s="825"/>
      <c r="B443" s="825"/>
    </row>
    <row r="444" spans="1:7">
      <c r="D444" s="978" t="s">
        <v>977</v>
      </c>
      <c r="E444" s="978"/>
      <c r="F444" s="978"/>
    </row>
    <row r="445" spans="1:7" s="816" customFormat="1" ht="14.25">
      <c r="A445" s="830"/>
      <c r="B445" s="830"/>
      <c r="C445" s="826"/>
      <c r="D445" s="979" t="s">
        <v>1368</v>
      </c>
      <c r="E445" s="979"/>
      <c r="F445" s="979"/>
      <c r="G445" s="827"/>
    </row>
    <row r="446" spans="1:7" s="816" customFormat="1" ht="14.25">
      <c r="A446" s="830"/>
      <c r="B446" s="830"/>
      <c r="C446" s="826"/>
      <c r="D446" s="812"/>
      <c r="E446" s="696"/>
      <c r="F446" s="696"/>
      <c r="G446" s="827"/>
    </row>
    <row r="447" spans="1:7" s="816" customFormat="1" ht="14.25">
      <c r="A447" s="822"/>
      <c r="B447" s="823" t="s">
        <v>329</v>
      </c>
      <c r="C447" s="826"/>
      <c r="D447" s="980" t="s">
        <v>1369</v>
      </c>
      <c r="E447" s="980"/>
      <c r="F447" s="980"/>
      <c r="G447" s="827"/>
    </row>
    <row r="448" spans="1:7" s="816" customFormat="1" ht="14.25">
      <c r="A448" s="822"/>
      <c r="B448" s="822"/>
      <c r="C448" s="826"/>
      <c r="D448" s="980"/>
      <c r="E448" s="980"/>
      <c r="F448" s="980"/>
      <c r="G448" s="827"/>
    </row>
    <row r="449" spans="1:7" s="816" customFormat="1" ht="14.25">
      <c r="A449" s="822"/>
      <c r="B449" s="822"/>
      <c r="C449" s="826"/>
      <c r="D449" s="810"/>
      <c r="E449" s="696"/>
      <c r="F449" s="696"/>
      <c r="G449" s="827"/>
    </row>
    <row r="450" spans="1:7" ht="12.75" customHeight="1">
      <c r="B450" s="823" t="s">
        <v>329</v>
      </c>
      <c r="D450" s="981" t="s">
        <v>1583</v>
      </c>
      <c r="E450" s="981"/>
      <c r="F450" s="981"/>
    </row>
    <row r="451" spans="1:7" ht="14.25">
      <c r="A451" s="822"/>
      <c r="D451" s="981"/>
      <c r="E451" s="981"/>
      <c r="F451" s="981"/>
    </row>
    <row r="452" spans="1:7" ht="14.25">
      <c r="A452" s="822"/>
      <c r="B452" s="822"/>
      <c r="D452" s="981"/>
      <c r="E452" s="981"/>
      <c r="F452" s="981"/>
    </row>
    <row r="453" spans="1:7" ht="14.25">
      <c r="A453" s="822"/>
      <c r="B453" s="822"/>
      <c r="D453" s="981"/>
      <c r="E453" s="981"/>
      <c r="F453" s="981"/>
    </row>
    <row r="454" spans="1:7" ht="14.25">
      <c r="A454" s="822"/>
      <c r="D454" s="936"/>
      <c r="E454" s="936"/>
      <c r="F454" s="936"/>
      <c r="G454" s="815"/>
    </row>
    <row r="455" spans="1:7" ht="14.25">
      <c r="A455" s="822"/>
      <c r="B455" s="823" t="s">
        <v>329</v>
      </c>
      <c r="D455" s="1002" t="s">
        <v>1372</v>
      </c>
      <c r="E455" s="1002"/>
      <c r="F455" s="1002"/>
      <c r="G455" s="815"/>
    </row>
    <row r="456" spans="1:7" ht="14.25">
      <c r="A456" s="822"/>
      <c r="B456" s="822"/>
      <c r="D456" s="810"/>
      <c r="E456" s="696"/>
      <c r="F456" s="696"/>
      <c r="G456" s="815"/>
    </row>
    <row r="457" spans="1:7" ht="14.25">
      <c r="A457" s="822"/>
      <c r="B457" s="823" t="s">
        <v>329</v>
      </c>
      <c r="D457" s="1000" t="s">
        <v>1373</v>
      </c>
      <c r="E457" s="1000"/>
      <c r="F457" s="1000"/>
      <c r="G457" s="815"/>
    </row>
    <row r="458" spans="1:7" ht="14.25">
      <c r="A458" s="822"/>
      <c r="D458" s="1000"/>
      <c r="E458" s="1000"/>
      <c r="F458" s="1000"/>
      <c r="G458" s="815"/>
    </row>
    <row r="459" spans="1:7">
      <c r="A459" s="841"/>
      <c r="B459" s="841"/>
      <c r="D459" s="757"/>
      <c r="E459" s="696"/>
      <c r="F459" s="696"/>
      <c r="G459" s="815"/>
    </row>
    <row r="460" spans="1:7">
      <c r="A460" s="841"/>
      <c r="B460" s="823" t="s">
        <v>329</v>
      </c>
      <c r="D460" s="1002" t="s">
        <v>1374</v>
      </c>
      <c r="E460" s="1002"/>
      <c r="F460" s="1002"/>
      <c r="G460" s="815"/>
    </row>
    <row r="461" spans="1:7" ht="14.25">
      <c r="A461" s="822"/>
      <c r="B461" s="822"/>
      <c r="D461" s="825"/>
    </row>
    <row r="462" spans="1:7">
      <c r="A462" s="982" t="s">
        <v>1209</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6" t="s">
        <v>874</v>
      </c>
      <c r="E464" s="1076"/>
      <c r="F464" s="1076"/>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4" t="s">
        <v>1452</v>
      </c>
      <c r="E468" s="974"/>
      <c r="F468" s="974"/>
      <c r="G468" s="696"/>
    </row>
    <row r="469" spans="1:7" s="746" customFormat="1">
      <c r="A469" s="820"/>
      <c r="B469" s="820"/>
      <c r="C469" s="824"/>
      <c r="D469" s="974"/>
      <c r="E469" s="974"/>
      <c r="F469" s="974"/>
      <c r="G469" s="696"/>
    </row>
    <row r="470" spans="1:7" s="746" customFormat="1">
      <c r="A470" s="820"/>
      <c r="B470" s="820"/>
      <c r="C470" s="824"/>
      <c r="D470" s="859"/>
      <c r="E470" s="696"/>
      <c r="F470" s="810"/>
      <c r="G470" s="696"/>
    </row>
    <row r="471" spans="1:7" s="746" customFormat="1" ht="14.45" customHeight="1">
      <c r="A471" s="822"/>
      <c r="B471" s="823" t="s">
        <v>329</v>
      </c>
      <c r="C471" s="824"/>
      <c r="D471" s="974" t="s">
        <v>1628</v>
      </c>
      <c r="E471" s="974"/>
      <c r="F471" s="974"/>
      <c r="G471" s="696"/>
    </row>
    <row r="472" spans="1:7" s="746" customFormat="1">
      <c r="A472" s="820"/>
      <c r="B472" s="820"/>
      <c r="C472" s="824"/>
      <c r="D472" s="974"/>
      <c r="E472" s="974"/>
      <c r="F472" s="974"/>
      <c r="G472" s="696"/>
    </row>
    <row r="473" spans="1:7" s="746" customFormat="1">
      <c r="A473" s="820"/>
      <c r="B473" s="820"/>
      <c r="C473" s="824"/>
      <c r="D473" s="974"/>
      <c r="E473" s="974"/>
      <c r="F473" s="974"/>
      <c r="G473" s="696"/>
    </row>
    <row r="474" spans="1:7" s="746" customFormat="1">
      <c r="A474" s="820"/>
      <c r="B474" s="820"/>
      <c r="C474" s="824"/>
      <c r="D474" s="974"/>
      <c r="E474" s="974"/>
      <c r="F474" s="974"/>
      <c r="G474" s="696"/>
    </row>
    <row r="475" spans="1:7" s="746" customFormat="1">
      <c r="A475" s="820"/>
      <c r="B475" s="820"/>
      <c r="C475" s="824"/>
      <c r="D475" s="974"/>
      <c r="E475" s="974"/>
      <c r="F475" s="974"/>
      <c r="G475" s="696"/>
    </row>
    <row r="476" spans="1:7" s="746" customFormat="1">
      <c r="A476" s="820"/>
      <c r="B476" s="820"/>
      <c r="C476" s="824"/>
      <c r="D476" s="757"/>
      <c r="E476" s="696"/>
      <c r="F476" s="810"/>
      <c r="G476" s="696"/>
    </row>
    <row r="477" spans="1:7" s="746" customFormat="1" ht="14.45" customHeight="1">
      <c r="A477" s="822"/>
      <c r="B477" s="823" t="s">
        <v>329</v>
      </c>
      <c r="C477" s="824"/>
      <c r="D477" s="974" t="s">
        <v>1246</v>
      </c>
      <c r="E477" s="974"/>
      <c r="F477" s="974"/>
      <c r="G477" s="696"/>
    </row>
    <row r="478" spans="1:7" s="746" customFormat="1">
      <c r="A478" s="820"/>
      <c r="B478" s="820"/>
      <c r="C478" s="824"/>
      <c r="D478" s="974"/>
      <c r="E478" s="974"/>
      <c r="F478" s="974"/>
      <c r="G478" s="696"/>
    </row>
    <row r="479" spans="1:7" s="746" customFormat="1">
      <c r="A479" s="820"/>
      <c r="B479" s="820"/>
      <c r="C479" s="824"/>
      <c r="D479" s="974"/>
      <c r="E479" s="974"/>
      <c r="F479" s="974"/>
      <c r="G479" s="696"/>
    </row>
    <row r="480" spans="1:7" s="746" customFormat="1">
      <c r="A480" s="820"/>
      <c r="B480" s="820"/>
      <c r="C480" s="824"/>
      <c r="D480" s="974"/>
      <c r="E480" s="974"/>
      <c r="F480" s="974"/>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4" t="s">
        <v>1244</v>
      </c>
      <c r="E482" s="974"/>
      <c r="F482" s="974"/>
      <c r="G482" s="696"/>
    </row>
    <row r="483" spans="1:7" s="746" customFormat="1">
      <c r="A483" s="820"/>
      <c r="B483" s="820"/>
      <c r="C483" s="824"/>
      <c r="D483" s="974"/>
      <c r="E483" s="974"/>
      <c r="F483" s="974"/>
      <c r="G483" s="696"/>
    </row>
    <row r="484" spans="1:7" s="746" customFormat="1">
      <c r="A484" s="820"/>
      <c r="B484" s="820"/>
      <c r="C484" s="824"/>
      <c r="D484" s="974"/>
      <c r="E484" s="974"/>
      <c r="F484" s="974"/>
      <c r="G484" s="696"/>
    </row>
    <row r="485" spans="1:7" s="746" customFormat="1">
      <c r="A485" s="820"/>
      <c r="B485" s="820"/>
      <c r="C485" s="824"/>
      <c r="D485" s="808"/>
      <c r="E485" s="808"/>
      <c r="F485" s="808"/>
      <c r="G485" s="696"/>
    </row>
    <row r="486" spans="1:7" s="746" customFormat="1" ht="14.45" customHeight="1">
      <c r="A486" s="822"/>
      <c r="B486" s="823" t="s">
        <v>329</v>
      </c>
      <c r="C486" s="824"/>
      <c r="D486" s="974" t="s">
        <v>1245</v>
      </c>
      <c r="E486" s="974"/>
      <c r="F486" s="974"/>
      <c r="G486" s="696"/>
    </row>
    <row r="487" spans="1:7" s="746" customFormat="1">
      <c r="A487" s="820"/>
      <c r="B487" s="820"/>
      <c r="C487" s="824"/>
      <c r="D487" s="974"/>
      <c r="E487" s="974"/>
      <c r="F487" s="974"/>
      <c r="G487" s="696"/>
    </row>
    <row r="488" spans="1:7" s="746" customFormat="1">
      <c r="A488" s="820"/>
      <c r="B488" s="820"/>
      <c r="C488" s="824"/>
      <c r="D488" s="974"/>
      <c r="E488" s="974"/>
      <c r="F488" s="974"/>
      <c r="G488" s="696"/>
    </row>
    <row r="489" spans="1:7" s="746" customFormat="1">
      <c r="A489" s="820"/>
      <c r="B489" s="820"/>
      <c r="C489" s="824"/>
      <c r="D489" s="974"/>
      <c r="E489" s="974"/>
      <c r="F489" s="974"/>
      <c r="G489" s="696"/>
    </row>
    <row r="490" spans="1:7" s="746" customFormat="1">
      <c r="A490" s="820"/>
      <c r="B490" s="820"/>
      <c r="C490" s="824"/>
      <c r="D490" s="974"/>
      <c r="E490" s="974"/>
      <c r="F490" s="974"/>
      <c r="G490" s="696"/>
    </row>
    <row r="491" spans="1:7" s="746" customFormat="1">
      <c r="A491" s="820"/>
      <c r="B491" s="820"/>
      <c r="C491" s="824"/>
      <c r="D491" s="974"/>
      <c r="E491" s="974"/>
      <c r="F491" s="974"/>
      <c r="G491" s="696"/>
    </row>
    <row r="492" spans="1:7" s="746" customFormat="1">
      <c r="A492" s="820"/>
      <c r="B492" s="820"/>
      <c r="C492" s="824"/>
      <c r="D492" s="974"/>
      <c r="E492" s="974"/>
      <c r="F492" s="974"/>
      <c r="G492" s="696"/>
    </row>
    <row r="493" spans="1:7" s="746" customFormat="1">
      <c r="A493" s="860"/>
      <c r="B493" s="860"/>
      <c r="C493" s="861"/>
      <c r="D493" s="974"/>
      <c r="E493" s="974"/>
      <c r="F493" s="974"/>
      <c r="G493" s="696"/>
    </row>
    <row r="494" spans="1:7" s="746" customFormat="1">
      <c r="A494" s="860"/>
      <c r="B494" s="860"/>
      <c r="C494" s="861"/>
      <c r="D494" s="974"/>
      <c r="E494" s="974"/>
      <c r="F494" s="974"/>
      <c r="G494" s="696"/>
    </row>
    <row r="495" spans="1:7" s="746" customFormat="1">
      <c r="A495" s="860"/>
      <c r="B495" s="860"/>
      <c r="C495" s="861"/>
      <c r="D495" s="757"/>
      <c r="E495" s="696"/>
      <c r="F495" s="810"/>
      <c r="G495" s="696"/>
    </row>
    <row r="496" spans="1:7" s="746" customFormat="1" ht="13.7" customHeight="1">
      <c r="A496" s="860"/>
      <c r="B496" s="823" t="s">
        <v>329</v>
      </c>
      <c r="C496" s="861"/>
      <c r="D496" s="974" t="s">
        <v>1389</v>
      </c>
      <c r="E496" s="974"/>
      <c r="F496" s="974"/>
      <c r="G496" s="696"/>
    </row>
    <row r="497" spans="1:7" s="746" customFormat="1">
      <c r="A497" s="860"/>
      <c r="B497" s="860"/>
      <c r="C497" s="861"/>
      <c r="D497" s="974"/>
      <c r="E497" s="974"/>
      <c r="F497" s="974"/>
      <c r="G497" s="696"/>
    </row>
    <row r="498" spans="1:7" s="746" customFormat="1">
      <c r="A498" s="860"/>
      <c r="B498" s="860"/>
      <c r="C498" s="861"/>
      <c r="D498" s="974"/>
      <c r="E498" s="974"/>
      <c r="F498" s="974"/>
      <c r="G498" s="696"/>
    </row>
    <row r="499" spans="1:7" s="746" customFormat="1">
      <c r="A499" s="860"/>
      <c r="B499" s="860"/>
      <c r="C499" s="861"/>
      <c r="D499" s="974"/>
      <c r="E499" s="974"/>
      <c r="F499" s="974"/>
      <c r="G499" s="696"/>
    </row>
    <row r="500" spans="1:7" s="746" customFormat="1">
      <c r="A500" s="820"/>
      <c r="B500" s="820"/>
      <c r="C500" s="824"/>
      <c r="D500" s="974"/>
      <c r="E500" s="974"/>
      <c r="F500" s="974"/>
      <c r="G500" s="696"/>
    </row>
    <row r="501" spans="1:7" s="746" customFormat="1">
      <c r="A501" s="820"/>
      <c r="B501" s="820"/>
      <c r="C501" s="824"/>
      <c r="D501" s="912"/>
      <c r="E501" s="912"/>
      <c r="F501" s="912"/>
      <c r="G501" s="696"/>
    </row>
    <row r="502" spans="1:7" s="746" customFormat="1" ht="13.15" customHeight="1">
      <c r="A502" s="820"/>
      <c r="B502" s="823" t="s">
        <v>329</v>
      </c>
      <c r="C502" s="824"/>
      <c r="D502" s="1054" t="s">
        <v>1273</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974" t="s">
        <v>1247</v>
      </c>
      <c r="E505" s="974"/>
      <c r="F505" s="974"/>
      <c r="G505" s="696"/>
    </row>
    <row r="506" spans="1:7" s="746" customFormat="1">
      <c r="A506" s="813"/>
      <c r="B506" s="813"/>
      <c r="C506" s="829"/>
      <c r="D506" s="974"/>
      <c r="E506" s="974"/>
      <c r="F506" s="974"/>
      <c r="G506" s="696"/>
    </row>
    <row r="507" spans="1:7" s="746" customFormat="1">
      <c r="A507" s="813"/>
      <c r="B507" s="813"/>
      <c r="C507" s="829"/>
      <c r="D507" s="974"/>
      <c r="E507" s="974"/>
      <c r="F507" s="974"/>
      <c r="G507" s="696"/>
    </row>
    <row r="508" spans="1:7" s="746" customFormat="1" ht="12" customHeight="1">
      <c r="A508" s="825"/>
      <c r="B508" s="825"/>
      <c r="C508" s="833"/>
      <c r="D508" s="825"/>
      <c r="E508" s="696"/>
      <c r="F508" s="862"/>
      <c r="G508" s="696"/>
    </row>
    <row r="509" spans="1:7">
      <c r="A509" s="982" t="s">
        <v>1210</v>
      </c>
      <c r="B509" s="982"/>
      <c r="C509" s="982"/>
      <c r="D509" s="982"/>
      <c r="E509" s="982"/>
      <c r="F509" s="982"/>
      <c r="G509" s="982"/>
    </row>
    <row r="510" spans="1:7">
      <c r="A510" s="825"/>
      <c r="B510" s="825"/>
      <c r="C510" s="854"/>
      <c r="F510" s="863"/>
    </row>
    <row r="511" spans="1:7">
      <c r="B511" s="1064" t="s">
        <v>483</v>
      </c>
      <c r="C511" s="1064"/>
      <c r="D511" s="1064"/>
      <c r="E511" s="1064"/>
      <c r="F511" s="1064"/>
    </row>
    <row r="512" spans="1:7">
      <c r="A512" s="825"/>
      <c r="B512" s="825"/>
      <c r="C512" s="854"/>
      <c r="D512" s="825"/>
      <c r="F512" s="825"/>
    </row>
    <row r="513" spans="1:7">
      <c r="A513" s="1032" t="s">
        <v>1211</v>
      </c>
      <c r="B513" s="1032"/>
      <c r="C513" s="1032"/>
      <c r="D513" s="1032"/>
      <c r="E513" s="1032"/>
      <c r="F513" s="1032"/>
      <c r="G513" s="1032"/>
    </row>
    <row r="514" spans="1:7">
      <c r="A514" s="825"/>
      <c r="B514" s="825"/>
      <c r="C514" s="854"/>
      <c r="D514" s="825"/>
      <c r="F514" s="825"/>
    </row>
    <row r="515" spans="1:7">
      <c r="C515" s="854"/>
      <c r="D515" s="999" t="s">
        <v>736</v>
      </c>
      <c r="E515" s="999"/>
      <c r="F515" s="999"/>
    </row>
    <row r="516" spans="1:7">
      <c r="C516" s="854"/>
      <c r="D516" s="1002" t="s">
        <v>1268</v>
      </c>
      <c r="E516" s="1002"/>
      <c r="F516" s="1002"/>
    </row>
    <row r="517" spans="1:7">
      <c r="C517" s="854"/>
      <c r="D517" s="810"/>
      <c r="E517" s="810"/>
      <c r="F517" s="810"/>
    </row>
    <row r="518" spans="1:7" ht="13.7" customHeight="1">
      <c r="A518" s="822"/>
      <c r="B518" s="823" t="s">
        <v>329</v>
      </c>
      <c r="C518" s="854"/>
      <c r="D518" s="1002" t="s">
        <v>978</v>
      </c>
      <c r="E518" s="1002"/>
      <c r="F518" s="1002"/>
      <c r="G518" s="815"/>
    </row>
    <row r="519" spans="1:7" ht="13.7" customHeight="1">
      <c r="A519" s="854"/>
      <c r="B519" s="854"/>
      <c r="C519" s="854"/>
      <c r="D519" s="810"/>
      <c r="E519" s="642"/>
      <c r="F519" s="642"/>
      <c r="G519" s="815"/>
    </row>
    <row r="520" spans="1:7" ht="14.25">
      <c r="A520" s="822"/>
      <c r="B520" s="823" t="s">
        <v>329</v>
      </c>
      <c r="C520" s="854"/>
      <c r="D520" s="1000" t="s">
        <v>1269</v>
      </c>
      <c r="E520" s="1000"/>
      <c r="F520" s="1000"/>
      <c r="G520" s="815"/>
    </row>
    <row r="521" spans="1:7">
      <c r="A521" s="854"/>
      <c r="B521" s="854"/>
      <c r="C521" s="854"/>
      <c r="D521" s="1000"/>
      <c r="E521" s="1000"/>
      <c r="F521" s="1000"/>
      <c r="G521" s="815"/>
    </row>
    <row r="522" spans="1:7">
      <c r="A522" s="854"/>
      <c r="B522" s="854"/>
      <c r="C522" s="854"/>
      <c r="D522" s="825"/>
      <c r="E522" s="825"/>
      <c r="F522" s="825"/>
      <c r="G522" s="815"/>
    </row>
    <row r="523" spans="1:7" ht="14.25">
      <c r="A523" s="822"/>
      <c r="B523" s="823" t="s">
        <v>329</v>
      </c>
      <c r="C523" s="854"/>
      <c r="D523" s="1000" t="s">
        <v>1270</v>
      </c>
      <c r="E523" s="1000"/>
      <c r="F523" s="1000"/>
      <c r="G523" s="815"/>
    </row>
    <row r="524" spans="1:7">
      <c r="A524" s="854"/>
      <c r="B524" s="854"/>
      <c r="C524" s="854"/>
      <c r="D524" s="1000"/>
      <c r="E524" s="1000"/>
      <c r="F524" s="1000"/>
      <c r="G524" s="815"/>
    </row>
    <row r="525" spans="1:7">
      <c r="A525" s="854"/>
      <c r="B525" s="854"/>
      <c r="C525" s="854"/>
      <c r="D525" s="825"/>
      <c r="E525" s="825"/>
      <c r="F525" s="825"/>
      <c r="G525" s="815"/>
    </row>
    <row r="526" spans="1:7" ht="14.25">
      <c r="A526" s="822"/>
      <c r="B526" s="823" t="s">
        <v>329</v>
      </c>
      <c r="C526" s="854"/>
      <c r="D526" s="1000" t="s">
        <v>1271</v>
      </c>
      <c r="E526" s="1000"/>
      <c r="F526" s="1000"/>
      <c r="G526" s="815"/>
    </row>
    <row r="527" spans="1:7">
      <c r="A527" s="854"/>
      <c r="B527" s="854"/>
      <c r="C527" s="854"/>
      <c r="D527" s="1000"/>
      <c r="E527" s="1000"/>
      <c r="F527" s="1000"/>
      <c r="G527" s="815"/>
    </row>
    <row r="528" spans="1:7">
      <c r="A528" s="854"/>
      <c r="B528" s="854"/>
      <c r="C528" s="854"/>
      <c r="D528" s="825"/>
      <c r="E528" s="825"/>
      <c r="F528" s="825"/>
      <c r="G528" s="815"/>
    </row>
    <row r="529" spans="1:7" ht="14.25">
      <c r="A529" s="822"/>
      <c r="B529" s="823" t="s">
        <v>329</v>
      </c>
      <c r="C529" s="854"/>
      <c r="D529" s="1000" t="s">
        <v>1272</v>
      </c>
      <c r="E529" s="1000"/>
      <c r="F529" s="1000"/>
      <c r="G529" s="815"/>
    </row>
    <row r="530" spans="1:7">
      <c r="A530" s="854"/>
      <c r="B530" s="854"/>
      <c r="C530" s="854"/>
      <c r="D530" s="1000"/>
      <c r="E530" s="1000"/>
      <c r="F530" s="1000"/>
      <c r="G530" s="815"/>
    </row>
    <row r="531" spans="1:7">
      <c r="A531" s="854"/>
      <c r="B531" s="854"/>
      <c r="C531" s="854"/>
      <c r="D531" s="1000"/>
      <c r="E531" s="1000"/>
      <c r="F531" s="1000"/>
      <c r="G531" s="815"/>
    </row>
    <row r="532" spans="1:7">
      <c r="A532" s="854"/>
      <c r="B532" s="854"/>
      <c r="C532" s="854"/>
      <c r="D532" s="825"/>
      <c r="E532" s="825"/>
      <c r="F532" s="825"/>
    </row>
    <row r="533" spans="1:7" ht="14.25">
      <c r="A533" s="822"/>
      <c r="B533" s="823" t="s">
        <v>329</v>
      </c>
      <c r="C533" s="854"/>
      <c r="D533" s="1054" t="s">
        <v>1390</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00" t="s">
        <v>1274</v>
      </c>
      <c r="E536" s="1000"/>
      <c r="F536" s="1000"/>
    </row>
    <row r="537" spans="1:7">
      <c r="A537" s="854"/>
      <c r="B537" s="854"/>
      <c r="C537" s="854"/>
      <c r="D537" s="1000"/>
      <c r="E537" s="1000"/>
      <c r="F537" s="1000"/>
      <c r="G537" s="844"/>
    </row>
    <row r="538" spans="1:7">
      <c r="A538" s="854"/>
      <c r="B538" s="854"/>
      <c r="C538" s="854"/>
      <c r="D538" s="825"/>
      <c r="E538" s="825"/>
      <c r="F538" s="825"/>
      <c r="G538" s="844"/>
    </row>
    <row r="539" spans="1:7" ht="14.25">
      <c r="A539" s="822"/>
      <c r="B539" s="823" t="s">
        <v>329</v>
      </c>
      <c r="C539" s="854"/>
      <c r="D539" s="1002" t="s">
        <v>1275</v>
      </c>
      <c r="E539" s="1002"/>
      <c r="F539" s="1002"/>
      <c r="G539" s="844"/>
    </row>
    <row r="540" spans="1:7">
      <c r="A540" s="841"/>
      <c r="B540" s="841"/>
      <c r="C540" s="854"/>
      <c r="D540" s="1002" t="s">
        <v>904</v>
      </c>
      <c r="E540" s="1002"/>
      <c r="F540" s="1002"/>
      <c r="G540" s="844"/>
    </row>
    <row r="541" spans="1:7">
      <c r="A541" s="841"/>
      <c r="B541" s="841"/>
      <c r="C541" s="854"/>
      <c r="D541" s="696"/>
      <c r="E541" s="1055" t="s">
        <v>1276</v>
      </c>
      <c r="F541" s="1055"/>
      <c r="G541" s="844"/>
    </row>
    <row r="542" spans="1:7" ht="14.25">
      <c r="A542" s="822"/>
      <c r="B542" s="822"/>
      <c r="C542" s="854"/>
      <c r="E542" s="825"/>
      <c r="F542" s="825"/>
      <c r="G542" s="844"/>
    </row>
    <row r="543" spans="1:7" ht="14.25">
      <c r="A543" s="822"/>
      <c r="B543" s="823" t="s">
        <v>329</v>
      </c>
      <c r="C543" s="854"/>
      <c r="D543" s="1086" t="s">
        <v>1277</v>
      </c>
      <c r="E543" s="1086"/>
      <c r="F543" s="1086"/>
      <c r="G543" s="844"/>
    </row>
    <row r="544" spans="1:7">
      <c r="C544" s="854"/>
      <c r="D544" s="1000" t="s">
        <v>1278</v>
      </c>
      <c r="E544" s="1000"/>
      <c r="F544" s="1000"/>
      <c r="G544" s="844"/>
    </row>
    <row r="545" spans="1:7">
      <c r="A545" s="854"/>
      <c r="B545" s="854"/>
      <c r="C545" s="854"/>
      <c r="D545" s="1000"/>
      <c r="E545" s="1000"/>
      <c r="F545" s="1000"/>
      <c r="G545" s="844"/>
    </row>
    <row r="546" spans="1:7">
      <c r="A546" s="854"/>
      <c r="B546" s="854"/>
      <c r="C546" s="854"/>
      <c r="D546" s="1000"/>
      <c r="E546" s="1000"/>
      <c r="F546" s="1000"/>
      <c r="G546" s="844"/>
    </row>
    <row r="547" spans="1:7">
      <c r="A547" s="854"/>
      <c r="B547" s="854"/>
      <c r="C547" s="854"/>
      <c r="D547" s="825"/>
      <c r="E547" s="825"/>
      <c r="F547" s="825"/>
      <c r="G547" s="844"/>
    </row>
    <row r="548" spans="1:7" ht="14.25">
      <c r="A548" s="822"/>
      <c r="B548" s="823" t="s">
        <v>329</v>
      </c>
      <c r="C548" s="854"/>
      <c r="D548" s="1000" t="s">
        <v>1279</v>
      </c>
      <c r="E548" s="1000"/>
      <c r="F548" s="1000"/>
      <c r="G548" s="844"/>
    </row>
    <row r="549" spans="1:7" ht="14.25">
      <c r="A549" s="822"/>
      <c r="B549" s="822"/>
      <c r="C549" s="854"/>
      <c r="D549" s="1000"/>
      <c r="E549" s="1000"/>
      <c r="F549" s="1000"/>
      <c r="G549" s="844"/>
    </row>
    <row r="550" spans="1:7" ht="14.25">
      <c r="A550" s="822"/>
      <c r="B550" s="822"/>
      <c r="C550" s="854"/>
      <c r="D550" s="1000"/>
      <c r="E550" s="1000"/>
      <c r="F550" s="1000"/>
      <c r="G550" s="844"/>
    </row>
    <row r="551" spans="1:7" ht="14.25">
      <c r="A551" s="822"/>
      <c r="B551" s="822"/>
      <c r="C551" s="854"/>
      <c r="D551" s="1000"/>
      <c r="E551" s="1000"/>
      <c r="F551" s="1000"/>
      <c r="G551" s="844"/>
    </row>
    <row r="552" spans="1:7" ht="14.25">
      <c r="A552" s="822"/>
      <c r="B552" s="822"/>
      <c r="C552" s="854"/>
      <c r="D552" s="825"/>
      <c r="E552" s="825"/>
      <c r="F552" s="825"/>
      <c r="G552" s="844"/>
    </row>
    <row r="553" spans="1:7">
      <c r="A553" s="982" t="s">
        <v>1212</v>
      </c>
      <c r="B553" s="982"/>
      <c r="C553" s="982"/>
      <c r="D553" s="982"/>
      <c r="E553" s="982"/>
      <c r="F553" s="982"/>
      <c r="G553" s="982"/>
    </row>
    <row r="554" spans="1:7">
      <c r="A554" s="854"/>
      <c r="B554" s="854"/>
      <c r="C554" s="854"/>
      <c r="E554" s="825"/>
      <c r="F554" s="825"/>
      <c r="G554" s="844"/>
    </row>
    <row r="555" spans="1:7" ht="12.75" customHeight="1">
      <c r="C555" s="818"/>
      <c r="D555" s="1071" t="s">
        <v>225</v>
      </c>
      <c r="E555" s="1071"/>
      <c r="F555" s="1071"/>
      <c r="G555" s="844"/>
    </row>
    <row r="556" spans="1:7">
      <c r="A556" s="820"/>
      <c r="B556" s="820"/>
      <c r="C556" s="820"/>
      <c r="D556" s="1005" t="s">
        <v>1228</v>
      </c>
      <c r="E556" s="1005"/>
      <c r="F556" s="1005"/>
      <c r="G556" s="844"/>
    </row>
    <row r="557" spans="1:7">
      <c r="A557" s="815"/>
      <c r="B557" s="815"/>
      <c r="C557" s="820"/>
      <c r="D557" s="864"/>
      <c r="G557" s="844"/>
    </row>
    <row r="558" spans="1:7">
      <c r="A558" s="820"/>
      <c r="B558" s="823" t="s">
        <v>329</v>
      </c>
      <c r="D558" s="1005" t="s">
        <v>984</v>
      </c>
      <c r="E558" s="1005"/>
      <c r="F558" s="1005"/>
      <c r="G558" s="844"/>
    </row>
    <row r="559" spans="1:7">
      <c r="A559" s="841"/>
      <c r="B559" s="841"/>
      <c r="D559" s="839"/>
    </row>
    <row r="560" spans="1:7">
      <c r="A560" s="841"/>
      <c r="B560" s="823" t="s">
        <v>329</v>
      </c>
      <c r="D560" s="981" t="s">
        <v>1229</v>
      </c>
      <c r="E560" s="981"/>
      <c r="F560" s="981"/>
    </row>
    <row r="561" spans="1:7">
      <c r="A561" s="841"/>
      <c r="B561" s="841"/>
      <c r="D561" s="981"/>
      <c r="E561" s="981"/>
      <c r="F561" s="981"/>
      <c r="G561" s="815"/>
    </row>
    <row r="562" spans="1:7">
      <c r="A562" s="841"/>
      <c r="B562" s="841"/>
      <c r="D562" s="981"/>
      <c r="E562" s="981"/>
      <c r="F562" s="981"/>
      <c r="G562" s="815"/>
    </row>
    <row r="563" spans="1:7">
      <c r="A563" s="841"/>
      <c r="B563" s="841"/>
      <c r="D563" s="981"/>
      <c r="E563" s="981"/>
      <c r="F563" s="981"/>
      <c r="G563" s="815"/>
    </row>
    <row r="564" spans="1:7">
      <c r="A564" s="841"/>
      <c r="B564" s="823" t="s">
        <v>329</v>
      </c>
      <c r="D564" s="981" t="s">
        <v>1230</v>
      </c>
      <c r="E564" s="981"/>
      <c r="F564" s="981"/>
      <c r="G564" s="815"/>
    </row>
    <row r="565" spans="1:7">
      <c r="A565" s="841"/>
      <c r="B565" s="841"/>
      <c r="D565" s="981"/>
      <c r="E565" s="981"/>
      <c r="F565" s="981"/>
      <c r="G565" s="815"/>
    </row>
    <row r="566" spans="1:7">
      <c r="A566" s="841"/>
      <c r="B566" s="841"/>
      <c r="D566" s="981"/>
      <c r="E566" s="981"/>
      <c r="F566" s="981"/>
      <c r="G566" s="815"/>
    </row>
    <row r="567" spans="1:7">
      <c r="A567" s="841"/>
      <c r="B567" s="841"/>
      <c r="D567" s="981"/>
      <c r="E567" s="981"/>
      <c r="F567" s="981"/>
      <c r="G567" s="815"/>
    </row>
    <row r="568" spans="1:7">
      <c r="A568" s="841"/>
      <c r="B568" s="841"/>
      <c r="D568" s="807"/>
      <c r="E568" s="807"/>
      <c r="F568" s="807"/>
      <c r="G568" s="815"/>
    </row>
    <row r="569" spans="1:7">
      <c r="A569" s="841"/>
      <c r="B569" s="823" t="s">
        <v>329</v>
      </c>
      <c r="D569" s="981" t="s">
        <v>1231</v>
      </c>
      <c r="E569" s="981"/>
      <c r="F569" s="981"/>
      <c r="G569" s="815"/>
    </row>
    <row r="570" spans="1:7">
      <c r="A570" s="841"/>
      <c r="B570" s="841"/>
      <c r="D570" s="981"/>
      <c r="E570" s="981"/>
      <c r="F570" s="981"/>
      <c r="G570" s="815"/>
    </row>
    <row r="571" spans="1:7">
      <c r="A571" s="841"/>
      <c r="B571" s="841"/>
      <c r="D571" s="864"/>
      <c r="G571" s="815"/>
    </row>
    <row r="572" spans="1:7">
      <c r="A572" s="841"/>
      <c r="B572" s="823" t="s">
        <v>329</v>
      </c>
      <c r="D572" s="1005" t="s">
        <v>1232</v>
      </c>
      <c r="E572" s="1005"/>
      <c r="F572" s="1005"/>
      <c r="G572" s="815"/>
    </row>
    <row r="573" spans="1:7">
      <c r="A573" s="841"/>
      <c r="B573" s="841"/>
      <c r="D573" s="1005"/>
      <c r="E573" s="1005"/>
      <c r="F573" s="1005"/>
      <c r="G573" s="815"/>
    </row>
    <row r="574" spans="1:7">
      <c r="A574" s="841"/>
      <c r="B574" s="841"/>
      <c r="D574" s="864"/>
      <c r="G574" s="815"/>
    </row>
    <row r="575" spans="1:7" ht="14.25">
      <c r="A575" s="822"/>
      <c r="B575" s="823" t="s">
        <v>329</v>
      </c>
      <c r="D575" s="1005" t="s">
        <v>979</v>
      </c>
      <c r="E575" s="1005"/>
      <c r="F575" s="1005"/>
      <c r="G575" s="815"/>
    </row>
    <row r="576" spans="1:7" ht="14.25">
      <c r="A576" s="822"/>
      <c r="B576" s="822"/>
      <c r="D576" s="864"/>
      <c r="G576" s="815"/>
    </row>
    <row r="577" spans="1:7">
      <c r="A577" s="982" t="s">
        <v>1213</v>
      </c>
      <c r="B577" s="982"/>
      <c r="C577" s="982"/>
      <c r="D577" s="982"/>
      <c r="E577" s="982"/>
      <c r="F577" s="982"/>
      <c r="G577" s="982"/>
    </row>
    <row r="578" spans="1:7"/>
    <row r="579" spans="1:7">
      <c r="D579" s="999" t="s">
        <v>1313</v>
      </c>
      <c r="E579" s="999"/>
      <c r="F579" s="999"/>
    </row>
    <row r="580" spans="1:7">
      <c r="D580" s="1038" t="s">
        <v>1314</v>
      </c>
      <c r="E580" s="1038"/>
      <c r="F580" s="1038"/>
    </row>
    <row r="581" spans="1:7">
      <c r="D581" s="804"/>
      <c r="E581" s="746"/>
      <c r="F581" s="746"/>
    </row>
    <row r="582" spans="1:7" s="816" customFormat="1" ht="14.25">
      <c r="A582" s="830"/>
      <c r="B582" s="823" t="s">
        <v>329</v>
      </c>
      <c r="C582" s="826"/>
      <c r="D582" s="1001" t="s">
        <v>1315</v>
      </c>
      <c r="E582" s="1001"/>
      <c r="F582" s="1001"/>
      <c r="G582" s="827"/>
    </row>
    <row r="583" spans="1:7">
      <c r="D583" s="1001"/>
      <c r="E583" s="1001"/>
      <c r="F583" s="1001"/>
    </row>
    <row r="584" spans="1:7">
      <c r="D584" s="1001"/>
      <c r="E584" s="1001"/>
      <c r="F584" s="1001"/>
    </row>
    <row r="585" spans="1:7"/>
    <row r="586" spans="1:7">
      <c r="A586" s="982" t="s">
        <v>1214</v>
      </c>
      <c r="B586" s="982"/>
      <c r="C586" s="982"/>
      <c r="D586" s="982"/>
      <c r="E586" s="982"/>
      <c r="F586" s="982"/>
      <c r="G586" s="982"/>
    </row>
    <row r="587" spans="1:7">
      <c r="A587" s="825"/>
      <c r="B587" s="825"/>
      <c r="G587" s="844"/>
    </row>
    <row r="588" spans="1:7">
      <c r="A588" s="865"/>
      <c r="B588" s="865"/>
      <c r="C588" s="818"/>
      <c r="D588" s="1039" t="s">
        <v>1316</v>
      </c>
      <c r="E588" s="1039"/>
      <c r="F588" s="1039"/>
      <c r="G588" s="844"/>
    </row>
    <row r="589" spans="1:7">
      <c r="A589" s="865"/>
      <c r="B589" s="865"/>
      <c r="C589" s="818"/>
      <c r="D589" s="1039"/>
      <c r="E589" s="1039"/>
      <c r="F589" s="1039"/>
      <c r="G589" s="844"/>
    </row>
    <row r="590" spans="1:7">
      <c r="C590" s="820"/>
      <c r="D590" s="1038" t="s">
        <v>1317</v>
      </c>
      <c r="E590" s="1038"/>
      <c r="F590" s="1038"/>
      <c r="G590" s="844"/>
    </row>
    <row r="591" spans="1:7">
      <c r="C591" s="820"/>
      <c r="D591" s="804"/>
      <c r="E591" s="804"/>
      <c r="F591" s="804"/>
      <c r="G591" s="844"/>
    </row>
    <row r="592" spans="1:7">
      <c r="A592" s="841"/>
      <c r="B592" s="823" t="s">
        <v>329</v>
      </c>
      <c r="D592" s="1038" t="s">
        <v>467</v>
      </c>
      <c r="E592" s="1038"/>
      <c r="F592" s="1038"/>
      <c r="G592" s="844"/>
    </row>
    <row r="593" spans="1:7">
      <c r="C593" s="866"/>
      <c r="E593" s="815"/>
      <c r="G593" s="844"/>
    </row>
    <row r="594" spans="1:7">
      <c r="A594" s="841"/>
      <c r="B594" s="823" t="s">
        <v>329</v>
      </c>
      <c r="D594" s="998" t="s">
        <v>1318</v>
      </c>
      <c r="E594" s="998"/>
      <c r="F594" s="998"/>
      <c r="G594" s="844"/>
    </row>
    <row r="595" spans="1:7">
      <c r="D595" s="998"/>
      <c r="E595" s="998"/>
      <c r="F595" s="998"/>
      <c r="G595" s="844"/>
    </row>
    <row r="596" spans="1:7">
      <c r="D596" s="815"/>
      <c r="G596" s="844"/>
    </row>
    <row r="597" spans="1:7">
      <c r="B597" s="823" t="s">
        <v>329</v>
      </c>
      <c r="D597" s="998" t="s">
        <v>1319</v>
      </c>
      <c r="E597" s="998"/>
      <c r="F597" s="998"/>
      <c r="G597" s="844"/>
    </row>
    <row r="598" spans="1:7">
      <c r="C598" s="866"/>
      <c r="D598" s="998"/>
      <c r="E598" s="998"/>
      <c r="F598" s="998"/>
      <c r="G598" s="844"/>
    </row>
    <row r="599" spans="1:7">
      <c r="C599" s="866"/>
      <c r="G599" s="844"/>
    </row>
    <row r="600" spans="1:7">
      <c r="B600" s="823" t="s">
        <v>329</v>
      </c>
      <c r="C600" s="866"/>
      <c r="D600" s="998" t="s">
        <v>1320</v>
      </c>
      <c r="E600" s="998"/>
      <c r="F600" s="998"/>
      <c r="G600" s="844"/>
    </row>
    <row r="601" spans="1:7">
      <c r="C601" s="866"/>
      <c r="D601" s="998"/>
      <c r="E601" s="998"/>
      <c r="F601" s="998"/>
      <c r="G601" s="844"/>
    </row>
    <row r="602" spans="1:7">
      <c r="C602" s="866"/>
      <c r="G602" s="844"/>
    </row>
    <row r="603" spans="1:7">
      <c r="A603" s="982" t="s">
        <v>1215</v>
      </c>
      <c r="B603" s="982"/>
      <c r="C603" s="982"/>
      <c r="D603" s="982"/>
      <c r="E603" s="982"/>
      <c r="F603" s="982"/>
      <c r="G603" s="982"/>
    </row>
    <row r="604" spans="1:7">
      <c r="A604" s="867"/>
      <c r="B604" s="867"/>
      <c r="C604" s="867"/>
      <c r="G604" s="844"/>
    </row>
    <row r="605" spans="1:7">
      <c r="C605" s="841"/>
      <c r="D605" s="999" t="s">
        <v>1321</v>
      </c>
      <c r="E605" s="999"/>
      <c r="F605" s="999"/>
      <c r="G605" s="844"/>
    </row>
    <row r="606" spans="1:7">
      <c r="A606" s="841"/>
      <c r="B606" s="841"/>
      <c r="C606" s="843"/>
      <c r="D606" s="819"/>
      <c r="G606" s="844"/>
    </row>
    <row r="607" spans="1:7" ht="14.25">
      <c r="A607" s="822"/>
      <c r="B607" s="823" t="s">
        <v>329</v>
      </c>
      <c r="C607" s="843"/>
      <c r="D607" s="1000" t="s">
        <v>1566</v>
      </c>
      <c r="E607" s="1000"/>
      <c r="F607" s="1000"/>
      <c r="G607" s="844"/>
    </row>
    <row r="608" spans="1:7">
      <c r="C608" s="843"/>
      <c r="D608" s="1000"/>
      <c r="E608" s="1000"/>
      <c r="F608" s="1000"/>
      <c r="G608" s="844"/>
    </row>
    <row r="609" spans="1:7">
      <c r="C609" s="843"/>
      <c r="D609" s="1000"/>
      <c r="E609" s="1000"/>
      <c r="F609" s="1000"/>
      <c r="G609" s="844"/>
    </row>
    <row r="610" spans="1:7">
      <c r="C610" s="843"/>
      <c r="D610" s="1000"/>
      <c r="E610" s="1000"/>
      <c r="F610" s="1000"/>
      <c r="G610" s="844"/>
    </row>
    <row r="611" spans="1:7">
      <c r="C611" s="843"/>
      <c r="D611" s="1000"/>
      <c r="E611" s="1000"/>
      <c r="F611" s="1000"/>
      <c r="G611" s="844"/>
    </row>
    <row r="612" spans="1:7">
      <c r="C612" s="843"/>
      <c r="D612" s="1000"/>
      <c r="E612" s="1000"/>
      <c r="F612" s="1000"/>
      <c r="G612" s="844"/>
    </row>
    <row r="613" spans="1:7">
      <c r="C613" s="843"/>
      <c r="D613" s="809"/>
      <c r="E613" s="809"/>
      <c r="F613" s="809"/>
      <c r="G613" s="844"/>
    </row>
    <row r="614" spans="1:7" ht="14.25">
      <c r="A614" s="822"/>
      <c r="B614" s="823" t="s">
        <v>329</v>
      </c>
      <c r="C614" s="843"/>
      <c r="D614" s="1000" t="s">
        <v>1323</v>
      </c>
      <c r="E614" s="1000"/>
      <c r="F614" s="1000"/>
      <c r="G614" s="844"/>
    </row>
    <row r="615" spans="1:7">
      <c r="A615" s="854"/>
      <c r="B615" s="854"/>
      <c r="C615" s="854"/>
      <c r="D615" s="1000"/>
      <c r="E615" s="1000"/>
      <c r="F615" s="1000"/>
      <c r="G615" s="844"/>
    </row>
    <row r="616" spans="1:7">
      <c r="A616" s="854"/>
      <c r="B616" s="854"/>
      <c r="C616" s="854"/>
      <c r="D616" s="810"/>
      <c r="E616" s="868"/>
      <c r="F616" s="868"/>
      <c r="G616" s="844"/>
    </row>
    <row r="617" spans="1:7" ht="14.25">
      <c r="A617" s="822"/>
      <c r="B617" s="823" t="s">
        <v>329</v>
      </c>
      <c r="C617" s="854"/>
      <c r="D617" s="1001" t="s">
        <v>1493</v>
      </c>
      <c r="E617" s="1001"/>
      <c r="F617" s="1001"/>
      <c r="G617" s="844"/>
    </row>
    <row r="618" spans="1:7" ht="14.25">
      <c r="A618" s="822"/>
      <c r="B618" s="822"/>
      <c r="C618" s="854"/>
      <c r="D618" s="1001"/>
      <c r="E618" s="1001"/>
      <c r="F618" s="1001"/>
      <c r="G618" s="844"/>
    </row>
    <row r="619" spans="1:7" ht="14.25">
      <c r="A619" s="822"/>
      <c r="B619" s="822"/>
      <c r="C619" s="854"/>
      <c r="D619" s="1001"/>
      <c r="E619" s="1001"/>
      <c r="F619" s="1001"/>
      <c r="G619" s="844"/>
    </row>
    <row r="620" spans="1:7">
      <c r="A620" s="854"/>
      <c r="B620" s="823" t="s">
        <v>329</v>
      </c>
      <c r="C620" s="854"/>
      <c r="D620" s="1002" t="s">
        <v>1325</v>
      </c>
      <c r="E620" s="1002"/>
      <c r="F620" s="1002"/>
      <c r="G620" s="844"/>
    </row>
    <row r="621" spans="1:7">
      <c r="A621" s="854"/>
      <c r="B621" s="854"/>
      <c r="C621" s="854"/>
      <c r="D621" s="751"/>
      <c r="E621" s="751"/>
      <c r="F621" s="751"/>
      <c r="G621" s="844"/>
    </row>
    <row r="622" spans="1:7">
      <c r="A622" s="982" t="s">
        <v>1216</v>
      </c>
      <c r="B622" s="982"/>
      <c r="C622" s="982"/>
      <c r="D622" s="982"/>
      <c r="E622" s="982"/>
      <c r="F622" s="982"/>
      <c r="G622" s="982"/>
    </row>
    <row r="623" spans="1:7">
      <c r="A623" s="825"/>
      <c r="B623" s="825"/>
      <c r="C623" s="854"/>
      <c r="D623" s="868"/>
      <c r="E623" s="868"/>
      <c r="F623" s="868"/>
      <c r="G623" s="844"/>
    </row>
    <row r="624" spans="1:7">
      <c r="C624" s="867"/>
      <c r="D624" s="1078" t="s">
        <v>1375</v>
      </c>
      <c r="E624" s="1078"/>
      <c r="F624" s="1078"/>
      <c r="G624" s="844"/>
    </row>
    <row r="625" spans="1:7">
      <c r="A625" s="820"/>
      <c r="B625" s="820"/>
      <c r="C625" s="820"/>
      <c r="D625" s="1079" t="s">
        <v>1376</v>
      </c>
      <c r="E625" s="1079"/>
      <c r="F625" s="1079"/>
      <c r="G625" s="844"/>
    </row>
    <row r="626" spans="1:7">
      <c r="A626" s="820"/>
      <c r="B626" s="820"/>
      <c r="C626" s="820"/>
      <c r="D626" s="751"/>
      <c r="E626" s="751"/>
      <c r="F626" s="751"/>
      <c r="G626" s="844"/>
    </row>
    <row r="627" spans="1:7" ht="12.75" customHeight="1">
      <c r="B627" s="823" t="s">
        <v>329</v>
      </c>
      <c r="C627" s="854"/>
      <c r="D627" s="1069" t="s">
        <v>1600</v>
      </c>
      <c r="E627" s="1069"/>
      <c r="F627" s="1069"/>
    </row>
    <row r="628" spans="1:7">
      <c r="D628" s="1069"/>
      <c r="E628" s="1069"/>
      <c r="F628" s="1069"/>
    </row>
    <row r="629" spans="1:7">
      <c r="D629" s="1069"/>
      <c r="E629" s="1069"/>
      <c r="F629" s="1069"/>
    </row>
    <row r="630" spans="1:7">
      <c r="D630" s="1069"/>
      <c r="E630" s="1069"/>
      <c r="F630" s="1069"/>
    </row>
    <row r="631" spans="1:7" ht="14.45" customHeight="1">
      <c r="A631" s="822"/>
      <c r="B631" s="822"/>
      <c r="C631" s="854"/>
      <c r="D631" s="943"/>
      <c r="E631" s="943"/>
      <c r="F631" s="943"/>
      <c r="G631" s="844"/>
    </row>
    <row r="632" spans="1:7" ht="12.75" customHeight="1">
      <c r="A632" s="820"/>
      <c r="B632" s="823" t="s">
        <v>329</v>
      </c>
      <c r="C632" s="854"/>
      <c r="D632" s="1069" t="s">
        <v>1603</v>
      </c>
      <c r="E632" s="1069"/>
      <c r="F632" s="1069"/>
      <c r="G632" s="844"/>
    </row>
    <row r="633" spans="1:7" ht="14.25">
      <c r="A633" s="820"/>
      <c r="B633" s="822"/>
      <c r="C633" s="854"/>
      <c r="D633" s="1069"/>
      <c r="E633" s="1069"/>
      <c r="F633" s="1069"/>
      <c r="G633" s="844"/>
    </row>
    <row r="634" spans="1:7" ht="14.25">
      <c r="A634" s="820"/>
      <c r="B634" s="822"/>
      <c r="C634" s="854"/>
      <c r="D634" s="1069"/>
      <c r="E634" s="1069"/>
      <c r="F634" s="1069"/>
      <c r="G634" s="844"/>
    </row>
    <row r="635" spans="1:7" ht="14.25">
      <c r="A635" s="820"/>
      <c r="B635" s="822"/>
      <c r="C635" s="854"/>
      <c r="D635" s="1069"/>
      <c r="E635" s="1069"/>
      <c r="F635" s="1069"/>
      <c r="G635" s="844"/>
    </row>
    <row r="636" spans="1:7" ht="14.25">
      <c r="A636" s="820"/>
      <c r="B636" s="822"/>
      <c r="C636" s="854"/>
      <c r="D636" s="1069"/>
      <c r="E636" s="1069"/>
      <c r="F636" s="1069"/>
      <c r="G636" s="844"/>
    </row>
    <row r="637" spans="1:7" ht="14.25" customHeight="1">
      <c r="A637" s="820"/>
      <c r="B637" s="822"/>
      <c r="C637" s="854"/>
      <c r="F637" s="944"/>
      <c r="G637" s="844"/>
    </row>
    <row r="638" spans="1:7" ht="12.75" customHeight="1">
      <c r="A638" s="820"/>
      <c r="B638" s="823" t="s">
        <v>329</v>
      </c>
      <c r="C638" s="854"/>
      <c r="D638" s="1069" t="s">
        <v>1601</v>
      </c>
      <c r="E638" s="1069"/>
      <c r="F638" s="1069"/>
      <c r="G638" s="844"/>
    </row>
    <row r="639" spans="1:7" ht="14.25">
      <c r="A639" s="820"/>
      <c r="B639" s="822"/>
      <c r="C639" s="854"/>
      <c r="D639" s="1069"/>
      <c r="E639" s="1069"/>
      <c r="F639" s="1069"/>
      <c r="G639" s="844"/>
    </row>
    <row r="640" spans="1:7" ht="14.25">
      <c r="A640" s="822"/>
      <c r="B640" s="822"/>
      <c r="C640" s="854"/>
      <c r="D640" s="1069"/>
      <c r="E640" s="1069"/>
      <c r="F640" s="1069"/>
      <c r="G640" s="844"/>
    </row>
    <row r="641" spans="1:7" ht="14.25">
      <c r="A641" s="822"/>
      <c r="B641" s="822"/>
      <c r="C641" s="854"/>
      <c r="D641" s="1069"/>
      <c r="E641" s="1069"/>
      <c r="F641" s="1069"/>
      <c r="G641" s="844"/>
    </row>
    <row r="642" spans="1:7" ht="14.25">
      <c r="A642" s="822"/>
      <c r="B642" s="822"/>
      <c r="C642" s="854"/>
      <c r="D642" s="934"/>
      <c r="E642" s="934"/>
      <c r="F642" s="934"/>
      <c r="G642" s="844"/>
    </row>
    <row r="643" spans="1:7" ht="12.75" customHeight="1">
      <c r="A643" s="820"/>
      <c r="B643" s="823" t="s">
        <v>329</v>
      </c>
      <c r="C643" s="854"/>
      <c r="D643" s="1069" t="s">
        <v>1602</v>
      </c>
      <c r="E643" s="1069"/>
      <c r="F643" s="1069"/>
      <c r="G643" s="844"/>
    </row>
    <row r="644" spans="1:7" ht="12.75" customHeight="1">
      <c r="A644" s="820"/>
      <c r="B644" s="822"/>
      <c r="C644" s="854"/>
      <c r="D644" s="1069"/>
      <c r="E644" s="1069"/>
      <c r="F644" s="1069"/>
      <c r="G644" s="844"/>
    </row>
    <row r="645" spans="1:7" ht="12.75" customHeight="1">
      <c r="A645" s="820"/>
      <c r="B645" s="822"/>
      <c r="C645" s="854"/>
      <c r="D645" s="1069"/>
      <c r="E645" s="1069"/>
      <c r="F645" s="1069"/>
      <c r="G645" s="844"/>
    </row>
    <row r="646" spans="1:7" ht="12.75" customHeight="1">
      <c r="A646" s="820"/>
      <c r="B646" s="822"/>
      <c r="C646" s="854"/>
      <c r="D646" s="1069"/>
      <c r="E646" s="1069"/>
      <c r="F646" s="1069"/>
      <c r="G646" s="844"/>
    </row>
    <row r="647" spans="1:7" ht="12.75" customHeight="1">
      <c r="A647" s="820"/>
      <c r="B647" s="822"/>
      <c r="C647" s="854"/>
      <c r="D647" s="1069"/>
      <c r="E647" s="1069"/>
      <c r="F647" s="1069"/>
      <c r="G647" s="844"/>
    </row>
    <row r="648" spans="1:7" ht="12.75" customHeight="1">
      <c r="A648" s="820"/>
      <c r="B648" s="822"/>
      <c r="C648" s="854"/>
      <c r="D648" s="1069"/>
      <c r="E648" s="1069"/>
      <c r="F648" s="1069"/>
      <c r="G648" s="844"/>
    </row>
    <row r="649" spans="1:7" ht="12.75" customHeight="1">
      <c r="A649" s="820"/>
      <c r="B649" s="822"/>
      <c r="C649" s="854"/>
      <c r="D649" s="1069"/>
      <c r="E649" s="1069"/>
      <c r="F649" s="1069"/>
      <c r="G649" s="844"/>
    </row>
    <row r="650" spans="1:7" ht="12.75" customHeight="1">
      <c r="A650" s="820"/>
      <c r="B650" s="822"/>
      <c r="C650" s="854"/>
      <c r="D650" s="1069"/>
      <c r="E650" s="1069"/>
      <c r="F650" s="1069"/>
      <c r="G650" s="844"/>
    </row>
    <row r="651" spans="1:7" ht="12.75" customHeight="1">
      <c r="A651" s="820"/>
      <c r="B651" s="822"/>
      <c r="C651" s="854"/>
      <c r="D651" s="1069"/>
      <c r="E651" s="1069"/>
      <c r="F651" s="1069"/>
      <c r="G651" s="844"/>
    </row>
    <row r="652" spans="1:7" ht="14.25">
      <c r="A652" s="822"/>
      <c r="B652" s="822"/>
      <c r="C652" s="854"/>
      <c r="D652" s="934"/>
      <c r="E652" s="934"/>
      <c r="F652" s="934"/>
      <c r="G652" s="844"/>
    </row>
    <row r="653" spans="1:7" ht="14.25">
      <c r="A653" s="822"/>
      <c r="B653" s="823" t="s">
        <v>329</v>
      </c>
      <c r="C653" s="854"/>
      <c r="D653" s="1075" t="s">
        <v>1227</v>
      </c>
      <c r="E653" s="1075"/>
      <c r="F653" s="1075"/>
      <c r="G653" s="844"/>
    </row>
    <row r="654" spans="1:7" ht="14.25">
      <c r="A654" s="822"/>
      <c r="B654" s="822"/>
      <c r="C654" s="854"/>
      <c r="D654" s="998" t="s">
        <v>1378</v>
      </c>
      <c r="E654" s="998"/>
      <c r="F654" s="998"/>
      <c r="G654" s="844"/>
    </row>
    <row r="655" spans="1:7" ht="14.25">
      <c r="A655" s="822"/>
      <c r="B655" s="822"/>
      <c r="C655" s="854"/>
      <c r="D655" s="998"/>
      <c r="E655" s="998"/>
      <c r="F655" s="998"/>
      <c r="G655" s="844"/>
    </row>
    <row r="656" spans="1:7" ht="14.25">
      <c r="A656" s="822"/>
      <c r="B656" s="822"/>
      <c r="C656" s="854"/>
      <c r="D656" s="998"/>
      <c r="E656" s="998"/>
      <c r="F656" s="998"/>
      <c r="G656" s="844"/>
    </row>
    <row r="657" spans="1:11" ht="14.25">
      <c r="A657" s="822"/>
      <c r="B657" s="822"/>
      <c r="C657" s="854"/>
      <c r="D657" s="998"/>
      <c r="E657" s="998"/>
      <c r="F657" s="998"/>
      <c r="G657" s="844"/>
    </row>
    <row r="658" spans="1:11" ht="14.25">
      <c r="A658" s="822"/>
      <c r="B658" s="822"/>
      <c r="C658" s="854"/>
      <c r="D658" s="998"/>
      <c r="E658" s="998"/>
      <c r="F658" s="998"/>
      <c r="G658" s="844"/>
    </row>
    <row r="659" spans="1:11" ht="14.25">
      <c r="A659" s="822"/>
      <c r="B659" s="822"/>
      <c r="C659" s="854"/>
      <c r="D659" s="1023" t="s">
        <v>1565</v>
      </c>
      <c r="E659" s="1023"/>
      <c r="F659" s="1023"/>
      <c r="G659" s="844"/>
    </row>
    <row r="660" spans="1:11">
      <c r="A660" s="854"/>
      <c r="B660" s="854"/>
      <c r="C660" s="854"/>
      <c r="D660" s="868"/>
      <c r="E660" s="868"/>
      <c r="F660" s="868"/>
      <c r="G660" s="844"/>
    </row>
    <row r="661" spans="1:11">
      <c r="A661" s="982" t="s">
        <v>1217</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99" t="s">
        <v>106</v>
      </c>
      <c r="E663" s="999"/>
      <c r="F663" s="999"/>
      <c r="G663" s="844"/>
      <c r="H663" s="869"/>
      <c r="I663" s="869"/>
      <c r="J663" s="869"/>
      <c r="K663" s="869"/>
    </row>
    <row r="664" spans="1:11">
      <c r="A664" s="867"/>
      <c r="B664" s="867"/>
      <c r="C664" s="867"/>
      <c r="D664" s="999" t="s">
        <v>130</v>
      </c>
      <c r="E664" s="999"/>
      <c r="F664" s="999"/>
      <c r="G664" s="844"/>
      <c r="H664" s="869"/>
      <c r="I664" s="869"/>
      <c r="J664" s="869"/>
      <c r="K664" s="869"/>
    </row>
    <row r="665" spans="1:11">
      <c r="A665" s="820"/>
      <c r="B665" s="820"/>
      <c r="C665" s="820"/>
      <c r="D665" s="1002" t="s">
        <v>1253</v>
      </c>
      <c r="E665" s="1002"/>
      <c r="F665" s="100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2" t="s">
        <v>980</v>
      </c>
      <c r="E667" s="1002"/>
      <c r="F667" s="1002"/>
      <c r="G667" s="844"/>
      <c r="H667" s="869"/>
      <c r="I667" s="869"/>
      <c r="J667" s="869"/>
      <c r="K667" s="869"/>
    </row>
    <row r="668" spans="1:11">
      <c r="A668" s="820"/>
      <c r="B668" s="820"/>
      <c r="C668" s="820"/>
      <c r="D668" s="1002" t="s">
        <v>991</v>
      </c>
      <c r="E668" s="1002"/>
      <c r="F668" s="1002"/>
      <c r="G668" s="844"/>
      <c r="H668" s="869"/>
      <c r="I668" s="869"/>
      <c r="J668" s="869"/>
      <c r="K668" s="869"/>
    </row>
    <row r="669" spans="1:11">
      <c r="A669" s="820"/>
      <c r="B669" s="820"/>
      <c r="C669" s="820"/>
      <c r="D669" s="696"/>
      <c r="E669" s="1056" t="s">
        <v>1254</v>
      </c>
      <c r="F669" s="1056"/>
      <c r="G669" s="844"/>
      <c r="H669" s="869"/>
      <c r="I669" s="869"/>
      <c r="J669" s="869"/>
      <c r="K669" s="869"/>
    </row>
    <row r="670" spans="1:11">
      <c r="A670" s="820"/>
      <c r="B670" s="820"/>
      <c r="C670" s="820"/>
      <c r="D670" s="696"/>
      <c r="E670" s="1056"/>
      <c r="F670" s="105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0" t="s">
        <v>1455</v>
      </c>
      <c r="E672" s="1000"/>
      <c r="F672" s="1000"/>
      <c r="G672" s="844"/>
      <c r="H672" s="869"/>
      <c r="I672" s="869"/>
      <c r="J672" s="869"/>
      <c r="K672" s="869"/>
    </row>
    <row r="673" spans="1:11">
      <c r="A673" s="841"/>
      <c r="B673" s="841"/>
      <c r="C673" s="820"/>
      <c r="D673" s="1000"/>
      <c r="E673" s="1000"/>
      <c r="F673" s="1000"/>
      <c r="G673" s="844"/>
      <c r="H673" s="869"/>
      <c r="I673" s="869"/>
      <c r="J673" s="869"/>
      <c r="K673" s="869"/>
    </row>
    <row r="674" spans="1:11">
      <c r="A674" s="820"/>
      <c r="B674" s="820"/>
      <c r="C674" s="820"/>
      <c r="D674" s="1000"/>
      <c r="E674" s="1000"/>
      <c r="F674" s="1000"/>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2" t="s">
        <v>1021</v>
      </c>
      <c r="E676" s="1002"/>
      <c r="F676" s="1002"/>
      <c r="G676" s="844"/>
      <c r="H676" s="869"/>
      <c r="I676" s="869"/>
      <c r="J676" s="869"/>
      <c r="K676" s="869"/>
    </row>
    <row r="677" spans="1:11" ht="14.25">
      <c r="A677" s="822"/>
      <c r="B677" s="822"/>
      <c r="C677" s="820"/>
      <c r="D677" s="1002" t="s">
        <v>991</v>
      </c>
      <c r="E677" s="1002"/>
      <c r="F677" s="1002"/>
      <c r="G677" s="844"/>
      <c r="H677" s="869"/>
      <c r="I677" s="869"/>
      <c r="J677" s="869"/>
      <c r="K677" s="869"/>
    </row>
    <row r="678" spans="1:11">
      <c r="A678" s="820"/>
      <c r="B678" s="820"/>
      <c r="C678" s="820"/>
      <c r="D678" s="696"/>
      <c r="E678" s="1055" t="s">
        <v>1256</v>
      </c>
      <c r="F678" s="1055"/>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1266</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1457</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1257</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1264</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1265</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1258</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1259</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0" t="s">
        <v>1260</v>
      </c>
      <c r="E718" s="1000"/>
      <c r="F718" s="1000"/>
      <c r="G718" s="844"/>
      <c r="H718" s="869"/>
      <c r="I718" s="869"/>
      <c r="J718" s="869"/>
      <c r="K718" s="869"/>
    </row>
    <row r="719" spans="1:11">
      <c r="A719" s="820"/>
      <c r="B719" s="820"/>
      <c r="C719" s="820"/>
      <c r="D719" s="1000"/>
      <c r="E719" s="1000"/>
      <c r="F719" s="1000"/>
      <c r="G719" s="844"/>
      <c r="H719" s="869"/>
      <c r="I719" s="869"/>
      <c r="J719" s="869"/>
      <c r="K719" s="869"/>
    </row>
    <row r="720" spans="1:11">
      <c r="A720" s="820"/>
      <c r="B720" s="820"/>
      <c r="C720" s="820"/>
      <c r="D720" s="1000"/>
      <c r="E720" s="1000"/>
      <c r="F720" s="1000"/>
      <c r="G720" s="844"/>
      <c r="H720" s="869"/>
      <c r="I720" s="869"/>
      <c r="J720" s="869"/>
      <c r="K720" s="869"/>
    </row>
    <row r="721" spans="1:11">
      <c r="A721" s="820"/>
      <c r="B721" s="820"/>
      <c r="C721" s="820"/>
      <c r="D721" s="1000"/>
      <c r="E721" s="1000"/>
      <c r="F721" s="1000"/>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1393</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1030" t="s">
        <v>1261</v>
      </c>
      <c r="E730" s="1030"/>
      <c r="F730" s="1030"/>
      <c r="G730" s="844"/>
      <c r="H730" s="869"/>
      <c r="I730" s="869"/>
      <c r="J730" s="869"/>
      <c r="K730" s="869"/>
    </row>
    <row r="731" spans="1:11">
      <c r="A731" s="820"/>
      <c r="B731" s="820"/>
      <c r="C731" s="820"/>
      <c r="D731" s="806"/>
      <c r="G731" s="844"/>
      <c r="H731" s="869"/>
      <c r="I731" s="869"/>
      <c r="J731" s="869"/>
      <c r="K731" s="869"/>
    </row>
    <row r="732" spans="1:11">
      <c r="A732" s="1032" t="s">
        <v>1218</v>
      </c>
      <c r="B732" s="1032"/>
      <c r="C732" s="1032"/>
      <c r="D732" s="1032"/>
      <c r="E732" s="1032"/>
      <c r="F732" s="1032"/>
      <c r="G732" s="1032"/>
      <c r="H732" s="869"/>
      <c r="I732" s="869"/>
      <c r="J732" s="869"/>
      <c r="K732" s="869"/>
    </row>
    <row r="733" spans="1:11">
      <c r="A733" s="820"/>
      <c r="B733" s="820"/>
      <c r="C733" s="820"/>
      <c r="D733" s="847"/>
      <c r="G733" s="874"/>
      <c r="H733" s="869"/>
      <c r="I733" s="869"/>
      <c r="J733" s="869"/>
      <c r="K733" s="869"/>
    </row>
    <row r="734" spans="1:11" ht="13.7" customHeight="1">
      <c r="C734" s="820"/>
      <c r="D734" s="1071" t="s">
        <v>1234</v>
      </c>
      <c r="E734" s="1071"/>
      <c r="F734" s="1071"/>
      <c r="G734" s="874"/>
      <c r="H734" s="869"/>
      <c r="I734" s="869"/>
      <c r="J734" s="869"/>
      <c r="K734" s="869"/>
    </row>
    <row r="735" spans="1:11">
      <c r="A735" s="820"/>
      <c r="B735" s="820"/>
      <c r="C735" s="820"/>
      <c r="D735" s="1026" t="s">
        <v>1235</v>
      </c>
      <c r="E735" s="1026"/>
      <c r="F735" s="102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0" t="s">
        <v>1236</v>
      </c>
      <c r="E737" s="1000"/>
      <c r="F737" s="1000"/>
      <c r="G737" s="874"/>
      <c r="H737" s="872"/>
      <c r="I737" s="872"/>
      <c r="J737" s="872"/>
      <c r="K737" s="872"/>
    </row>
    <row r="738" spans="1:11" s="816" customFormat="1" ht="10.5" customHeight="1">
      <c r="A738" s="813"/>
      <c r="B738" s="813"/>
      <c r="C738" s="813"/>
      <c r="D738" s="1000"/>
      <c r="E738" s="1000"/>
      <c r="F738" s="1000"/>
      <c r="G738" s="874"/>
      <c r="H738" s="872"/>
      <c r="I738" s="872"/>
      <c r="J738" s="872"/>
      <c r="K738" s="872"/>
    </row>
    <row r="739" spans="1:11" s="816" customFormat="1">
      <c r="A739" s="813"/>
      <c r="B739" s="813"/>
      <c r="C739" s="813"/>
      <c r="D739" s="1000"/>
      <c r="E739" s="1000"/>
      <c r="F739" s="1000"/>
      <c r="G739" s="874"/>
      <c r="H739" s="872"/>
      <c r="I739" s="872"/>
      <c r="J739" s="872"/>
      <c r="K739" s="872"/>
    </row>
    <row r="740" spans="1:11">
      <c r="D740" s="1000"/>
      <c r="E740" s="1000"/>
      <c r="F740" s="1000"/>
      <c r="G740" s="874"/>
      <c r="H740" s="869"/>
      <c r="I740" s="869"/>
      <c r="J740" s="869"/>
      <c r="K740" s="869"/>
    </row>
    <row r="741" spans="1:11">
      <c r="A741" s="826"/>
      <c r="B741" s="826"/>
      <c r="C741" s="826"/>
      <c r="D741" s="1000"/>
      <c r="E741" s="1000"/>
      <c r="F741" s="1000"/>
      <c r="G741" s="875"/>
      <c r="H741" s="869"/>
      <c r="I741" s="869"/>
      <c r="J741" s="869"/>
      <c r="K741" s="869"/>
    </row>
    <row r="742" spans="1:11" ht="15.6" customHeight="1">
      <c r="A742" s="826"/>
      <c r="B742" s="826"/>
      <c r="C742" s="826"/>
      <c r="D742" s="1000"/>
      <c r="E742" s="1000"/>
      <c r="F742" s="100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1" t="s">
        <v>1513</v>
      </c>
      <c r="E744" s="1001"/>
      <c r="F744" s="1001"/>
      <c r="G744" s="879"/>
    </row>
    <row r="745" spans="1:11" s="880" customFormat="1">
      <c r="A745" s="878"/>
      <c r="B745" s="878"/>
      <c r="C745" s="878"/>
      <c r="D745" s="1001"/>
      <c r="E745" s="1001"/>
      <c r="F745" s="1001"/>
      <c r="G745" s="879"/>
    </row>
    <row r="746" spans="1:11" s="880" customFormat="1">
      <c r="A746" s="878"/>
      <c r="B746" s="878"/>
      <c r="C746" s="878"/>
      <c r="D746" s="1001"/>
      <c r="E746" s="1001"/>
      <c r="F746" s="1001"/>
      <c r="G746" s="879"/>
    </row>
    <row r="747" spans="1:11" s="880" customFormat="1">
      <c r="A747" s="878"/>
      <c r="B747" s="878"/>
      <c r="C747" s="878"/>
      <c r="D747" s="1001"/>
      <c r="E747" s="1001"/>
      <c r="F747" s="1001"/>
      <c r="G747" s="879"/>
    </row>
    <row r="748" spans="1:11" s="880" customFormat="1">
      <c r="A748" s="878"/>
      <c r="B748" s="878"/>
      <c r="C748" s="878"/>
      <c r="D748" s="864"/>
      <c r="E748" s="879"/>
      <c r="F748" s="879"/>
      <c r="G748" s="879"/>
    </row>
    <row r="749" spans="1:11" s="880" customFormat="1" ht="14.25">
      <c r="A749" s="822"/>
      <c r="B749" s="823" t="s">
        <v>329</v>
      </c>
      <c r="C749" s="878"/>
      <c r="D749" s="1080" t="s">
        <v>1514</v>
      </c>
      <c r="E749" s="1080"/>
      <c r="F749" s="1080"/>
      <c r="G749" s="879"/>
    </row>
    <row r="750" spans="1:11" s="880" customFormat="1">
      <c r="A750" s="878"/>
      <c r="B750" s="878"/>
      <c r="C750" s="878"/>
      <c r="D750" s="1080"/>
      <c r="E750" s="1080"/>
      <c r="F750" s="1080"/>
      <c r="G750" s="879"/>
    </row>
    <row r="751" spans="1:11" s="880" customFormat="1">
      <c r="A751" s="878"/>
      <c r="B751" s="878"/>
      <c r="C751" s="878"/>
      <c r="D751" s="1080"/>
      <c r="E751" s="1080"/>
      <c r="F751" s="1080"/>
      <c r="G751" s="879"/>
    </row>
    <row r="752" spans="1:11">
      <c r="A752" s="826"/>
      <c r="B752" s="826"/>
      <c r="C752" s="826"/>
      <c r="D752" s="864"/>
      <c r="E752" s="876"/>
      <c r="F752" s="876"/>
      <c r="G752" s="875"/>
      <c r="H752" s="869"/>
      <c r="I752" s="869"/>
      <c r="J752" s="869"/>
      <c r="K752" s="869"/>
    </row>
    <row r="753" spans="1:11" ht="14.25">
      <c r="A753" s="822"/>
      <c r="B753" s="823" t="s">
        <v>329</v>
      </c>
      <c r="C753" s="826"/>
      <c r="D753" s="1001" t="s">
        <v>1451</v>
      </c>
      <c r="E753" s="1001"/>
      <c r="F753" s="1001"/>
      <c r="G753" s="875"/>
      <c r="H753" s="869"/>
      <c r="I753" s="869"/>
      <c r="J753" s="869"/>
      <c r="K753" s="869"/>
    </row>
    <row r="754" spans="1:11">
      <c r="A754" s="826"/>
      <c r="B754" s="826"/>
      <c r="C754" s="826"/>
      <c r="D754" s="1001"/>
      <c r="E754" s="1001"/>
      <c r="F754" s="1001"/>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1" t="s">
        <v>1475</v>
      </c>
      <c r="E756" s="1001"/>
      <c r="F756" s="1001"/>
      <c r="G756" s="875"/>
      <c r="H756" s="869"/>
      <c r="I756" s="869"/>
      <c r="J756" s="869"/>
      <c r="K756" s="869"/>
    </row>
    <row r="757" spans="1:11">
      <c r="A757" s="826"/>
      <c r="B757" s="826"/>
      <c r="C757" s="826"/>
      <c r="D757" s="1001"/>
      <c r="E757" s="1001"/>
      <c r="F757" s="1001"/>
      <c r="G757" s="875"/>
      <c r="H757" s="869"/>
      <c r="I757" s="869"/>
      <c r="J757" s="869"/>
      <c r="K757" s="869"/>
    </row>
    <row r="758" spans="1:11">
      <c r="A758" s="826"/>
      <c r="B758" s="826"/>
      <c r="C758" s="826"/>
      <c r="D758" s="1001"/>
      <c r="E758" s="1001"/>
      <c r="F758" s="1001"/>
      <c r="G758" s="875"/>
      <c r="H758" s="869"/>
      <c r="I758" s="869"/>
      <c r="J758" s="869"/>
      <c r="K758" s="869"/>
    </row>
    <row r="759" spans="1:11">
      <c r="A759" s="826"/>
      <c r="B759" s="826"/>
      <c r="C759" s="826"/>
      <c r="D759" s="805"/>
      <c r="E759" s="805"/>
      <c r="F759" s="805"/>
      <c r="G759" s="875"/>
      <c r="H759" s="869"/>
      <c r="I759" s="869"/>
      <c r="J759" s="869"/>
      <c r="K759" s="869"/>
    </row>
    <row r="760" spans="1:11">
      <c r="A760" s="1034" t="s">
        <v>1571</v>
      </c>
      <c r="B760" s="1034"/>
      <c r="C760" s="1034"/>
      <c r="D760" s="1034"/>
      <c r="E760" s="1034"/>
      <c r="F760" s="1034"/>
      <c r="G760" s="1034"/>
    </row>
    <row r="761" spans="1:11">
      <c r="A761" s="820"/>
      <c r="B761" s="820"/>
      <c r="C761" s="820"/>
      <c r="D761" s="881"/>
      <c r="F761" s="868"/>
      <c r="G761" s="874"/>
    </row>
    <row r="762" spans="1:11">
      <c r="A762" s="826"/>
      <c r="B762" s="826"/>
      <c r="C762" s="831"/>
      <c r="D762" s="1035" t="s">
        <v>1579</v>
      </c>
      <c r="E762" s="1035"/>
      <c r="F762" s="1035"/>
      <c r="G762" s="874"/>
    </row>
    <row r="763" spans="1:11">
      <c r="A763" s="882"/>
      <c r="B763" s="882"/>
      <c r="C763" s="883"/>
      <c r="D763" s="1025" t="s">
        <v>1567</v>
      </c>
      <c r="E763" s="1025"/>
      <c r="F763" s="1025"/>
      <c r="G763" s="874"/>
    </row>
    <row r="764" spans="1:11">
      <c r="A764" s="882"/>
      <c r="B764" s="882"/>
      <c r="C764" s="883"/>
      <c r="D764" s="920"/>
      <c r="E764" s="920"/>
      <c r="F764" s="920"/>
      <c r="G764" s="874"/>
    </row>
    <row r="765" spans="1:11">
      <c r="A765" s="826"/>
      <c r="C765" s="831"/>
      <c r="D765" s="1035" t="s">
        <v>1564</v>
      </c>
      <c r="E765" s="1035"/>
      <c r="F765" s="1035"/>
      <c r="G765" s="874"/>
    </row>
    <row r="766" spans="1:11" ht="14.25">
      <c r="A766" s="822"/>
      <c r="B766" s="823" t="s">
        <v>329</v>
      </c>
      <c r="C766" s="831"/>
      <c r="D766" s="1026" t="s">
        <v>1103</v>
      </c>
      <c r="E766" s="1026"/>
      <c r="F766" s="1026"/>
      <c r="G766" s="874"/>
    </row>
    <row r="767" spans="1:11" ht="14.25">
      <c r="A767" s="822"/>
      <c r="B767" s="815"/>
      <c r="C767" s="831"/>
      <c r="D767" s="921"/>
      <c r="E767" s="1027" t="s">
        <v>1226</v>
      </c>
      <c r="F767" s="102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5" t="s">
        <v>1580</v>
      </c>
      <c r="E770" s="1035"/>
      <c r="F770" s="1035"/>
      <c r="G770" s="874"/>
    </row>
    <row r="771" spans="1:7" ht="14.25">
      <c r="A771" s="822"/>
      <c r="B771" s="823" t="s">
        <v>329</v>
      </c>
      <c r="C771" s="831"/>
      <c r="D771" s="1053" t="s">
        <v>1576</v>
      </c>
      <c r="E771" s="1053"/>
      <c r="F771" s="1053"/>
      <c r="G771" s="815"/>
    </row>
    <row r="772" spans="1:7" ht="14.25">
      <c r="A772" s="822"/>
      <c r="B772" s="815"/>
      <c r="C772" s="831"/>
      <c r="D772" s="1053" t="s">
        <v>1577</v>
      </c>
      <c r="E772" s="1053"/>
      <c r="F772" s="1053"/>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484</v>
      </c>
      <c r="B780" s="982"/>
      <c r="C780" s="982"/>
      <c r="D780" s="982"/>
      <c r="E780" s="982"/>
      <c r="F780" s="982"/>
      <c r="G780" s="982"/>
    </row>
    <row r="781" spans="1:7">
      <c r="A781" s="818"/>
      <c r="B781" s="818"/>
      <c r="C781" s="854"/>
      <c r="D781" s="874"/>
      <c r="E781" s="874"/>
      <c r="F781" s="874"/>
      <c r="G781" s="874"/>
    </row>
    <row r="782" spans="1:7">
      <c r="A782" s="825"/>
      <c r="B782" s="1064" t="s">
        <v>1102</v>
      </c>
      <c r="C782" s="1064"/>
      <c r="D782" s="1064"/>
      <c r="E782" s="1064"/>
      <c r="F782" s="1064"/>
      <c r="G782" s="874"/>
    </row>
    <row r="783" spans="1:7">
      <c r="A783" s="841"/>
      <c r="B783" s="841"/>
      <c r="G783" s="874"/>
    </row>
    <row r="784" spans="1:7">
      <c r="A784" s="982" t="s">
        <v>485</v>
      </c>
      <c r="B784" s="982"/>
      <c r="C784" s="982"/>
      <c r="D784" s="982"/>
      <c r="E784" s="982"/>
      <c r="F784" s="982"/>
      <c r="G784" s="982"/>
    </row>
    <row r="785" spans="1:7">
      <c r="A785" s="818"/>
      <c r="B785" s="818"/>
      <c r="C785" s="818"/>
      <c r="D785" s="847"/>
      <c r="G785" s="874"/>
    </row>
    <row r="786" spans="1:7">
      <c r="A786" s="825"/>
      <c r="B786" s="1077" t="s">
        <v>483</v>
      </c>
      <c r="C786" s="1077"/>
      <c r="D786" s="1077"/>
      <c r="E786" s="1077"/>
      <c r="F786" s="1077"/>
      <c r="G786" s="874"/>
    </row>
    <row r="787" spans="1:7" ht="14.25">
      <c r="A787" s="822"/>
      <c r="B787" s="822"/>
      <c r="D787" s="825"/>
      <c r="E787" s="825"/>
      <c r="F787" s="874"/>
      <c r="G787" s="874"/>
    </row>
    <row r="788" spans="1:7">
      <c r="A788" s="982" t="s">
        <v>486</v>
      </c>
      <c r="B788" s="982"/>
      <c r="C788" s="982"/>
      <c r="D788" s="982"/>
      <c r="E788" s="982"/>
      <c r="F788" s="982"/>
      <c r="G788" s="982"/>
    </row>
    <row r="789" spans="1:7">
      <c r="C789" s="820"/>
      <c r="D789" s="848"/>
      <c r="E789" s="825"/>
      <c r="F789" s="874"/>
      <c r="G789" s="874"/>
    </row>
    <row r="790" spans="1:7">
      <c r="A790" s="825"/>
      <c r="B790" s="1077" t="s">
        <v>483</v>
      </c>
      <c r="C790" s="1077"/>
      <c r="D790" s="1077"/>
      <c r="E790" s="1077"/>
      <c r="F790" s="1077"/>
      <c r="G790" s="874"/>
    </row>
    <row r="791" spans="1:7">
      <c r="A791" s="825"/>
      <c r="B791" s="825"/>
      <c r="C791" s="854"/>
      <c r="D791" s="874"/>
      <c r="E791" s="874"/>
      <c r="F791" s="874"/>
      <c r="G791" s="874"/>
    </row>
    <row r="792" spans="1:7">
      <c r="A792" s="982" t="s">
        <v>487</v>
      </c>
      <c r="B792" s="982"/>
      <c r="C792" s="982"/>
      <c r="D792" s="982"/>
      <c r="E792" s="982"/>
      <c r="F792" s="982"/>
      <c r="G792" s="982"/>
    </row>
    <row r="793" spans="1:7">
      <c r="A793" s="825"/>
      <c r="B793" s="825"/>
    </row>
    <row r="794" spans="1:7">
      <c r="A794" s="825"/>
      <c r="B794" s="1077" t="s">
        <v>483</v>
      </c>
      <c r="C794" s="1077"/>
      <c r="D794" s="1077"/>
      <c r="E794" s="1077"/>
      <c r="F794" s="1077"/>
    </row>
    <row r="795" spans="1:7">
      <c r="A795" s="854"/>
      <c r="B795" s="854"/>
      <c r="C795" s="854"/>
      <c r="D795" s="817"/>
      <c r="F795" s="874"/>
    </row>
    <row r="796" spans="1:7">
      <c r="A796" s="982" t="s">
        <v>488</v>
      </c>
      <c r="B796" s="982"/>
      <c r="C796" s="982"/>
      <c r="D796" s="982"/>
      <c r="E796" s="982"/>
      <c r="F796" s="982"/>
      <c r="G796" s="982"/>
    </row>
    <row r="797" spans="1:7">
      <c r="A797" s="825"/>
      <c r="B797" s="825"/>
    </row>
    <row r="798" spans="1:7">
      <c r="A798" s="825"/>
      <c r="B798" s="1077" t="s">
        <v>483</v>
      </c>
      <c r="C798" s="1077"/>
      <c r="D798" s="1077"/>
      <c r="E798" s="1077"/>
      <c r="F798" s="1077"/>
    </row>
    <row r="799" spans="1:7">
      <c r="A799" s="854"/>
      <c r="B799" s="854"/>
      <c r="C799" s="854"/>
      <c r="D799" s="817"/>
      <c r="F799" s="874"/>
    </row>
    <row r="800" spans="1:7">
      <c r="A800" s="982" t="s">
        <v>489</v>
      </c>
      <c r="B800" s="982"/>
      <c r="C800" s="982"/>
      <c r="D800" s="982"/>
      <c r="E800" s="982"/>
      <c r="F800" s="982"/>
      <c r="G800" s="982"/>
    </row>
    <row r="801" spans="1:7">
      <c r="A801" s="825"/>
      <c r="B801" s="825"/>
    </row>
    <row r="802" spans="1:7">
      <c r="A802" s="825"/>
      <c r="B802" s="1077" t="s">
        <v>483</v>
      </c>
      <c r="C802" s="1077"/>
      <c r="D802" s="1077"/>
      <c r="E802" s="1077"/>
      <c r="F802" s="1077"/>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77" t="s">
        <v>483</v>
      </c>
      <c r="C806" s="1077"/>
      <c r="D806" s="1077"/>
      <c r="E806" s="1077"/>
      <c r="F806" s="1077"/>
    </row>
    <row r="807" spans="1:7">
      <c r="A807" s="825"/>
      <c r="B807" s="825"/>
      <c r="D807" s="817"/>
    </row>
    <row r="808" spans="1:7">
      <c r="A808" s="982" t="s">
        <v>967</v>
      </c>
      <c r="B808" s="982"/>
      <c r="C808" s="982"/>
      <c r="D808" s="982"/>
      <c r="E808" s="982"/>
      <c r="F808" s="982"/>
      <c r="G808" s="982"/>
    </row>
    <row r="809" spans="1:7">
      <c r="A809" s="825"/>
      <c r="B809" s="825"/>
    </row>
    <row r="810" spans="1:7">
      <c r="A810" s="825"/>
      <c r="B810" s="1077" t="s">
        <v>483</v>
      </c>
      <c r="C810" s="1077"/>
      <c r="D810" s="1077"/>
      <c r="E810" s="1077"/>
      <c r="F810" s="107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9"/>
      <c r="H1747" s="999"/>
      <c r="I1747" s="999"/>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610" zoomScale="110" zoomScaleNormal="110" zoomScaleSheetLayoutView="100" workbookViewId="0">
      <selection activeCell="H324" sqref="H324:R324"/>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9" t="s">
        <v>107</v>
      </c>
      <c r="B8" s="1089"/>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1089"/>
      <c r="AC8" s="1089"/>
      <c r="AD8" s="1089"/>
      <c r="AE8" s="1089"/>
      <c r="AF8" s="1089"/>
      <c r="AG8" s="1089"/>
      <c r="AH8" s="1089"/>
      <c r="AI8" s="1089"/>
      <c r="AJ8" s="1089"/>
      <c r="AK8" s="1089"/>
      <c r="AL8" s="1089"/>
    </row>
    <row r="9" spans="1:38" ht="15" customHeight="1">
      <c r="A9" s="1487" t="s">
        <v>1569</v>
      </c>
      <c r="B9" s="1487"/>
      <c r="C9" s="1487"/>
      <c r="D9" s="1487"/>
      <c r="E9" s="1487"/>
      <c r="F9" s="1487"/>
      <c r="G9" s="1487"/>
      <c r="H9" s="1487"/>
      <c r="I9" s="1487"/>
      <c r="J9" s="1487"/>
      <c r="K9" s="1487"/>
      <c r="L9" s="1487"/>
      <c r="M9" s="1487"/>
      <c r="N9" s="1487"/>
      <c r="O9" s="1487"/>
      <c r="P9" s="1487"/>
      <c r="Q9" s="1487"/>
      <c r="R9" s="1487"/>
      <c r="S9" s="1487"/>
      <c r="T9" s="1487"/>
      <c r="U9" s="1487"/>
      <c r="V9" s="1487"/>
      <c r="W9" s="1487"/>
      <c r="X9" s="1487"/>
      <c r="Y9" s="1487"/>
      <c r="Z9" s="1487"/>
      <c r="AA9" s="1487"/>
      <c r="AB9" s="1487"/>
      <c r="AC9" s="1487"/>
      <c r="AD9" s="1487"/>
      <c r="AE9" s="1487"/>
      <c r="AF9" s="1487"/>
      <c r="AG9" s="1487"/>
      <c r="AH9" s="1487"/>
      <c r="AI9" s="1487"/>
      <c r="AJ9" s="1487"/>
      <c r="AK9" s="1487"/>
      <c r="AL9" s="1487"/>
    </row>
    <row r="10" spans="1:38" ht="15" customHeight="1">
      <c r="A10" s="1088" t="s">
        <v>1570</v>
      </c>
      <c r="B10" s="1088"/>
      <c r="C10" s="1088"/>
      <c r="D10" s="1088"/>
      <c r="E10" s="1088"/>
      <c r="F10" s="1088"/>
      <c r="G10" s="1088"/>
      <c r="H10" s="1088"/>
      <c r="I10" s="1088"/>
      <c r="J10" s="1088"/>
      <c r="K10" s="1088"/>
      <c r="L10" s="1088"/>
      <c r="M10" s="1088"/>
      <c r="N10" s="1088"/>
      <c r="O10" s="1088"/>
      <c r="P10" s="1088"/>
      <c r="Q10" s="1088"/>
      <c r="R10" s="1088"/>
      <c r="S10" s="1088"/>
      <c r="T10" s="1088"/>
      <c r="U10" s="1088"/>
      <c r="V10" s="1088"/>
      <c r="W10" s="1088"/>
      <c r="X10" s="1088"/>
      <c r="Y10" s="1088"/>
      <c r="Z10" s="1088"/>
      <c r="AA10" s="1088"/>
      <c r="AB10" s="1088"/>
      <c r="AC10" s="1088"/>
      <c r="AD10" s="1088"/>
      <c r="AE10" s="1088"/>
      <c r="AF10" s="1088"/>
      <c r="AG10" s="1088"/>
      <c r="AH10" s="1088"/>
      <c r="AI10" s="1088"/>
      <c r="AJ10" s="1088"/>
      <c r="AK10" s="1088"/>
      <c r="AL10" s="1088"/>
    </row>
    <row r="11" spans="1:38" ht="15" customHeight="1">
      <c r="A11" s="1088" t="s">
        <v>1568</v>
      </c>
      <c r="B11" s="1088"/>
      <c r="C11" s="1088"/>
      <c r="D11" s="1088"/>
      <c r="E11" s="1088"/>
      <c r="F11" s="1088"/>
      <c r="G11" s="1088"/>
      <c r="H11" s="1088"/>
      <c r="I11" s="1088"/>
      <c r="J11" s="1088"/>
      <c r="K11" s="1088"/>
      <c r="L11" s="1088"/>
      <c r="M11" s="1088"/>
      <c r="N11" s="1088"/>
      <c r="O11" s="1088"/>
      <c r="P11" s="1088"/>
      <c r="Q11" s="1088"/>
      <c r="R11" s="1088"/>
      <c r="S11" s="1088"/>
      <c r="T11" s="1088"/>
      <c r="U11" s="1088"/>
      <c r="V11" s="1088"/>
      <c r="W11" s="1088"/>
      <c r="X11" s="1088"/>
      <c r="Y11" s="1088"/>
      <c r="Z11" s="1088"/>
      <c r="AA11" s="1088"/>
      <c r="AB11" s="1088"/>
      <c r="AC11" s="1088"/>
      <c r="AD11" s="1088"/>
      <c r="AE11" s="1088"/>
      <c r="AF11" s="1088"/>
      <c r="AG11" s="1088"/>
      <c r="AH11" s="1088"/>
      <c r="AI11" s="1088"/>
      <c r="AJ11" s="1088"/>
      <c r="AK11" s="1088"/>
      <c r="AL11" s="1088"/>
    </row>
    <row r="12" spans="1:38" ht="12.75">
      <c r="A12" s="1510" t="s">
        <v>1643</v>
      </c>
      <c r="B12" s="1511"/>
      <c r="C12" s="1511"/>
      <c r="D12" s="1511"/>
      <c r="E12" s="1511"/>
      <c r="F12" s="1511"/>
      <c r="G12" s="1511"/>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11"/>
      <c r="AG12" s="1511"/>
      <c r="AH12" s="1511"/>
      <c r="AI12" s="1511"/>
      <c r="AJ12" s="1511"/>
      <c r="AK12" s="1511"/>
      <c r="AL12" s="1511"/>
    </row>
    <row r="13" spans="1:38" ht="12.75">
      <c r="A13" s="958" t="s">
        <v>1428</v>
      </c>
      <c r="B13" s="958"/>
      <c r="C13" s="958"/>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958"/>
    </row>
    <row r="14" spans="1:38" ht="12.75" customHeight="1" thickBot="1">
      <c r="A14" s="959"/>
      <c r="B14" s="959"/>
      <c r="C14" s="959"/>
      <c r="D14" s="959"/>
      <c r="E14" s="959"/>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95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492" t="s">
        <v>1651</v>
      </c>
      <c r="I16" s="1256"/>
      <c r="J16" s="1256"/>
      <c r="K16" s="1256"/>
      <c r="L16" s="1256"/>
      <c r="M16" s="1256"/>
      <c r="N16" s="1256"/>
      <c r="O16" s="1256"/>
      <c r="P16" s="1256"/>
      <c r="Q16" s="1256"/>
      <c r="R16" s="1256"/>
      <c r="S16" s="1256"/>
      <c r="T16" s="1256"/>
      <c r="U16" s="1256"/>
      <c r="V16" s="1256"/>
      <c r="W16" s="1256"/>
      <c r="X16" s="1256"/>
      <c r="Y16" s="1256"/>
      <c r="Z16" s="1256"/>
      <c r="AA16" s="1256"/>
      <c r="AB16" s="1256"/>
      <c r="AC16" s="1256"/>
      <c r="AD16" s="1256"/>
      <c r="AE16" s="1256"/>
      <c r="AF16" s="1256"/>
      <c r="AG16" s="1256"/>
      <c r="AH16" s="1256"/>
      <c r="AI16" s="1256"/>
      <c r="AJ16" s="1256"/>
    </row>
    <row r="17" spans="1:39" ht="12.75" customHeight="1"/>
    <row r="18" spans="1:39" ht="12.75" customHeight="1">
      <c r="A18" s="137" t="s">
        <v>108</v>
      </c>
      <c r="C18" s="7"/>
      <c r="D18" s="7"/>
      <c r="E18" s="7"/>
      <c r="F18" s="7"/>
      <c r="G18" s="7"/>
      <c r="H18" s="1096" t="s">
        <v>1648</v>
      </c>
      <c r="I18" s="1221"/>
      <c r="J18" s="1221"/>
      <c r="K18" s="1221"/>
      <c r="L18" s="1221"/>
      <c r="M18" s="1221"/>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row>
    <row r="19" spans="1:39" ht="12.75" customHeight="1"/>
    <row r="20" spans="1:39" ht="14.25" customHeight="1">
      <c r="A20" s="1489" t="s">
        <v>965</v>
      </c>
      <c r="B20" s="1489"/>
      <c r="C20" s="1489"/>
      <c r="D20" s="1489"/>
      <c r="E20" s="1489"/>
      <c r="F20" s="1489"/>
      <c r="G20" s="1489"/>
      <c r="H20" s="1489"/>
      <c r="I20" s="1489"/>
      <c r="J20" s="1489"/>
      <c r="K20" s="1489"/>
      <c r="L20" s="1489"/>
      <c r="M20" s="1489"/>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c r="AL20" s="1489"/>
    </row>
    <row r="21" spans="1:39" ht="12.75" customHeight="1">
      <c r="A21" s="1513" t="s">
        <v>1154</v>
      </c>
      <c r="B21" s="1513"/>
      <c r="C21" s="1513"/>
      <c r="D21" s="1513"/>
      <c r="E21" s="1513"/>
      <c r="F21" s="1513"/>
      <c r="G21" s="1513"/>
      <c r="H21" s="1513"/>
      <c r="I21" s="1513"/>
      <c r="J21" s="1513"/>
      <c r="K21" s="1513"/>
      <c r="L21" s="1513"/>
      <c r="M21" s="1513"/>
      <c r="N21" s="1513"/>
      <c r="O21" s="1513"/>
      <c r="P21" s="1513"/>
      <c r="Q21" s="1513"/>
      <c r="R21" s="1513"/>
      <c r="S21" s="1513"/>
      <c r="T21" s="1513"/>
      <c r="U21" s="1513"/>
      <c r="V21" s="1513"/>
      <c r="W21" s="1513"/>
      <c r="X21" s="1513"/>
      <c r="Y21" s="1513"/>
      <c r="Z21" s="1513"/>
      <c r="AA21" s="1513"/>
      <c r="AB21" s="1513"/>
      <c r="AC21" s="1513"/>
      <c r="AD21" s="1513"/>
      <c r="AE21" s="1513"/>
      <c r="AF21" s="1513"/>
      <c r="AG21" s="1513"/>
      <c r="AH21" s="1513"/>
      <c r="AI21" s="1513"/>
      <c r="AJ21" s="1513"/>
      <c r="AK21" s="1513"/>
      <c r="AL21" s="1513"/>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2">
        <f>'Basis &amp; Credits'!AB56</f>
        <v>1037388.5</v>
      </c>
      <c r="N26" s="1512"/>
      <c r="O26" s="1512"/>
      <c r="P26" s="1512"/>
      <c r="Q26" s="1512"/>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6">
        <f>'Basis &amp; Credits'!AB77</f>
        <v>0</v>
      </c>
      <c r="N27" s="1116"/>
      <c r="O27" s="1116"/>
      <c r="P27" s="1116"/>
      <c r="Q27" s="1116"/>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099"/>
      <c r="P33" s="1099"/>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1"/>
      <c r="H122" s="1491"/>
      <c r="I122" s="247" t="s">
        <v>195</v>
      </c>
      <c r="L122" s="1491"/>
      <c r="M122" s="1491"/>
      <c r="N122" s="1491"/>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9"/>
      <c r="D124" s="1509"/>
      <c r="E124" s="1509"/>
      <c r="F124" s="1509"/>
      <c r="G124" s="1509"/>
      <c r="H124" s="1509"/>
      <c r="I124" s="1509"/>
      <c r="J124" s="1509"/>
      <c r="K124" s="1509"/>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91"/>
      <c r="Z126" s="1491"/>
      <c r="AA126" s="1491"/>
      <c r="AB126" s="1491"/>
      <c r="AC126" s="1491"/>
      <c r="AD126" s="1491"/>
      <c r="AE126" s="1491"/>
      <c r="AF126" s="1491"/>
      <c r="AG126" s="1491"/>
      <c r="AH126" s="1491"/>
      <c r="AI126" s="1491"/>
      <c r="AJ126" s="1491"/>
      <c r="AK126" s="1491"/>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7"/>
      <c r="Z129" s="1497"/>
      <c r="AA129" s="1497"/>
      <c r="AB129" s="1497"/>
      <c r="AC129" s="1497"/>
      <c r="AD129" s="1497"/>
      <c r="AE129" s="1497"/>
      <c r="AF129" s="1497"/>
      <c r="AG129" s="1497"/>
      <c r="AH129" s="1497"/>
      <c r="AI129" s="1497"/>
      <c r="AJ129" s="1497"/>
      <c r="AK129" s="1497"/>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7"/>
      <c r="Z132" s="1497"/>
      <c r="AA132" s="1497"/>
      <c r="AB132" s="1497"/>
      <c r="AC132" s="1497"/>
      <c r="AD132" s="1497"/>
      <c r="AE132" s="1497"/>
      <c r="AF132" s="1497"/>
      <c r="AG132" s="1497"/>
      <c r="AH132" s="1497"/>
      <c r="AI132" s="1497"/>
      <c r="AJ132" s="1497"/>
      <c r="AK132" s="1497"/>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5"/>
      <c r="G150" s="1505"/>
      <c r="H150" s="1505"/>
      <c r="I150" s="1505"/>
      <c r="J150" s="1505"/>
      <c r="K150" s="1505"/>
      <c r="L150" s="1505"/>
      <c r="M150" s="1505"/>
      <c r="N150" s="1505"/>
      <c r="O150" s="1505"/>
      <c r="P150" s="1505"/>
      <c r="Q150" s="1505"/>
      <c r="R150" s="1505"/>
      <c r="S150" s="1505"/>
      <c r="T150" s="1505"/>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6" t="s">
        <v>1649</v>
      </c>
      <c r="P153" s="1221"/>
      <c r="Q153" s="1221"/>
      <c r="R153" s="1221"/>
      <c r="S153" s="1221"/>
      <c r="T153" s="1221"/>
      <c r="U153" s="1221"/>
      <c r="V153" s="1221"/>
      <c r="W153" s="1221"/>
      <c r="X153" s="1221"/>
      <c r="Y153" s="1221"/>
      <c r="Z153" s="1221"/>
      <c r="AA153" s="1221"/>
      <c r="AB153" s="1221"/>
      <c r="AC153" s="1221"/>
      <c r="AD153" s="1221"/>
      <c r="AE153" s="1221"/>
      <c r="AF153" s="1221"/>
      <c r="AG153" s="1221"/>
      <c r="AH153" s="1221"/>
    </row>
    <row r="154" spans="1:59" ht="12.75" customHeight="1">
      <c r="D154" s="483" t="s">
        <v>476</v>
      </c>
      <c r="F154" s="32"/>
      <c r="G154" s="32"/>
      <c r="H154" s="32"/>
      <c r="I154" s="32"/>
      <c r="J154" s="32"/>
      <c r="K154" s="32"/>
      <c r="L154" s="32"/>
      <c r="M154" s="32"/>
      <c r="N154" s="32"/>
      <c r="O154" s="1125" t="s">
        <v>1778</v>
      </c>
      <c r="P154" s="1102"/>
      <c r="Q154" s="1102"/>
      <c r="R154" s="1102"/>
      <c r="S154" s="1102"/>
      <c r="T154" s="1102"/>
      <c r="U154" s="1102"/>
      <c r="V154" s="1102"/>
      <c r="W154" s="1102"/>
      <c r="X154" s="1102"/>
      <c r="Y154" s="1102"/>
      <c r="Z154" s="1102"/>
      <c r="AA154" s="1102"/>
      <c r="AB154" s="1102"/>
      <c r="AC154" s="1102"/>
      <c r="AD154" s="1102"/>
      <c r="AE154" s="1102"/>
      <c r="AF154" s="1102"/>
      <c r="AG154" s="1102"/>
      <c r="AH154" s="1102"/>
      <c r="AM154" s="25"/>
    </row>
    <row r="155" spans="1:59" ht="12.75">
      <c r="D155" s="13" t="s">
        <v>477</v>
      </c>
      <c r="F155" s="13"/>
      <c r="G155" s="13"/>
      <c r="H155" s="13"/>
      <c r="I155" s="13"/>
      <c r="J155" s="13"/>
      <c r="K155" s="13"/>
      <c r="L155" s="13"/>
      <c r="M155" s="13"/>
      <c r="N155" s="13"/>
      <c r="O155" s="1500" t="s">
        <v>1777</v>
      </c>
      <c r="P155" s="1501"/>
      <c r="Q155" s="1501"/>
      <c r="R155" s="1501"/>
      <c r="S155" s="1501"/>
      <c r="T155" s="1501"/>
      <c r="U155" s="1501"/>
      <c r="V155" s="1501"/>
      <c r="W155" s="1501"/>
      <c r="X155" s="1501"/>
      <c r="Y155" s="1501"/>
      <c r="Z155" s="1501"/>
      <c r="AA155" s="1501"/>
      <c r="AB155" s="1501"/>
      <c r="AC155" s="1501"/>
      <c r="AD155" s="1501"/>
      <c r="AE155" s="1501"/>
      <c r="AF155" s="1501"/>
      <c r="AG155" s="1501"/>
      <c r="AH155" s="1501"/>
      <c r="AM155" s="25"/>
    </row>
    <row r="156" spans="1:59" ht="12.75">
      <c r="D156" s="32" t="s">
        <v>335</v>
      </c>
      <c r="F156" s="32"/>
      <c r="G156" s="32"/>
      <c r="H156" s="32"/>
      <c r="I156" s="32"/>
      <c r="J156" s="32"/>
      <c r="K156" s="32"/>
      <c r="L156" s="32"/>
      <c r="M156" s="32"/>
      <c r="N156" s="32"/>
      <c r="O156" s="1096" t="s">
        <v>1652</v>
      </c>
      <c r="P156" s="1098"/>
      <c r="Q156" s="1098"/>
      <c r="R156" s="1098"/>
      <c r="S156" s="1098"/>
      <c r="T156" s="1098"/>
      <c r="U156" s="1098"/>
      <c r="V156" s="1098"/>
      <c r="W156" s="1098"/>
      <c r="X156" s="1098"/>
      <c r="Y156" s="1098"/>
      <c r="Z156" s="1098"/>
      <c r="AA156" s="1098"/>
      <c r="AB156" s="1098"/>
      <c r="AC156" s="1098"/>
      <c r="AD156" s="1098"/>
      <c r="AE156" s="1098"/>
      <c r="AF156" s="1098"/>
      <c r="AG156" s="1098"/>
      <c r="AH156" s="1098"/>
      <c r="BG156" s="12" t="s">
        <v>329</v>
      </c>
    </row>
    <row r="157" spans="1:59" ht="12.75">
      <c r="D157" s="32" t="s">
        <v>336</v>
      </c>
      <c r="F157" s="32"/>
      <c r="G157" s="32"/>
      <c r="H157" s="32"/>
      <c r="I157" s="32"/>
      <c r="J157" s="32"/>
      <c r="K157" s="32"/>
      <c r="L157" s="32"/>
      <c r="M157" s="32"/>
      <c r="N157" s="32"/>
      <c r="O157" s="1096" t="s">
        <v>1646</v>
      </c>
      <c r="P157" s="1221"/>
      <c r="Q157" s="1221"/>
      <c r="R157" s="1221"/>
      <c r="S157" s="1221"/>
      <c r="T157" s="1221"/>
      <c r="U157" s="1221"/>
      <c r="V157" s="1221"/>
      <c r="W157" s="1221"/>
      <c r="X157" s="1221"/>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315">
        <v>90017</v>
      </c>
      <c r="P158" s="1315"/>
      <c r="Q158" s="1315"/>
      <c r="R158" s="1315"/>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120" t="s">
        <v>1653</v>
      </c>
      <c r="P159" s="1314"/>
      <c r="Q159" s="1314"/>
      <c r="R159" s="1314"/>
      <c r="S159" s="1314"/>
      <c r="T159" s="1314"/>
      <c r="V159" s="149" t="s">
        <v>287</v>
      </c>
      <c r="W159" s="1316"/>
      <c r="X159" s="1316"/>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120" t="s">
        <v>1654</v>
      </c>
      <c r="P160" s="1314"/>
      <c r="Q160" s="1314"/>
      <c r="R160" s="1314"/>
      <c r="S160" s="1314"/>
      <c r="T160" s="1314"/>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495" t="s">
        <v>1655</v>
      </c>
      <c r="P161" s="1495"/>
      <c r="Q161" s="1495"/>
      <c r="R161" s="1495"/>
      <c r="S161" s="1495"/>
      <c r="T161" s="1495"/>
      <c r="U161" s="1495"/>
      <c r="V161" s="1495"/>
      <c r="W161" s="1495"/>
      <c r="X161" s="1495"/>
      <c r="Y161" s="1495"/>
      <c r="Z161" s="1495"/>
      <c r="AA161" s="1495"/>
      <c r="AB161" s="1495"/>
      <c r="AC161" s="1495"/>
      <c r="AD161" s="1495"/>
      <c r="AE161" s="1495"/>
      <c r="AF161" s="1495"/>
      <c r="AG161" s="1495"/>
      <c r="AH161" s="1495"/>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496" t="s">
        <v>1510</v>
      </c>
      <c r="E164" s="1496"/>
      <c r="F164" s="1496"/>
      <c r="G164" s="1496"/>
      <c r="H164" s="1496"/>
      <c r="I164" s="1496"/>
      <c r="J164" s="1496"/>
      <c r="K164" s="1496"/>
      <c r="L164" s="1496"/>
      <c r="M164" s="1496"/>
      <c r="N164" s="1496"/>
      <c r="O164" s="1496"/>
      <c r="P164" s="1496"/>
      <c r="Q164" s="1496"/>
      <c r="R164" s="1496"/>
      <c r="S164" s="1496"/>
      <c r="T164" s="1496"/>
      <c r="U164" s="1496"/>
      <c r="V164" s="1496"/>
      <c r="W164" s="1496"/>
      <c r="X164" s="1496"/>
      <c r="Y164" s="1496"/>
      <c r="Z164" s="1496"/>
      <c r="AA164" s="1496"/>
      <c r="AB164" s="1496"/>
      <c r="AC164" s="1496"/>
      <c r="AD164" s="1496"/>
      <c r="AE164" s="1496"/>
      <c r="AF164" s="1496"/>
      <c r="AG164" s="1496"/>
      <c r="AH164" s="1496"/>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61" t="s">
        <v>585</v>
      </c>
      <c r="B169" s="1261"/>
      <c r="C169" s="1261"/>
      <c r="D169" s="1261"/>
      <c r="E169" s="1261"/>
      <c r="F169" s="1261"/>
      <c r="G169" s="1261"/>
      <c r="H169" s="1261"/>
      <c r="I169" s="1261"/>
      <c r="J169" s="1261"/>
      <c r="K169" s="1261"/>
      <c r="L169" s="1261"/>
      <c r="M169" s="1261"/>
      <c r="N169" s="1261"/>
      <c r="O169" s="1261"/>
      <c r="P169" s="1261"/>
      <c r="Q169" s="1261"/>
      <c r="R169" s="1261"/>
      <c r="S169" s="1261"/>
      <c r="T169" s="1261"/>
      <c r="U169" s="1261"/>
      <c r="V169" s="1261"/>
      <c r="W169" s="1261"/>
      <c r="X169" s="1261"/>
      <c r="Y169" s="1261"/>
      <c r="Z169" s="1261"/>
      <c r="AA169" s="1261"/>
      <c r="AB169" s="1261"/>
      <c r="AC169" s="1261"/>
      <c r="AD169" s="1261"/>
      <c r="AE169" s="1261"/>
      <c r="AF169" s="1261"/>
      <c r="AG169" s="1261"/>
      <c r="AH169" s="1261"/>
      <c r="AI169" s="1261"/>
      <c r="AJ169" s="1261"/>
      <c r="AK169" s="1261"/>
      <c r="AL169" s="1261"/>
      <c r="BA169" s="36" t="s">
        <v>726</v>
      </c>
      <c r="BG169" s="12" t="s">
        <v>534</v>
      </c>
    </row>
    <row r="170" spans="1:59" ht="13.5" thickBot="1">
      <c r="A170" s="1262"/>
      <c r="B170" s="1262"/>
      <c r="C170" s="1262"/>
      <c r="D170" s="1262"/>
      <c r="E170" s="1262"/>
      <c r="F170" s="1262"/>
      <c r="G170" s="1262"/>
      <c r="H170" s="1262"/>
      <c r="I170" s="1262"/>
      <c r="J170" s="1262"/>
      <c r="K170" s="1262"/>
      <c r="L170" s="1262"/>
      <c r="M170" s="1262"/>
      <c r="N170" s="1262"/>
      <c r="O170" s="1262"/>
      <c r="P170" s="1262"/>
      <c r="Q170" s="1262"/>
      <c r="R170" s="1262"/>
      <c r="S170" s="1262"/>
      <c r="T170" s="1262"/>
      <c r="U170" s="1262"/>
      <c r="V170" s="1262"/>
      <c r="W170" s="1262"/>
      <c r="X170" s="1262"/>
      <c r="Y170" s="1262"/>
      <c r="Z170" s="1262"/>
      <c r="AA170" s="1262"/>
      <c r="AB170" s="1262"/>
      <c r="AC170" s="1262"/>
      <c r="AD170" s="1262"/>
      <c r="AE170" s="1262"/>
      <c r="AF170" s="1262"/>
      <c r="AG170" s="1262"/>
      <c r="AH170" s="1262"/>
      <c r="AI170" s="1262"/>
      <c r="AJ170" s="1262"/>
      <c r="AK170" s="1262"/>
      <c r="AL170" s="1262"/>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494" t="s">
        <v>403</v>
      </c>
      <c r="K173" s="1494"/>
      <c r="L173" s="1494"/>
      <c r="M173" s="1494"/>
      <c r="N173" s="1494"/>
      <c r="O173" s="1494"/>
      <c r="P173" s="1494"/>
      <c r="Q173" s="1494"/>
      <c r="R173" s="1494"/>
      <c r="S173" s="1494"/>
      <c r="U173" s="40"/>
      <c r="X173" s="40"/>
      <c r="AF173" s="25"/>
      <c r="AH173" s="25"/>
      <c r="AJ173" s="3"/>
      <c r="AK173" s="3"/>
      <c r="AL173" s="3"/>
      <c r="BA173" s="36" t="s">
        <v>229</v>
      </c>
      <c r="BG173" s="12" t="s">
        <v>538</v>
      </c>
    </row>
    <row r="174" spans="1:59" ht="12.75">
      <c r="A174" s="25"/>
      <c r="C174" s="38"/>
      <c r="D174" s="58" t="s">
        <v>1458</v>
      </c>
      <c r="E174" s="25"/>
      <c r="F174" s="25"/>
      <c r="G174" s="25"/>
      <c r="H174" s="25"/>
      <c r="I174" s="25"/>
      <c r="J174" s="1098" t="s">
        <v>1650</v>
      </c>
      <c r="K174" s="1098"/>
      <c r="L174" s="1098"/>
      <c r="M174" s="1098"/>
      <c r="N174" s="1098"/>
      <c r="O174" s="1098"/>
      <c r="P174" s="1098"/>
      <c r="Q174" s="1098"/>
      <c r="R174" s="1098"/>
      <c r="S174" s="1098"/>
      <c r="T174" s="1098"/>
      <c r="U174" s="1098"/>
      <c r="V174" s="1098"/>
      <c r="W174" s="1098"/>
      <c r="X174" s="1098"/>
      <c r="Y174" s="1098"/>
      <c r="Z174" s="1098"/>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099" t="s">
        <v>722</v>
      </c>
      <c r="V175" s="1099"/>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0"/>
      <c r="V176" s="1490"/>
      <c r="W176" s="4" t="s">
        <v>328</v>
      </c>
      <c r="X176" s="1499"/>
      <c r="Y176" s="1499"/>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099" t="s">
        <v>722</v>
      </c>
      <c r="S177" s="1099"/>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7"/>
      <c r="AG178" s="1097"/>
      <c r="AH178" s="4" t="s">
        <v>328</v>
      </c>
      <c r="AI178" s="1117"/>
      <c r="AJ178" s="1117"/>
      <c r="AK178" s="1117"/>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099" t="s">
        <v>722</v>
      </c>
      <c r="Y180" s="1099"/>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00" t="str">
        <f>H18</f>
        <v>Asante</v>
      </c>
      <c r="J186" s="1100"/>
      <c r="K186" s="1100"/>
      <c r="L186" s="1100"/>
      <c r="M186" s="1100"/>
      <c r="N186" s="1100"/>
      <c r="O186" s="1100"/>
      <c r="P186" s="1100"/>
      <c r="Q186" s="1100"/>
      <c r="R186" s="1100"/>
      <c r="S186" s="1100"/>
      <c r="T186" s="1100"/>
      <c r="U186" s="1100"/>
      <c r="V186" s="1100"/>
      <c r="W186" s="1100"/>
      <c r="X186" s="1100"/>
      <c r="Y186" s="1100"/>
      <c r="Z186" s="1100"/>
      <c r="AA186" s="1100"/>
      <c r="AB186" s="1100"/>
      <c r="AC186" s="1100"/>
      <c r="AD186" s="1100"/>
      <c r="AE186" s="1100"/>
      <c r="AF186" s="25"/>
      <c r="AH186" s="25"/>
      <c r="AJ186" s="3"/>
      <c r="AK186" s="3"/>
      <c r="AL186" s="3"/>
      <c r="BA186" s="36" t="s">
        <v>247</v>
      </c>
      <c r="BG186" s="12" t="s">
        <v>69</v>
      </c>
    </row>
    <row r="187" spans="1:59" ht="12.75">
      <c r="A187" s="25"/>
      <c r="C187" s="45"/>
      <c r="D187" s="25" t="s">
        <v>629</v>
      </c>
      <c r="E187" s="25"/>
      <c r="F187" s="25"/>
      <c r="G187" s="25"/>
      <c r="H187" s="25"/>
      <c r="I187" s="1119" t="s">
        <v>1645</v>
      </c>
      <c r="J187" s="1119"/>
      <c r="K187" s="1119"/>
      <c r="L187" s="1119"/>
      <c r="M187" s="1119"/>
      <c r="N187" s="1119"/>
      <c r="O187" s="1119"/>
      <c r="P187" s="1119"/>
      <c r="Q187" s="1119"/>
      <c r="R187" s="1119"/>
      <c r="S187" s="1119"/>
      <c r="T187" s="1119"/>
      <c r="U187" s="1119"/>
      <c r="V187" s="1119"/>
      <c r="W187" s="1119"/>
      <c r="X187" s="1119"/>
      <c r="Y187" s="1119"/>
      <c r="Z187" s="1119"/>
      <c r="AA187" s="1119"/>
      <c r="AB187" s="1119"/>
      <c r="AC187" s="1119"/>
      <c r="AD187" s="1119"/>
      <c r="AE187" s="1119"/>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9"/>
      <c r="F189" s="1319"/>
      <c r="G189" s="1319"/>
      <c r="H189" s="1319"/>
      <c r="I189" s="1319"/>
      <c r="J189" s="1319"/>
      <c r="K189" s="1319"/>
      <c r="L189" s="1319"/>
      <c r="M189" s="1319"/>
      <c r="N189" s="1319"/>
      <c r="O189" s="1319"/>
      <c r="P189" s="1319"/>
      <c r="Q189" s="1319"/>
      <c r="R189" s="1319"/>
      <c r="S189" s="1319"/>
      <c r="T189" s="1319"/>
      <c r="U189" s="1319"/>
      <c r="V189" s="1319"/>
      <c r="W189" s="1319"/>
      <c r="X189" s="1319"/>
      <c r="Y189" s="1319"/>
      <c r="Z189" s="1319"/>
      <c r="AA189" s="1319"/>
      <c r="AB189" s="1319"/>
      <c r="AC189" s="1319"/>
      <c r="AD189" s="1319"/>
      <c r="AE189" s="1319"/>
      <c r="AF189" s="25"/>
      <c r="AH189" s="25"/>
      <c r="AJ189" s="3"/>
      <c r="AK189" s="3"/>
      <c r="AL189" s="3"/>
      <c r="AP189" s="12" t="s">
        <v>329</v>
      </c>
      <c r="BA189" s="36" t="s">
        <v>251</v>
      </c>
      <c r="BG189" s="12" t="s">
        <v>72</v>
      </c>
    </row>
    <row r="190" spans="1:59" ht="12.75">
      <c r="A190" s="25"/>
      <c r="C190" s="45"/>
      <c r="D190" s="25"/>
      <c r="E190" s="1320"/>
      <c r="F190" s="1320"/>
      <c r="G190" s="1320"/>
      <c r="H190" s="1320"/>
      <c r="I190" s="1320"/>
      <c r="J190" s="1320"/>
      <c r="K190" s="1320"/>
      <c r="L190" s="1320"/>
      <c r="M190" s="1320"/>
      <c r="N190" s="1320"/>
      <c r="O190" s="1320"/>
      <c r="P190" s="1320"/>
      <c r="Q190" s="1320"/>
      <c r="R190" s="1320"/>
      <c r="S190" s="1320"/>
      <c r="T190" s="1320"/>
      <c r="U190" s="1320"/>
      <c r="V190" s="1320"/>
      <c r="W190" s="1320"/>
      <c r="X190" s="1320"/>
      <c r="Y190" s="1320"/>
      <c r="Z190" s="1320"/>
      <c r="AA190" s="1320"/>
      <c r="AB190" s="1320"/>
      <c r="AC190" s="1320"/>
      <c r="AD190" s="1320"/>
      <c r="AE190" s="1320"/>
      <c r="AF190" s="25"/>
      <c r="AH190" s="25"/>
      <c r="AJ190" s="3"/>
      <c r="AK190" s="3"/>
      <c r="AL190" s="3"/>
      <c r="AP190" s="12" t="s">
        <v>1193</v>
      </c>
      <c r="BA190" s="36" t="s">
        <v>685</v>
      </c>
      <c r="BG190" s="12" t="s">
        <v>73</v>
      </c>
    </row>
    <row r="191" spans="1:59" ht="12.75">
      <c r="A191" s="25"/>
      <c r="C191" s="45"/>
      <c r="D191" s="25" t="s">
        <v>630</v>
      </c>
      <c r="E191" s="25"/>
      <c r="I191" s="1098" t="s">
        <v>1646</v>
      </c>
      <c r="J191" s="1098"/>
      <c r="K191" s="1098"/>
      <c r="L191" s="1098"/>
      <c r="M191" s="1098"/>
      <c r="N191" s="1098"/>
      <c r="O191" s="1098"/>
      <c r="P191" s="1098"/>
      <c r="Q191" s="25" t="s">
        <v>632</v>
      </c>
      <c r="T191" s="1098" t="s">
        <v>540</v>
      </c>
      <c r="U191" s="1098"/>
      <c r="V191" s="1098"/>
      <c r="W191" s="1098"/>
      <c r="X191" s="1098"/>
      <c r="Y191" s="1098"/>
      <c r="Z191" s="1098"/>
      <c r="AA191" s="1098"/>
      <c r="AB191" s="1098"/>
      <c r="AC191" s="1098"/>
      <c r="AD191" s="1098"/>
      <c r="AE191" s="1098"/>
      <c r="AH191" s="25"/>
      <c r="AJ191" s="3"/>
      <c r="AK191" s="3"/>
      <c r="AL191" s="3"/>
      <c r="AP191" s="12" t="s">
        <v>1194</v>
      </c>
      <c r="BA191" s="36" t="s">
        <v>742</v>
      </c>
      <c r="BG191" s="12" t="s">
        <v>788</v>
      </c>
    </row>
    <row r="192" spans="1:59" ht="12.75">
      <c r="A192" s="25"/>
      <c r="C192" s="46"/>
      <c r="D192" s="25" t="s">
        <v>633</v>
      </c>
      <c r="E192" s="25"/>
      <c r="F192" s="25"/>
      <c r="G192" s="25"/>
      <c r="I192" s="1119">
        <v>90061</v>
      </c>
      <c r="J192" s="1119"/>
      <c r="K192" s="1119"/>
      <c r="L192" s="1119"/>
      <c r="M192" s="1119"/>
      <c r="N192" s="1119"/>
      <c r="O192" s="25" t="s">
        <v>635</v>
      </c>
      <c r="P192" s="25"/>
      <c r="Q192" s="25"/>
      <c r="R192" s="25"/>
      <c r="S192" s="25"/>
      <c r="T192" s="1493">
        <v>2411.1999999999998</v>
      </c>
      <c r="U192" s="1493"/>
      <c r="V192" s="1493"/>
      <c r="W192" s="1493"/>
      <c r="X192" s="1493"/>
      <c r="Y192" s="1493"/>
      <c r="Z192" s="1493"/>
      <c r="AA192" s="1493"/>
      <c r="AB192" s="1493"/>
      <c r="AC192" s="1493"/>
      <c r="AD192" s="1493"/>
      <c r="AE192" s="1493"/>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319" t="s">
        <v>1647</v>
      </c>
      <c r="O193" s="1319"/>
      <c r="P193" s="1319"/>
      <c r="Q193" s="1319"/>
      <c r="R193" s="1319"/>
      <c r="S193" s="1319"/>
      <c r="T193" s="1319"/>
      <c r="U193" s="1319"/>
      <c r="V193" s="1319"/>
      <c r="W193" s="1319"/>
      <c r="X193" s="1319"/>
      <c r="Y193" s="1319"/>
      <c r="Z193" s="1319"/>
      <c r="AA193" s="1319"/>
      <c r="AB193" s="1319"/>
      <c r="AC193" s="1319"/>
      <c r="AD193" s="1319"/>
      <c r="AE193" s="1319"/>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320"/>
      <c r="O194" s="1320"/>
      <c r="P194" s="1320"/>
      <c r="Q194" s="1320"/>
      <c r="R194" s="1320"/>
      <c r="S194" s="1320"/>
      <c r="T194" s="1320"/>
      <c r="U194" s="1320"/>
      <c r="V194" s="1320"/>
      <c r="W194" s="1320"/>
      <c r="X194" s="1320"/>
      <c r="Y194" s="1320"/>
      <c r="Z194" s="1320"/>
      <c r="AA194" s="1320"/>
      <c r="AB194" s="1320"/>
      <c r="AC194" s="1320"/>
      <c r="AD194" s="1320"/>
      <c r="AE194" s="1320"/>
      <c r="AF194" s="25"/>
      <c r="AH194" s="25"/>
      <c r="AJ194" s="3"/>
      <c r="AK194" s="3"/>
      <c r="AL194" s="3"/>
      <c r="AP194" s="12" t="s">
        <v>1197</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099" t="s">
        <v>722</v>
      </c>
      <c r="U195" s="1099"/>
      <c r="W195" s="25" t="s">
        <v>738</v>
      </c>
      <c r="X195" s="25"/>
      <c r="Y195" s="25"/>
      <c r="Z195" s="25"/>
      <c r="AA195" s="25"/>
      <c r="AB195" s="25"/>
      <c r="AC195" s="25"/>
      <c r="AD195" s="25"/>
      <c r="AE195" s="25"/>
      <c r="AF195" s="25"/>
      <c r="AG195" s="25"/>
      <c r="AH195" s="1099">
        <v>43</v>
      </c>
      <c r="AI195" s="1099"/>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26" t="s">
        <v>591</v>
      </c>
      <c r="U196" s="1226"/>
      <c r="W196" s="25" t="s">
        <v>739</v>
      </c>
      <c r="X196" s="25"/>
      <c r="Y196" s="25"/>
      <c r="Z196" s="25"/>
      <c r="AA196" s="25"/>
      <c r="AB196" s="25"/>
      <c r="AC196" s="25"/>
      <c r="AD196" s="25"/>
      <c r="AE196" s="25"/>
      <c r="AF196" s="25"/>
      <c r="AG196" s="25"/>
      <c r="AH196" s="1099">
        <v>64</v>
      </c>
      <c r="AI196" s="1099"/>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6" t="s">
        <v>722</v>
      </c>
      <c r="U197" s="1226"/>
      <c r="V197" s="12"/>
      <c r="W197" s="25" t="s">
        <v>740</v>
      </c>
      <c r="X197" s="25"/>
      <c r="Y197" s="25"/>
      <c r="Z197" s="25"/>
      <c r="AA197" s="25"/>
      <c r="AB197" s="25"/>
      <c r="AC197" s="25"/>
      <c r="AD197" s="25"/>
      <c r="AE197" s="25"/>
      <c r="AF197" s="25"/>
      <c r="AG197" s="25"/>
      <c r="AH197" s="1099">
        <v>30</v>
      </c>
      <c r="AI197" s="1099"/>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6" t="s">
        <v>722</v>
      </c>
      <c r="Z198" s="1226"/>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209</v>
      </c>
      <c r="BH202" s="51"/>
    </row>
    <row r="203" spans="1:66" ht="12.75" customHeight="1">
      <c r="A203" s="25"/>
      <c r="C203" s="25"/>
      <c r="D203" s="1100" t="s">
        <v>417</v>
      </c>
      <c r="E203" s="1100"/>
      <c r="F203" s="1100"/>
      <c r="G203" s="1100"/>
      <c r="H203" s="1100"/>
      <c r="I203" s="1100"/>
      <c r="J203" s="1100"/>
      <c r="K203" s="1100"/>
      <c r="L203" s="1100"/>
      <c r="M203" s="1100"/>
      <c r="P203" s="1488">
        <f>M26</f>
        <v>1037388.5</v>
      </c>
      <c r="Q203" s="1317"/>
      <c r="R203" s="1317"/>
      <c r="S203" s="1317"/>
      <c r="T203" s="1317"/>
      <c r="U203" s="1317"/>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318" t="s">
        <v>1532</v>
      </c>
      <c r="E204" s="1100"/>
      <c r="F204" s="1100"/>
      <c r="G204" s="1100"/>
      <c r="H204" s="1100"/>
      <c r="I204" s="1100"/>
      <c r="J204" s="1100"/>
      <c r="K204" s="1100"/>
      <c r="L204" s="1100"/>
      <c r="M204" s="1100"/>
      <c r="P204" s="1317">
        <f>M27</f>
        <v>0</v>
      </c>
      <c r="Q204" s="1317"/>
      <c r="R204" s="1317"/>
      <c r="S204" s="1317"/>
      <c r="T204" s="1317"/>
      <c r="U204" s="1317"/>
      <c r="V204" s="47"/>
      <c r="W204" s="25" t="s">
        <v>1533</v>
      </c>
      <c r="X204" s="25"/>
      <c r="Y204" s="25"/>
      <c r="Z204" s="25"/>
      <c r="AA204" s="25"/>
      <c r="AB204" s="25"/>
      <c r="AC204" s="25"/>
      <c r="AD204" s="25"/>
      <c r="AE204" s="25"/>
      <c r="AF204" s="1099" t="s">
        <v>722</v>
      </c>
      <c r="AG204" s="1099"/>
      <c r="AH204" s="25"/>
      <c r="AI204" s="25"/>
      <c r="AJ204" s="3"/>
      <c r="AK204" s="3"/>
      <c r="AL204" s="3"/>
      <c r="AP204" s="708" t="s">
        <v>1177</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21" t="s">
        <v>1656</v>
      </c>
      <c r="E207" s="1221"/>
      <c r="F207" s="1221"/>
      <c r="G207" s="1221"/>
      <c r="H207" s="1221"/>
      <c r="I207" s="1221"/>
      <c r="J207" s="1221"/>
      <c r="K207" s="1221"/>
      <c r="L207" s="1221"/>
      <c r="M207" s="122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221" t="s">
        <v>1196</v>
      </c>
      <c r="E210" s="1221"/>
      <c r="F210" s="1221"/>
      <c r="G210" s="1221"/>
      <c r="H210" s="1221"/>
      <c r="I210" s="1221"/>
      <c r="J210" s="1221"/>
      <c r="K210" s="1221"/>
      <c r="L210" s="1221"/>
      <c r="M210" s="1221"/>
      <c r="N210" s="12" t="s">
        <v>1517</v>
      </c>
      <c r="O210" s="743"/>
      <c r="P210" s="743"/>
      <c r="Q210" s="743"/>
      <c r="R210" s="743"/>
      <c r="S210" s="743"/>
      <c r="T210" s="743"/>
      <c r="U210" s="743"/>
      <c r="V210" s="743"/>
      <c r="W210" s="743"/>
      <c r="X210" s="743"/>
      <c r="Y210" s="743"/>
      <c r="Z210" s="743"/>
      <c r="AH210" s="1099">
        <v>54</v>
      </c>
      <c r="AI210" s="1099"/>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1489</v>
      </c>
      <c r="D213" s="901"/>
      <c r="AG213" s="705"/>
      <c r="AJ213" s="705"/>
      <c r="AK213" s="705"/>
      <c r="AL213" s="705"/>
      <c r="AM213" s="247"/>
      <c r="AN213" s="247"/>
      <c r="AP213" s="39" t="s">
        <v>573</v>
      </c>
      <c r="BA213" s="36" t="s">
        <v>55</v>
      </c>
      <c r="BG213" s="55" t="s">
        <v>218</v>
      </c>
    </row>
    <row r="214" spans="1:59" ht="12.75">
      <c r="A214" s="50"/>
      <c r="C214" s="50"/>
      <c r="D214" s="7" t="s">
        <v>1124</v>
      </c>
      <c r="AG214" s="3"/>
      <c r="AJ214" s="3"/>
      <c r="AK214" s="3"/>
      <c r="AL214" s="3"/>
      <c r="AN214" s="58"/>
      <c r="AP214" s="12" t="s">
        <v>614</v>
      </c>
      <c r="BA214" s="36" t="s">
        <v>349</v>
      </c>
      <c r="BG214" s="55" t="s">
        <v>219</v>
      </c>
    </row>
    <row r="215" spans="1:59" ht="12.75">
      <c r="A215" s="50"/>
      <c r="C215" s="50"/>
      <c r="D215" s="1221" t="s">
        <v>969</v>
      </c>
      <c r="E215" s="1221"/>
      <c r="F215" s="1221"/>
      <c r="G215" s="1221"/>
      <c r="H215" s="1221"/>
      <c r="I215" s="1221"/>
      <c r="J215" s="1221"/>
      <c r="K215" s="1221"/>
      <c r="L215" s="1221"/>
      <c r="M215" s="1221"/>
      <c r="N215" s="1221"/>
      <c r="O215" s="1221"/>
      <c r="P215" s="1221"/>
      <c r="Q215" s="1221"/>
      <c r="R215" s="1221"/>
      <c r="S215" s="1221"/>
      <c r="T215" s="1221"/>
      <c r="U215" s="1221"/>
      <c r="V215" s="1221"/>
      <c r="W215" s="1221"/>
      <c r="X215" s="1221"/>
      <c r="Y215" s="1221"/>
      <c r="Z215" s="1221"/>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61" t="s">
        <v>586</v>
      </c>
      <c r="B217" s="1261"/>
      <c r="C217" s="1261"/>
      <c r="D217" s="1261"/>
      <c r="E217" s="1261"/>
      <c r="F217" s="1261"/>
      <c r="G217" s="1261"/>
      <c r="H217" s="1261"/>
      <c r="I217" s="1261"/>
      <c r="J217" s="1261"/>
      <c r="K217" s="1261"/>
      <c r="L217" s="1261"/>
      <c r="M217" s="1261"/>
      <c r="N217" s="1261"/>
      <c r="O217" s="1261"/>
      <c r="P217" s="1261"/>
      <c r="Q217" s="1261"/>
      <c r="R217" s="1261"/>
      <c r="S217" s="1261"/>
      <c r="T217" s="1261"/>
      <c r="U217" s="1261"/>
      <c r="V217" s="1261"/>
      <c r="W217" s="1261"/>
      <c r="X217" s="1261"/>
      <c r="Y217" s="1261"/>
      <c r="Z217" s="1261"/>
      <c r="AA217" s="1261"/>
      <c r="AB217" s="1261"/>
      <c r="AC217" s="1261"/>
      <c r="AD217" s="1261"/>
      <c r="AE217" s="1261"/>
      <c r="AF217" s="1261"/>
      <c r="AG217" s="1261"/>
      <c r="AH217" s="1261"/>
      <c r="AI217" s="1261"/>
      <c r="AJ217" s="1261"/>
      <c r="AK217" s="1261"/>
      <c r="AL217" s="1261"/>
      <c r="AN217" s="58"/>
      <c r="AO217" s="58"/>
      <c r="AP217" s="12" t="s">
        <v>409</v>
      </c>
      <c r="BD217" s="61"/>
    </row>
    <row r="218" spans="1:59" ht="13.5" thickBot="1">
      <c r="A218" s="1262"/>
      <c r="B218" s="1262"/>
      <c r="C218" s="1262"/>
      <c r="D218" s="1262"/>
      <c r="E218" s="1262"/>
      <c r="F218" s="1262"/>
      <c r="G218" s="1262"/>
      <c r="H218" s="1262"/>
      <c r="I218" s="1262"/>
      <c r="J218" s="1262"/>
      <c r="K218" s="1262"/>
      <c r="L218" s="1262"/>
      <c r="M218" s="1262"/>
      <c r="N218" s="1262"/>
      <c r="O218" s="1262"/>
      <c r="P218" s="1262"/>
      <c r="Q218" s="1262"/>
      <c r="R218" s="1262"/>
      <c r="S218" s="1262"/>
      <c r="T218" s="1262"/>
      <c r="U218" s="1262"/>
      <c r="V218" s="1262"/>
      <c r="W218" s="1262"/>
      <c r="X218" s="1262"/>
      <c r="Y218" s="1262"/>
      <c r="Z218" s="1262"/>
      <c r="AA218" s="1262"/>
      <c r="AB218" s="1262"/>
      <c r="AC218" s="1262"/>
      <c r="AD218" s="1262"/>
      <c r="AE218" s="1262"/>
      <c r="AF218" s="1262"/>
      <c r="AG218" s="1262"/>
      <c r="AH218" s="1262"/>
      <c r="AI218" s="1262"/>
      <c r="AJ218" s="1262"/>
      <c r="AK218" s="1262"/>
      <c r="AL218" s="1262"/>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9" t="s">
        <v>591</v>
      </c>
      <c r="AJ221" s="1099"/>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9" t="s">
        <v>641</v>
      </c>
      <c r="AJ222" s="1099"/>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9" t="s">
        <v>641</v>
      </c>
      <c r="AJ223" s="1099"/>
      <c r="AL223" s="58"/>
      <c r="AN223" s="58"/>
      <c r="AO223" s="400" t="s">
        <v>584</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9" t="s">
        <v>641</v>
      </c>
      <c r="AJ224" s="1099"/>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502" t="str">
        <f>H16</f>
        <v>S. Broadway SH, L.P.</v>
      </c>
      <c r="N227" s="1502"/>
      <c r="O227" s="1502"/>
      <c r="P227" s="1502"/>
      <c r="Q227" s="1502"/>
      <c r="R227" s="1502"/>
      <c r="S227" s="1502"/>
      <c r="T227" s="1502"/>
      <c r="U227" s="1502"/>
      <c r="V227" s="1502"/>
      <c r="W227" s="1502"/>
      <c r="X227" s="1502"/>
      <c r="Y227" s="1502"/>
      <c r="Z227" s="1502"/>
      <c r="AA227" s="1502"/>
      <c r="AB227" s="1502"/>
      <c r="AC227" s="1502"/>
      <c r="AD227" s="1502"/>
      <c r="AE227" s="1502"/>
      <c r="AF227" s="1502"/>
      <c r="AG227" s="1502"/>
      <c r="AH227" s="1502"/>
      <c r="AI227" s="1502"/>
      <c r="AJ227" s="1502"/>
      <c r="AK227" s="1502"/>
      <c r="AO227" s="344" t="s">
        <v>584</v>
      </c>
      <c r="AT227" s="406">
        <f>IF(AND(AND($M$244="nonprofit",$M$252="for profit",$M$260="nonprofit")),2,0)</f>
        <v>0</v>
      </c>
    </row>
    <row r="228" spans="1:59" ht="12.75">
      <c r="D228" s="57" t="s">
        <v>92</v>
      </c>
      <c r="E228" s="57"/>
      <c r="F228" s="57"/>
      <c r="G228" s="57"/>
      <c r="H228" s="57"/>
      <c r="I228" s="57"/>
      <c r="J228" s="57"/>
      <c r="K228" s="7"/>
      <c r="M228" s="1096" t="s">
        <v>1657</v>
      </c>
      <c r="N228" s="1096"/>
      <c r="O228" s="1096"/>
      <c r="P228" s="1096"/>
      <c r="Q228" s="1096"/>
      <c r="R228" s="1096"/>
      <c r="S228" s="1096"/>
      <c r="T228" s="1096"/>
      <c r="U228" s="1096"/>
      <c r="V228" s="1096"/>
      <c r="W228" s="1096"/>
      <c r="X228" s="1096"/>
      <c r="Y228" s="1096"/>
      <c r="Z228" s="1096"/>
      <c r="AA228" s="1096"/>
      <c r="AB228" s="1096"/>
      <c r="AC228" s="1096"/>
      <c r="AD228" s="1096"/>
      <c r="AE228" s="1096"/>
      <c r="AM228" s="7"/>
      <c r="AO228" s="344" t="s">
        <v>584</v>
      </c>
      <c r="AT228" s="405">
        <f>IF(AND(AND($M$244="for profit",$M$252="nonprofit",$M$260="nonprofit")),2,0)</f>
        <v>0</v>
      </c>
      <c r="BB228" s="61"/>
    </row>
    <row r="229" spans="1:59" ht="12.75">
      <c r="D229" s="57" t="s">
        <v>630</v>
      </c>
      <c r="E229" s="57"/>
      <c r="M229" s="1096" t="s">
        <v>790</v>
      </c>
      <c r="N229" s="1221"/>
      <c r="O229" s="1221"/>
      <c r="P229" s="1221"/>
      <c r="Q229" s="1221"/>
      <c r="R229" s="1221"/>
      <c r="S229" s="1221"/>
      <c r="T229" s="1221"/>
      <c r="V229" s="59" t="s">
        <v>93</v>
      </c>
      <c r="W229" s="1125" t="s">
        <v>1658</v>
      </c>
      <c r="X229" s="1102"/>
      <c r="Y229" s="57" t="s">
        <v>633</v>
      </c>
      <c r="AC229" s="1221">
        <v>92128</v>
      </c>
      <c r="AD229" s="1221"/>
      <c r="AE229" s="1221"/>
      <c r="AO229" s="402"/>
      <c r="AT229" s="403"/>
    </row>
    <row r="230" spans="1:59" ht="12.75">
      <c r="D230" s="60" t="s">
        <v>94</v>
      </c>
      <c r="E230" s="7"/>
      <c r="F230" s="7"/>
      <c r="G230" s="7"/>
      <c r="H230" s="7"/>
      <c r="I230" s="7"/>
      <c r="J230" s="7"/>
      <c r="K230" s="29"/>
      <c r="M230" s="1096" t="s">
        <v>1659</v>
      </c>
      <c r="N230" s="1221"/>
      <c r="O230" s="1221"/>
      <c r="P230" s="1221"/>
      <c r="Q230" s="1221"/>
      <c r="R230" s="1221"/>
      <c r="S230" s="1221"/>
      <c r="T230" s="1221"/>
      <c r="U230" s="1221"/>
      <c r="V230" s="1221"/>
      <c r="W230" s="1221"/>
      <c r="X230" s="1221"/>
      <c r="Y230" s="1221"/>
      <c r="Z230" s="1221"/>
      <c r="AA230" s="1221"/>
      <c r="AB230" s="1221"/>
      <c r="AC230" s="1221"/>
      <c r="AD230" s="1221"/>
      <c r="AE230" s="1221"/>
      <c r="AI230" s="7"/>
      <c r="AJ230" s="7"/>
      <c r="AK230" s="7"/>
      <c r="AL230" s="7"/>
      <c r="AM230" s="7"/>
      <c r="AO230" s="400" t="s">
        <v>583</v>
      </c>
      <c r="AT230" s="406">
        <f>IF(AND(AND($M$244="nonprofit",$M$252="nonprofit",$M$260="(select one)")),1,0)</f>
        <v>0</v>
      </c>
    </row>
    <row r="231" spans="1:59" ht="12.75">
      <c r="D231" s="60" t="s">
        <v>95</v>
      </c>
      <c r="E231" s="7"/>
      <c r="F231" s="7"/>
      <c r="M231" s="1217" t="s">
        <v>1660</v>
      </c>
      <c r="N231" s="1101"/>
      <c r="O231" s="1101"/>
      <c r="P231" s="1101"/>
      <c r="Q231" s="1101"/>
      <c r="R231" s="1101"/>
      <c r="S231" s="7" t="s">
        <v>220</v>
      </c>
      <c r="T231" s="7"/>
      <c r="U231" s="1102"/>
      <c r="V231" s="1102"/>
      <c r="W231" s="1102"/>
      <c r="X231" s="7" t="s">
        <v>96</v>
      </c>
      <c r="Z231" s="1217" t="s">
        <v>1661</v>
      </c>
      <c r="AA231" s="1101"/>
      <c r="AB231" s="1101"/>
      <c r="AC231" s="1101"/>
      <c r="AD231" s="1101"/>
      <c r="AE231" s="1101"/>
      <c r="AO231" s="400" t="s">
        <v>583</v>
      </c>
      <c r="AT231" s="406">
        <f>IF(AND(AND($M$244="nonprofit",$M$252="nonprofit",$M$260="nonprofit")),1,0)</f>
        <v>0</v>
      </c>
    </row>
    <row r="232" spans="1:59" ht="12.75">
      <c r="D232" s="60" t="s">
        <v>97</v>
      </c>
      <c r="E232" s="7"/>
      <c r="F232" s="7"/>
      <c r="M232" s="1495" t="s">
        <v>1662</v>
      </c>
      <c r="N232" s="1495"/>
      <c r="O232" s="1495"/>
      <c r="P232" s="1495"/>
      <c r="Q232" s="1495"/>
      <c r="R232" s="1495"/>
      <c r="S232" s="1495"/>
      <c r="T232" s="1495"/>
      <c r="U232" s="1495"/>
      <c r="V232" s="1495"/>
      <c r="W232" s="1495"/>
      <c r="X232" s="1495"/>
      <c r="Y232" s="1495"/>
      <c r="Z232" s="1495"/>
      <c r="AA232" s="1495"/>
      <c r="AB232" s="1495"/>
      <c r="AC232" s="1495"/>
      <c r="AD232" s="1495"/>
      <c r="AE232" s="1495"/>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119" t="s">
        <v>574</v>
      </c>
      <c r="N233" s="1119"/>
      <c r="O233" s="1119"/>
      <c r="P233" s="1119"/>
      <c r="Q233" s="1119"/>
      <c r="R233" s="1119"/>
      <c r="S233" s="1119"/>
      <c r="T233" s="1119"/>
      <c r="U233" s="404" t="s">
        <v>1004</v>
      </c>
      <c r="V233" s="335"/>
      <c r="W233" s="335"/>
      <c r="X233" s="335"/>
      <c r="Y233" s="335"/>
      <c r="Z233" s="335"/>
      <c r="AA233" s="1263" t="s">
        <v>1663</v>
      </c>
      <c r="AB233" s="1264"/>
      <c r="AC233" s="1264"/>
      <c r="AD233" s="1264"/>
      <c r="AE233" s="1264"/>
      <c r="AF233" s="1264"/>
      <c r="AG233" s="1264"/>
      <c r="AH233" s="1264"/>
      <c r="AI233" s="1264"/>
      <c r="AJ233" s="1264"/>
      <c r="AK233" s="1264"/>
      <c r="AL233" s="58"/>
      <c r="AO233" s="400" t="s">
        <v>971</v>
      </c>
      <c r="AT233" s="406">
        <f>IF(AND(AND($M$244="for profit",$M$252="for profit",$M$260="(select one)")),3,0)</f>
        <v>0</v>
      </c>
    </row>
    <row r="234" spans="1:59" ht="12.75">
      <c r="D234" s="12" t="s">
        <v>577</v>
      </c>
      <c r="M234" s="1098"/>
      <c r="N234" s="1098"/>
      <c r="O234" s="1098"/>
      <c r="P234" s="1098"/>
      <c r="Q234" s="1098"/>
      <c r="R234" s="1098"/>
      <c r="S234" s="1098"/>
      <c r="T234" s="1098"/>
      <c r="U234" s="1098"/>
      <c r="V234" s="1098"/>
      <c r="W234" s="1098"/>
      <c r="X234" s="1098"/>
      <c r="Y234" s="1098"/>
      <c r="Z234" s="1098"/>
      <c r="AA234" s="1098"/>
      <c r="AB234" s="1098"/>
      <c r="AC234" s="1098"/>
      <c r="AD234" s="1098"/>
      <c r="AE234" s="1098"/>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492" t="s">
        <v>1664</v>
      </c>
      <c r="N238" s="1256"/>
      <c r="O238" s="1256"/>
      <c r="P238" s="1256"/>
      <c r="Q238" s="1256"/>
      <c r="R238" s="1256"/>
      <c r="S238" s="1256"/>
      <c r="T238" s="1256"/>
      <c r="U238" s="1256"/>
      <c r="V238" s="1256"/>
      <c r="W238" s="1256"/>
      <c r="X238" s="1256"/>
      <c r="Y238" s="1256"/>
      <c r="Z238" s="1256"/>
      <c r="AA238" s="1256"/>
      <c r="AB238" s="1256"/>
      <c r="AC238" s="1256"/>
      <c r="AD238" s="1256"/>
      <c r="AE238" s="1256"/>
      <c r="AF238" s="1256" t="s">
        <v>1667</v>
      </c>
      <c r="AG238" s="1256"/>
      <c r="AH238" s="1256"/>
      <c r="AI238" s="1256"/>
      <c r="AJ238" s="1256"/>
      <c r="AK238" s="1256"/>
      <c r="AT238" s="12">
        <v>1</v>
      </c>
      <c r="AU238" s="12" t="s">
        <v>580</v>
      </c>
      <c r="AZ238" s="25"/>
      <c r="BA238" s="3"/>
      <c r="BB238" s="3"/>
    </row>
    <row r="239" spans="1:59" ht="12.75">
      <c r="A239" s="29"/>
      <c r="B239" s="7"/>
      <c r="C239" s="7"/>
      <c r="D239" s="57" t="s">
        <v>92</v>
      </c>
      <c r="E239" s="57"/>
      <c r="F239" s="57"/>
      <c r="G239" s="57"/>
      <c r="H239" s="57"/>
      <c r="I239" s="57"/>
      <c r="J239" s="57"/>
      <c r="K239" s="57"/>
      <c r="L239" s="7"/>
      <c r="M239" s="1096" t="s">
        <v>1657</v>
      </c>
      <c r="N239" s="1096"/>
      <c r="O239" s="1096"/>
      <c r="P239" s="1096"/>
      <c r="Q239" s="1096"/>
      <c r="R239" s="1096"/>
      <c r="S239" s="1096"/>
      <c r="T239" s="1096"/>
      <c r="U239" s="1096"/>
      <c r="V239" s="1096"/>
      <c r="W239" s="1096"/>
      <c r="X239" s="1096"/>
      <c r="Y239" s="1096"/>
      <c r="Z239" s="1096"/>
      <c r="AA239" s="1096"/>
      <c r="AB239" s="1096"/>
      <c r="AC239" s="1096"/>
      <c r="AD239" s="1096"/>
      <c r="AE239" s="1096"/>
      <c r="AF239" s="58" t="s">
        <v>1419</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096" t="s">
        <v>790</v>
      </c>
      <c r="N240" s="1221"/>
      <c r="O240" s="1221"/>
      <c r="P240" s="1221"/>
      <c r="Q240" s="1221"/>
      <c r="R240" s="1221"/>
      <c r="S240" s="1221"/>
      <c r="T240" s="1221"/>
      <c r="V240" s="59" t="s">
        <v>93</v>
      </c>
      <c r="W240" s="1125" t="s">
        <v>1658</v>
      </c>
      <c r="X240" s="1102"/>
      <c r="Y240" s="57" t="s">
        <v>633</v>
      </c>
      <c r="AC240" s="1221">
        <v>92128</v>
      </c>
      <c r="AD240" s="1221"/>
      <c r="AE240" s="1221"/>
      <c r="AF240" s="58" t="s">
        <v>1420</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096" t="s">
        <v>1659</v>
      </c>
      <c r="N241" s="1221"/>
      <c r="O241" s="1221"/>
      <c r="P241" s="1221"/>
      <c r="Q241" s="1221"/>
      <c r="R241" s="1221"/>
      <c r="S241" s="1221"/>
      <c r="T241" s="1221"/>
      <c r="U241" s="1221"/>
      <c r="V241" s="1221"/>
      <c r="W241" s="1221"/>
      <c r="X241" s="1221"/>
      <c r="Y241" s="1221"/>
      <c r="Z241" s="1221"/>
      <c r="AA241" s="1221"/>
      <c r="AB241" s="1221"/>
      <c r="AC241" s="1221"/>
      <c r="AD241" s="1221"/>
      <c r="AE241" s="1221"/>
      <c r="AH241" s="1583">
        <v>0.49</v>
      </c>
      <c r="AI241" s="1583"/>
      <c r="AJ241" s="1583"/>
      <c r="AK241" s="1583"/>
      <c r="AL241" s="7"/>
      <c r="AN241" s="7" t="s">
        <v>296</v>
      </c>
      <c r="BA241" s="61"/>
    </row>
    <row r="242" spans="1:53" ht="12.75">
      <c r="A242" s="29"/>
      <c r="B242" s="7"/>
      <c r="C242" s="7"/>
      <c r="D242" s="60" t="s">
        <v>95</v>
      </c>
      <c r="E242" s="7"/>
      <c r="F242" s="7"/>
      <c r="M242" s="1217" t="s">
        <v>1665</v>
      </c>
      <c r="N242" s="1101"/>
      <c r="O242" s="1101"/>
      <c r="P242" s="1101"/>
      <c r="Q242" s="1101"/>
      <c r="R242" s="1101"/>
      <c r="S242" s="7" t="s">
        <v>220</v>
      </c>
      <c r="T242" s="7"/>
      <c r="U242" s="1102"/>
      <c r="V242" s="1102"/>
      <c r="W242" s="1102"/>
      <c r="X242" s="7" t="s">
        <v>96</v>
      </c>
      <c r="Z242" s="1217" t="s">
        <v>1661</v>
      </c>
      <c r="AA242" s="1101"/>
      <c r="AB242" s="1101"/>
      <c r="AC242" s="1101"/>
      <c r="AD242" s="1101"/>
      <c r="AE242" s="1101"/>
      <c r="AN242" s="7" t="s">
        <v>186</v>
      </c>
      <c r="BA242" s="61"/>
    </row>
    <row r="243" spans="1:53" ht="12.75">
      <c r="A243" s="29"/>
      <c r="B243" s="7"/>
      <c r="C243" s="7"/>
      <c r="D243" s="60" t="s">
        <v>97</v>
      </c>
      <c r="E243" s="7"/>
      <c r="F243" s="7"/>
      <c r="M243" s="1495" t="s">
        <v>1666</v>
      </c>
      <c r="N243" s="1495"/>
      <c r="O243" s="1495"/>
      <c r="P243" s="1495"/>
      <c r="Q243" s="1495"/>
      <c r="R243" s="1495"/>
      <c r="S243" s="1495"/>
      <c r="T243" s="1495"/>
      <c r="U243" s="1495"/>
      <c r="V243" s="1495"/>
      <c r="W243" s="1495"/>
      <c r="X243" s="1495"/>
      <c r="Y243" s="1495"/>
      <c r="Z243" s="1495"/>
      <c r="AA243" s="1495"/>
      <c r="AB243" s="1495"/>
      <c r="AC243" s="1495"/>
      <c r="AD243" s="1495"/>
      <c r="AE243" s="1495"/>
      <c r="AG243" s="7"/>
      <c r="AH243" s="7"/>
      <c r="AI243" s="7"/>
      <c r="AJ243" s="7"/>
      <c r="AK243" s="7"/>
      <c r="AL243" s="7"/>
      <c r="BA243" s="61"/>
    </row>
    <row r="244" spans="1:53" ht="12.75">
      <c r="A244" s="23"/>
      <c r="B244" s="7"/>
      <c r="C244" s="139"/>
      <c r="D244" s="60" t="s">
        <v>581</v>
      </c>
      <c r="E244" s="7"/>
      <c r="F244" s="7"/>
      <c r="G244" s="7"/>
      <c r="H244" s="7"/>
      <c r="I244" s="7"/>
      <c r="J244" s="7"/>
      <c r="K244" s="7"/>
      <c r="L244" s="7"/>
      <c r="M244" s="1119" t="s">
        <v>582</v>
      </c>
      <c r="N244" s="1119"/>
      <c r="O244" s="1119"/>
      <c r="P244" s="1119"/>
      <c r="Q244" s="1119"/>
      <c r="R244" s="1119"/>
      <c r="S244" s="1119"/>
      <c r="T244" s="1119"/>
      <c r="U244" s="404" t="s">
        <v>1004</v>
      </c>
      <c r="V244" s="335"/>
      <c r="W244" s="335"/>
      <c r="X244" s="335"/>
      <c r="Y244" s="335"/>
      <c r="Z244" s="335"/>
      <c r="AA244" s="1263" t="s">
        <v>1663</v>
      </c>
      <c r="AB244" s="1264"/>
      <c r="AC244" s="1264"/>
      <c r="AD244" s="1264"/>
      <c r="AE244" s="1264"/>
      <c r="AF244" s="1264"/>
      <c r="AG244" s="1264"/>
      <c r="AH244" s="1264"/>
      <c r="AI244" s="1264"/>
      <c r="AJ244" s="1264"/>
      <c r="AK244" s="1264"/>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492" t="s">
        <v>1729</v>
      </c>
      <c r="N246" s="1256"/>
      <c r="O246" s="1256"/>
      <c r="P246" s="1256"/>
      <c r="Q246" s="1256"/>
      <c r="R246" s="1256"/>
      <c r="S246" s="1256"/>
      <c r="T246" s="1256"/>
      <c r="U246" s="1256"/>
      <c r="V246" s="1256"/>
      <c r="W246" s="1256"/>
      <c r="X246" s="1256"/>
      <c r="Y246" s="1256"/>
      <c r="Z246" s="1256"/>
      <c r="AA246" s="1256"/>
      <c r="AB246" s="1256"/>
      <c r="AC246" s="1256"/>
      <c r="AD246" s="1256"/>
      <c r="AE246" s="1256"/>
      <c r="AF246" s="1256" t="s">
        <v>1668</v>
      </c>
      <c r="AG246" s="1256"/>
      <c r="AH246" s="1256"/>
      <c r="AI246" s="1256"/>
      <c r="AJ246" s="1256"/>
      <c r="AK246" s="1256"/>
      <c r="BA246" s="61"/>
    </row>
    <row r="247" spans="1:53" ht="12.75">
      <c r="A247" s="29"/>
      <c r="B247" s="7"/>
      <c r="C247" s="7"/>
      <c r="D247" s="57" t="s">
        <v>92</v>
      </c>
      <c r="E247" s="57"/>
      <c r="F247" s="57"/>
      <c r="G247" s="57"/>
      <c r="H247" s="57"/>
      <c r="I247" s="57"/>
      <c r="J247" s="57"/>
      <c r="K247" s="57"/>
      <c r="L247" s="7"/>
      <c r="M247" s="1096" t="s">
        <v>1730</v>
      </c>
      <c r="N247" s="1221"/>
      <c r="O247" s="1221"/>
      <c r="P247" s="1221"/>
      <c r="Q247" s="1221"/>
      <c r="R247" s="1221"/>
      <c r="S247" s="1221"/>
      <c r="T247" s="1221"/>
      <c r="U247" s="1221"/>
      <c r="V247" s="1221"/>
      <c r="W247" s="1221"/>
      <c r="X247" s="1221"/>
      <c r="Y247" s="1221"/>
      <c r="Z247" s="1221"/>
      <c r="AA247" s="1221"/>
      <c r="AB247" s="1221"/>
      <c r="AC247" s="1221"/>
      <c r="AD247" s="1221"/>
      <c r="AE247" s="1221"/>
      <c r="AF247" s="58" t="s">
        <v>1419</v>
      </c>
      <c r="AG247" s="743"/>
      <c r="AH247" s="743"/>
      <c r="AI247" s="743"/>
      <c r="AJ247" s="743"/>
      <c r="AK247" s="743"/>
      <c r="AL247" s="7"/>
      <c r="BA247" s="61"/>
    </row>
    <row r="248" spans="1:53" ht="12.75">
      <c r="A248" s="29"/>
      <c r="B248" s="7"/>
      <c r="C248" s="7"/>
      <c r="D248" s="57" t="s">
        <v>630</v>
      </c>
      <c r="E248" s="57"/>
      <c r="M248" s="1096" t="s">
        <v>1731</v>
      </c>
      <c r="N248" s="1221"/>
      <c r="O248" s="1221"/>
      <c r="P248" s="1221"/>
      <c r="Q248" s="1221"/>
      <c r="R248" s="1221"/>
      <c r="S248" s="1221"/>
      <c r="T248" s="1221"/>
      <c r="V248" s="59" t="s">
        <v>93</v>
      </c>
      <c r="W248" s="1125" t="s">
        <v>1658</v>
      </c>
      <c r="X248" s="1102"/>
      <c r="Y248" s="57" t="s">
        <v>633</v>
      </c>
      <c r="AC248" s="1221">
        <v>92024</v>
      </c>
      <c r="AD248" s="1221"/>
      <c r="AE248" s="1221"/>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096" t="s">
        <v>1732</v>
      </c>
      <c r="N249" s="1221"/>
      <c r="O249" s="1221"/>
      <c r="P249" s="1221"/>
      <c r="Q249" s="1221"/>
      <c r="R249" s="1221"/>
      <c r="S249" s="1221"/>
      <c r="T249" s="1221"/>
      <c r="U249" s="1221"/>
      <c r="V249" s="1221"/>
      <c r="W249" s="1221"/>
      <c r="X249" s="1221"/>
      <c r="Y249" s="1221"/>
      <c r="Z249" s="1221"/>
      <c r="AA249" s="1221"/>
      <c r="AB249" s="1221"/>
      <c r="AC249" s="1221"/>
      <c r="AD249" s="1221"/>
      <c r="AE249" s="1221"/>
      <c r="AF249" s="743"/>
      <c r="AG249" s="743"/>
      <c r="AH249" s="1583">
        <v>0.51</v>
      </c>
      <c r="AI249" s="1583"/>
      <c r="AJ249" s="1583"/>
      <c r="AK249" s="1583"/>
      <c r="AL249" s="7"/>
      <c r="BA249" s="61"/>
    </row>
    <row r="250" spans="1:53" ht="12.75">
      <c r="A250" s="29"/>
      <c r="B250" s="7"/>
      <c r="C250" s="7"/>
      <c r="D250" s="60" t="s">
        <v>95</v>
      </c>
      <c r="E250" s="7"/>
      <c r="F250" s="7"/>
      <c r="M250" s="1217" t="s">
        <v>1734</v>
      </c>
      <c r="N250" s="1101"/>
      <c r="O250" s="1101"/>
      <c r="P250" s="1101"/>
      <c r="Q250" s="1101"/>
      <c r="R250" s="1101"/>
      <c r="S250" s="7" t="s">
        <v>220</v>
      </c>
      <c r="T250" s="7"/>
      <c r="U250" s="1102">
        <v>103</v>
      </c>
      <c r="V250" s="1102"/>
      <c r="W250" s="1102"/>
      <c r="X250" s="7" t="s">
        <v>96</v>
      </c>
      <c r="Z250" s="1217" t="s">
        <v>1735</v>
      </c>
      <c r="AA250" s="1101"/>
      <c r="AB250" s="1101"/>
      <c r="AC250" s="1101"/>
      <c r="AD250" s="1101"/>
      <c r="AE250" s="1101"/>
      <c r="BA250" s="61"/>
    </row>
    <row r="251" spans="1:53" ht="12.75" customHeight="1">
      <c r="A251" s="29"/>
      <c r="B251" s="7"/>
      <c r="C251" s="7"/>
      <c r="D251" s="60" t="s">
        <v>97</v>
      </c>
      <c r="E251" s="7"/>
      <c r="F251" s="7"/>
      <c r="M251" s="1495" t="s">
        <v>1733</v>
      </c>
      <c r="N251" s="1495"/>
      <c r="O251" s="1495"/>
      <c r="P251" s="1495"/>
      <c r="Q251" s="1495"/>
      <c r="R251" s="1495"/>
      <c r="S251" s="1495"/>
      <c r="T251" s="1495"/>
      <c r="U251" s="1495"/>
      <c r="V251" s="1495"/>
      <c r="W251" s="1495"/>
      <c r="X251" s="1495"/>
      <c r="Y251" s="1495"/>
      <c r="Z251" s="1495"/>
      <c r="AA251" s="1495"/>
      <c r="AB251" s="1495"/>
      <c r="AC251" s="1495"/>
      <c r="AD251" s="1495"/>
      <c r="AE251" s="1495"/>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19" t="s">
        <v>580</v>
      </c>
      <c r="N252" s="1119"/>
      <c r="O252" s="1119"/>
      <c r="P252" s="1119"/>
      <c r="Q252" s="1119"/>
      <c r="R252" s="1119"/>
      <c r="S252" s="1119"/>
      <c r="T252" s="1119"/>
      <c r="U252" s="404" t="s">
        <v>1004</v>
      </c>
      <c r="V252" s="335"/>
      <c r="W252" s="335"/>
      <c r="X252" s="335"/>
      <c r="Y252" s="335"/>
      <c r="Z252" s="335"/>
      <c r="AA252" s="1264"/>
      <c r="AB252" s="1264"/>
      <c r="AC252" s="1264"/>
      <c r="AD252" s="1264"/>
      <c r="AE252" s="1264"/>
      <c r="AF252" s="1264"/>
      <c r="AG252" s="1264"/>
      <c r="AH252" s="1264"/>
      <c r="AI252" s="1264"/>
      <c r="AJ252" s="1264"/>
      <c r="AK252" s="126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56"/>
      <c r="N254" s="1256"/>
      <c r="O254" s="1256"/>
      <c r="P254" s="1256"/>
      <c r="Q254" s="1256"/>
      <c r="R254" s="1256"/>
      <c r="S254" s="1256"/>
      <c r="T254" s="1256"/>
      <c r="U254" s="1256"/>
      <c r="V254" s="1256"/>
      <c r="W254" s="1256"/>
      <c r="X254" s="1256"/>
      <c r="Y254" s="1256"/>
      <c r="Z254" s="1256"/>
      <c r="AA254" s="1256"/>
      <c r="AB254" s="1256"/>
      <c r="AC254" s="1256"/>
      <c r="AD254" s="1256"/>
      <c r="AE254" s="1256"/>
      <c r="AF254" s="1256" t="s">
        <v>329</v>
      </c>
      <c r="AG254" s="1256"/>
      <c r="AH254" s="1256"/>
      <c r="AI254" s="1256"/>
      <c r="AJ254" s="1256"/>
      <c r="AK254" s="1256"/>
      <c r="AL254" s="58"/>
      <c r="BA254" s="61"/>
    </row>
    <row r="255" spans="1:53" ht="12.75">
      <c r="A255" s="23"/>
      <c r="B255" s="7"/>
      <c r="C255" s="7"/>
      <c r="D255" s="57" t="s">
        <v>92</v>
      </c>
      <c r="E255" s="57"/>
      <c r="F255" s="57"/>
      <c r="G255" s="57"/>
      <c r="H255" s="57"/>
      <c r="I255" s="57"/>
      <c r="J255" s="57"/>
      <c r="K255" s="57"/>
      <c r="L255" s="7"/>
      <c r="M255" s="1221"/>
      <c r="N255" s="1221"/>
      <c r="O255" s="1221"/>
      <c r="P255" s="1221"/>
      <c r="Q255" s="1221"/>
      <c r="R255" s="1221"/>
      <c r="S255" s="1221"/>
      <c r="T255" s="1221"/>
      <c r="U255" s="1221"/>
      <c r="V255" s="1221"/>
      <c r="W255" s="1221"/>
      <c r="X255" s="1221"/>
      <c r="Y255" s="1221"/>
      <c r="Z255" s="1221"/>
      <c r="AA255" s="1221"/>
      <c r="AB255" s="1221"/>
      <c r="AC255" s="1221"/>
      <c r="AD255" s="1221"/>
      <c r="AE255" s="1221"/>
      <c r="AF255" s="58" t="s">
        <v>1419</v>
      </c>
      <c r="AG255" s="743"/>
      <c r="AH255" s="743"/>
      <c r="AI255" s="743"/>
      <c r="AJ255" s="743"/>
      <c r="AK255" s="743"/>
      <c r="AL255" s="58"/>
      <c r="BA255" s="61"/>
    </row>
    <row r="256" spans="1:53" ht="12.75">
      <c r="A256" s="23"/>
      <c r="B256" s="7"/>
      <c r="C256" s="7"/>
      <c r="D256" s="57" t="s">
        <v>630</v>
      </c>
      <c r="E256" s="57"/>
      <c r="M256" s="1221"/>
      <c r="N256" s="1221"/>
      <c r="O256" s="1221"/>
      <c r="P256" s="1221"/>
      <c r="Q256" s="1221"/>
      <c r="R256" s="1221"/>
      <c r="S256" s="1221"/>
      <c r="T256" s="1221"/>
      <c r="V256" s="59" t="s">
        <v>93</v>
      </c>
      <c r="W256" s="1102"/>
      <c r="X256" s="1102"/>
      <c r="Y256" s="57" t="s">
        <v>633</v>
      </c>
      <c r="AC256" s="1221"/>
      <c r="AD256" s="1221"/>
      <c r="AE256" s="1221"/>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1"/>
      <c r="N257" s="1221"/>
      <c r="O257" s="1221"/>
      <c r="P257" s="1221"/>
      <c r="Q257" s="1221"/>
      <c r="R257" s="1221"/>
      <c r="S257" s="1221"/>
      <c r="T257" s="1221"/>
      <c r="U257" s="1221"/>
      <c r="V257" s="1221"/>
      <c r="W257" s="1221"/>
      <c r="X257" s="1221"/>
      <c r="Y257" s="1221"/>
      <c r="Z257" s="1221"/>
      <c r="AA257" s="1221"/>
      <c r="AB257" s="1221"/>
      <c r="AC257" s="1221"/>
      <c r="AD257" s="1221"/>
      <c r="AE257" s="1221"/>
      <c r="AF257" s="743"/>
      <c r="AG257" s="743"/>
      <c r="AH257" s="1583"/>
      <c r="AI257" s="1583"/>
      <c r="AJ257" s="1583"/>
      <c r="AK257" s="1583"/>
      <c r="AL257" s="58"/>
      <c r="BA257" s="61"/>
    </row>
    <row r="258" spans="1:53" ht="12.75">
      <c r="A258" s="23"/>
      <c r="B258" s="7"/>
      <c r="C258" s="7"/>
      <c r="D258" s="60" t="s">
        <v>95</v>
      </c>
      <c r="E258" s="7"/>
      <c r="F258" s="7"/>
      <c r="M258" s="1101"/>
      <c r="N258" s="1101"/>
      <c r="O258" s="1101"/>
      <c r="P258" s="1101"/>
      <c r="Q258" s="1101"/>
      <c r="R258" s="1101"/>
      <c r="S258" s="7" t="s">
        <v>220</v>
      </c>
      <c r="T258" s="7"/>
      <c r="U258" s="1102"/>
      <c r="V258" s="1102"/>
      <c r="W258" s="1102"/>
      <c r="X258" s="7" t="s">
        <v>96</v>
      </c>
      <c r="Z258" s="1101"/>
      <c r="AA258" s="1101"/>
      <c r="AB258" s="1101"/>
      <c r="AC258" s="1101"/>
      <c r="AD258" s="1101"/>
      <c r="AE258" s="1101"/>
      <c r="AL258" s="58"/>
      <c r="BA258" s="61"/>
    </row>
    <row r="259" spans="1:53" ht="12.75">
      <c r="A259" s="23"/>
      <c r="B259" s="7"/>
      <c r="C259" s="7"/>
      <c r="D259" s="60" t="s">
        <v>97</v>
      </c>
      <c r="E259" s="7"/>
      <c r="F259" s="7"/>
      <c r="M259" s="1495"/>
      <c r="N259" s="1495"/>
      <c r="O259" s="1495"/>
      <c r="P259" s="1495"/>
      <c r="Q259" s="1495"/>
      <c r="R259" s="1495"/>
      <c r="S259" s="1495"/>
      <c r="T259" s="1495"/>
      <c r="U259" s="1495"/>
      <c r="V259" s="1495"/>
      <c r="W259" s="1495"/>
      <c r="X259" s="1495"/>
      <c r="Y259" s="1495"/>
      <c r="Z259" s="1495"/>
      <c r="AA259" s="1503"/>
      <c r="AB259" s="1503"/>
      <c r="AC259" s="1503"/>
      <c r="AD259" s="1503"/>
      <c r="AE259" s="1503"/>
      <c r="AG259" s="7"/>
      <c r="AH259" s="7"/>
      <c r="AI259" s="7"/>
      <c r="AJ259" s="7"/>
      <c r="AK259" s="7"/>
      <c r="AL259" s="58"/>
      <c r="BA259" s="61"/>
    </row>
    <row r="260" spans="1:53" ht="12.75">
      <c r="A260" s="23"/>
      <c r="B260" s="7"/>
      <c r="C260" s="139"/>
      <c r="D260" s="60" t="s">
        <v>581</v>
      </c>
      <c r="E260" s="7"/>
      <c r="F260" s="7"/>
      <c r="G260" s="7"/>
      <c r="H260" s="7"/>
      <c r="I260" s="7"/>
      <c r="J260" s="7"/>
      <c r="K260" s="7"/>
      <c r="L260" s="7"/>
      <c r="M260" s="1119" t="s">
        <v>329</v>
      </c>
      <c r="N260" s="1119"/>
      <c r="O260" s="1119"/>
      <c r="P260" s="1119"/>
      <c r="Q260" s="1119"/>
      <c r="R260" s="1119"/>
      <c r="S260" s="1119"/>
      <c r="T260" s="1119"/>
      <c r="U260" s="404" t="s">
        <v>1004</v>
      </c>
      <c r="V260" s="335"/>
      <c r="W260" s="335"/>
      <c r="X260" s="335"/>
      <c r="Y260" s="335"/>
      <c r="Z260" s="335"/>
      <c r="AA260" s="1504"/>
      <c r="AB260" s="1504"/>
      <c r="AC260" s="1504"/>
      <c r="AD260" s="1504"/>
      <c r="AE260" s="1504"/>
      <c r="AF260" s="1504"/>
      <c r="AG260" s="1504"/>
      <c r="AH260" s="1504"/>
      <c r="AI260" s="1504"/>
      <c r="AJ260" s="1504"/>
      <c r="AK260" s="1504"/>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498" t="str">
        <f>BB239</f>
        <v>Joint Venture</v>
      </c>
      <c r="U262" s="1498"/>
      <c r="V262" s="1498"/>
      <c r="W262" s="1498"/>
      <c r="X262" s="1498"/>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21" t="s">
        <v>296</v>
      </c>
      <c r="E265" s="1221"/>
      <c r="F265" s="1221"/>
      <c r="G265" s="1221"/>
      <c r="H265" s="1221"/>
      <c r="J265" s="12" t="s">
        <v>295</v>
      </c>
      <c r="X265" s="1424"/>
      <c r="Y265" s="1424"/>
      <c r="Z265" s="1424"/>
      <c r="AA265" s="1424"/>
      <c r="AB265" s="1424"/>
      <c r="AC265" s="1424"/>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2" t="s">
        <v>1669</v>
      </c>
      <c r="M269" s="1256"/>
      <c r="N269" s="1256"/>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58"/>
      <c r="AL269" s="58"/>
      <c r="BA269" s="61"/>
    </row>
    <row r="270" spans="1:53" ht="12.75" customHeight="1">
      <c r="D270" s="57" t="s">
        <v>92</v>
      </c>
      <c r="E270" s="57"/>
      <c r="F270" s="57"/>
      <c r="G270" s="57"/>
      <c r="H270" s="57"/>
      <c r="I270" s="57"/>
      <c r="J270" s="57"/>
      <c r="K270" s="7"/>
      <c r="L270" s="1096" t="s">
        <v>1670</v>
      </c>
      <c r="M270" s="1221"/>
      <c r="N270" s="1221"/>
      <c r="O270" s="1221"/>
      <c r="P270" s="1221"/>
      <c r="Q270" s="1221"/>
      <c r="R270" s="1221"/>
      <c r="S270" s="1221"/>
      <c r="T270" s="1221"/>
      <c r="U270" s="1221"/>
      <c r="V270" s="1221"/>
      <c r="W270" s="1221"/>
      <c r="X270" s="1221"/>
      <c r="Y270" s="1221"/>
      <c r="Z270" s="1221"/>
      <c r="AA270" s="1221"/>
      <c r="AB270" s="1221"/>
      <c r="AC270" s="1221"/>
      <c r="AD270" s="1221"/>
      <c r="AK270" s="58"/>
      <c r="AL270" s="58"/>
      <c r="BA270" s="61"/>
    </row>
    <row r="271" spans="1:53" ht="12.75">
      <c r="D271" s="57" t="s">
        <v>630</v>
      </c>
      <c r="E271" s="57"/>
      <c r="L271" s="1096" t="s">
        <v>790</v>
      </c>
      <c r="M271" s="1221"/>
      <c r="N271" s="1221"/>
      <c r="O271" s="1221"/>
      <c r="P271" s="1221"/>
      <c r="Q271" s="1221"/>
      <c r="R271" s="1221"/>
      <c r="S271" s="1221"/>
      <c r="U271" s="59" t="s">
        <v>93</v>
      </c>
      <c r="V271" s="1125" t="s">
        <v>1658</v>
      </c>
      <c r="W271" s="1102"/>
      <c r="X271" s="57" t="s">
        <v>633</v>
      </c>
      <c r="AB271" s="1221">
        <v>92128</v>
      </c>
      <c r="AC271" s="1221"/>
      <c r="AD271" s="1221"/>
      <c r="AK271" s="58"/>
      <c r="AL271" s="58"/>
      <c r="BA271" s="61"/>
    </row>
    <row r="272" spans="1:53" ht="12.75">
      <c r="D272" s="60" t="s">
        <v>94</v>
      </c>
      <c r="E272" s="7"/>
      <c r="F272" s="7"/>
      <c r="G272" s="7"/>
      <c r="H272" s="7"/>
      <c r="I272" s="7"/>
      <c r="J272" s="7"/>
      <c r="K272" s="29"/>
      <c r="L272" s="1096" t="s">
        <v>1659</v>
      </c>
      <c r="M272" s="1221"/>
      <c r="N272" s="1221"/>
      <c r="O272" s="1221"/>
      <c r="P272" s="1221"/>
      <c r="Q272" s="1221"/>
      <c r="R272" s="1221"/>
      <c r="S272" s="1221"/>
      <c r="T272" s="1221"/>
      <c r="U272" s="1221"/>
      <c r="V272" s="1221"/>
      <c r="W272" s="1221"/>
      <c r="X272" s="1221"/>
      <c r="Y272" s="1221"/>
      <c r="Z272" s="1221"/>
      <c r="AA272" s="1221"/>
      <c r="AB272" s="1221"/>
      <c r="AC272" s="1221"/>
      <c r="AD272" s="1221"/>
      <c r="AI272" s="7"/>
      <c r="AJ272" s="7"/>
      <c r="AK272" s="58"/>
      <c r="AL272" s="58"/>
      <c r="BA272" s="61"/>
    </row>
    <row r="273" spans="1:53" ht="12.75">
      <c r="D273" s="60" t="s">
        <v>95</v>
      </c>
      <c r="E273" s="7"/>
      <c r="F273" s="7"/>
      <c r="L273" s="1217" t="s">
        <v>1665</v>
      </c>
      <c r="M273" s="1101"/>
      <c r="N273" s="1101"/>
      <c r="O273" s="1101"/>
      <c r="P273" s="1101"/>
      <c r="Q273" s="1101"/>
      <c r="R273" s="7" t="s">
        <v>220</v>
      </c>
      <c r="S273" s="7"/>
      <c r="T273" s="1102"/>
      <c r="U273" s="1102"/>
      <c r="V273" s="1102"/>
      <c r="W273" s="7" t="s">
        <v>96</v>
      </c>
      <c r="Y273" s="1217" t="s">
        <v>1661</v>
      </c>
      <c r="Z273" s="1101"/>
      <c r="AA273" s="1101"/>
      <c r="AB273" s="1101"/>
      <c r="AC273" s="1101"/>
      <c r="AD273" s="1101"/>
      <c r="BA273" s="61"/>
    </row>
    <row r="274" spans="1:53" ht="12.75">
      <c r="D274" s="60" t="s">
        <v>97</v>
      </c>
      <c r="E274" s="7"/>
      <c r="F274" s="7"/>
      <c r="L274" s="1495" t="s">
        <v>1666</v>
      </c>
      <c r="M274" s="1495"/>
      <c r="N274" s="1495"/>
      <c r="O274" s="1495"/>
      <c r="P274" s="1495"/>
      <c r="Q274" s="1495"/>
      <c r="R274" s="1495"/>
      <c r="S274" s="1495"/>
      <c r="T274" s="1495"/>
      <c r="U274" s="1495"/>
      <c r="V274" s="1495"/>
      <c r="W274" s="1495"/>
      <c r="X274" s="1495"/>
      <c r="Y274" s="1495"/>
      <c r="Z274" s="1495"/>
      <c r="AA274" s="1495"/>
      <c r="AB274" s="1495"/>
      <c r="AC274" s="1495"/>
      <c r="AD274" s="1495"/>
      <c r="AF274" s="7"/>
      <c r="AG274" s="7"/>
      <c r="AH274" s="7"/>
      <c r="AI274" s="7"/>
      <c r="AJ274" s="7"/>
      <c r="BA274" s="61"/>
    </row>
    <row r="275" spans="1:53" ht="12.75">
      <c r="D275" s="58" t="s">
        <v>673</v>
      </c>
      <c r="E275" s="58"/>
      <c r="F275" s="58"/>
      <c r="G275" s="58"/>
      <c r="H275" s="58"/>
      <c r="I275" s="58"/>
      <c r="L275" s="1125" t="s">
        <v>1671</v>
      </c>
      <c r="M275" s="1125"/>
      <c r="N275" s="1125"/>
      <c r="O275" s="1125"/>
      <c r="P275" s="1125"/>
      <c r="Q275" s="1125"/>
      <c r="R275" s="1125"/>
      <c r="S275" s="1125"/>
      <c r="T275" s="1125"/>
      <c r="U275" s="1125"/>
      <c r="V275" s="1125"/>
      <c r="W275" s="1125"/>
      <c r="X275" s="1125"/>
      <c r="Y275" s="1125"/>
      <c r="Z275" s="1125"/>
      <c r="AA275" s="1125"/>
      <c r="AB275" s="1125"/>
      <c r="AC275" s="1125"/>
      <c r="AD275" s="1125"/>
      <c r="AK275" s="58"/>
      <c r="AL275" s="58"/>
      <c r="BA275" s="61"/>
    </row>
    <row r="276" spans="1:53" ht="12.75">
      <c r="L276" s="35" t="s">
        <v>674</v>
      </c>
      <c r="BA276" s="61"/>
    </row>
    <row r="277" spans="1:53" ht="12.75">
      <c r="A277" s="1261" t="s">
        <v>587</v>
      </c>
      <c r="B277" s="1261"/>
      <c r="C277" s="1261"/>
      <c r="D277" s="1261"/>
      <c r="E277" s="1261"/>
      <c r="F277" s="1261"/>
      <c r="G277" s="1261"/>
      <c r="H277" s="1261"/>
      <c r="I277" s="1261"/>
      <c r="J277" s="1261"/>
      <c r="K277" s="1261"/>
      <c r="L277" s="1261"/>
      <c r="M277" s="1261"/>
      <c r="N277" s="1261"/>
      <c r="O277" s="1261"/>
      <c r="P277" s="1261"/>
      <c r="Q277" s="1261"/>
      <c r="R277" s="1261"/>
      <c r="S277" s="1261"/>
      <c r="T277" s="1261"/>
      <c r="U277" s="1261"/>
      <c r="V277" s="1261"/>
      <c r="W277" s="1261"/>
      <c r="X277" s="1261"/>
      <c r="Y277" s="1261"/>
      <c r="Z277" s="1261"/>
      <c r="AA277" s="1261"/>
      <c r="AB277" s="1261"/>
      <c r="AC277" s="1261"/>
      <c r="AD277" s="1261"/>
      <c r="AE277" s="1261"/>
      <c r="AF277" s="1261"/>
      <c r="AG277" s="1261"/>
      <c r="AH277" s="1261"/>
      <c r="AI277" s="1261"/>
      <c r="AJ277" s="1261"/>
      <c r="AK277" s="1261"/>
      <c r="AL277" s="1261"/>
      <c r="BA277" s="61"/>
    </row>
    <row r="278" spans="1:53" ht="13.5" thickBot="1">
      <c r="A278" s="1262"/>
      <c r="B278" s="1262"/>
      <c r="C278" s="1262"/>
      <c r="D278" s="1262"/>
      <c r="E278" s="1262"/>
      <c r="F278" s="1262"/>
      <c r="G278" s="1262"/>
      <c r="H278" s="1262"/>
      <c r="I278" s="1262"/>
      <c r="J278" s="1262"/>
      <c r="K278" s="1262"/>
      <c r="L278" s="1262"/>
      <c r="M278" s="1262"/>
      <c r="N278" s="1262"/>
      <c r="O278" s="1262"/>
      <c r="P278" s="1262"/>
      <c r="Q278" s="1262"/>
      <c r="R278" s="1262"/>
      <c r="S278" s="1262"/>
      <c r="T278" s="1262"/>
      <c r="U278" s="1262"/>
      <c r="V278" s="1262"/>
      <c r="W278" s="1262"/>
      <c r="X278" s="1262"/>
      <c r="Y278" s="1262"/>
      <c r="Z278" s="1262"/>
      <c r="AA278" s="1262"/>
      <c r="AB278" s="1262"/>
      <c r="AC278" s="1262"/>
      <c r="AD278" s="1262"/>
      <c r="AE278" s="1262"/>
      <c r="AF278" s="1262"/>
      <c r="AG278" s="1262"/>
      <c r="AH278" s="1262"/>
      <c r="AI278" s="1262"/>
      <c r="AJ278" s="1262"/>
      <c r="AK278" s="1262"/>
      <c r="AL278" s="126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6" t="s">
        <v>1672</v>
      </c>
      <c r="I282" s="1098"/>
      <c r="J282" s="1098"/>
      <c r="K282" s="1098"/>
      <c r="L282" s="1098"/>
      <c r="M282" s="1098"/>
      <c r="N282" s="1098"/>
      <c r="O282" s="1098"/>
      <c r="P282" s="1098"/>
      <c r="Q282" s="1098"/>
      <c r="R282" s="1098"/>
      <c r="T282" s="58" t="s">
        <v>615</v>
      </c>
      <c r="V282" s="58"/>
      <c r="W282" s="58"/>
      <c r="X282" s="58"/>
      <c r="Y282" s="58"/>
      <c r="AA282" s="1098" t="s">
        <v>1675</v>
      </c>
      <c r="AB282" s="1098"/>
      <c r="AC282" s="1098"/>
      <c r="AD282" s="1098"/>
      <c r="AE282" s="1098"/>
      <c r="AF282" s="1098"/>
      <c r="AG282" s="1098"/>
      <c r="AH282" s="1098"/>
      <c r="AI282" s="1098"/>
      <c r="AJ282" s="1098"/>
      <c r="AK282" s="1098"/>
      <c r="BA282" s="61"/>
    </row>
    <row r="283" spans="1:53" ht="12.75" customHeight="1">
      <c r="B283" s="58" t="s">
        <v>517</v>
      </c>
      <c r="C283" s="58"/>
      <c r="D283" s="58"/>
      <c r="E283" s="58"/>
      <c r="F283" s="58"/>
      <c r="H283" s="1119" t="s">
        <v>1673</v>
      </c>
      <c r="I283" s="1119"/>
      <c r="J283" s="1119"/>
      <c r="K283" s="1119"/>
      <c r="L283" s="1119"/>
      <c r="M283" s="1119"/>
      <c r="N283" s="1119"/>
      <c r="O283" s="1119"/>
      <c r="P283" s="1119"/>
      <c r="Q283" s="1119"/>
      <c r="R283" s="1119"/>
      <c r="T283" s="58" t="s">
        <v>517</v>
      </c>
      <c r="V283" s="58"/>
      <c r="W283" s="58"/>
      <c r="X283" s="58"/>
      <c r="Y283" s="58"/>
      <c r="AA283" s="1119" t="s">
        <v>1676</v>
      </c>
      <c r="AB283" s="1119"/>
      <c r="AC283" s="1119"/>
      <c r="AD283" s="1119"/>
      <c r="AE283" s="1119"/>
      <c r="AF283" s="1119"/>
      <c r="AG283" s="1119"/>
      <c r="AH283" s="1119"/>
      <c r="AI283" s="1119"/>
      <c r="AJ283" s="1119"/>
      <c r="AK283" s="1119"/>
      <c r="BA283" s="61"/>
    </row>
    <row r="284" spans="1:53" ht="12.75" customHeight="1">
      <c r="B284" s="58" t="s">
        <v>518</v>
      </c>
      <c r="C284" s="58"/>
      <c r="D284" s="58"/>
      <c r="E284" s="58"/>
      <c r="F284" s="58"/>
      <c r="H284" s="1119" t="s">
        <v>1674</v>
      </c>
      <c r="I284" s="1119"/>
      <c r="J284" s="1119"/>
      <c r="K284" s="1119"/>
      <c r="L284" s="1119"/>
      <c r="M284" s="1119"/>
      <c r="N284" s="1119"/>
      <c r="O284" s="1119"/>
      <c r="P284" s="1119"/>
      <c r="Q284" s="1119"/>
      <c r="R284" s="1119"/>
      <c r="T284" s="58" t="s">
        <v>81</v>
      </c>
      <c r="V284" s="58"/>
      <c r="W284" s="58"/>
      <c r="X284" s="58"/>
      <c r="Y284" s="58"/>
      <c r="AA284" s="1119" t="s">
        <v>1677</v>
      </c>
      <c r="AB284" s="1119"/>
      <c r="AC284" s="1119"/>
      <c r="AD284" s="1119"/>
      <c r="AE284" s="1119"/>
      <c r="AF284" s="1119"/>
      <c r="AG284" s="1119"/>
      <c r="AH284" s="1119"/>
      <c r="AI284" s="1119"/>
      <c r="AJ284" s="1119"/>
      <c r="AK284" s="1119"/>
      <c r="BA284" s="61"/>
    </row>
    <row r="285" spans="1:53" ht="12.75" customHeight="1">
      <c r="B285" s="58" t="s">
        <v>94</v>
      </c>
      <c r="C285" s="58"/>
      <c r="D285" s="58"/>
      <c r="E285" s="58"/>
      <c r="F285" s="58"/>
      <c r="H285" s="1125" t="s">
        <v>1659</v>
      </c>
      <c r="I285" s="1119"/>
      <c r="J285" s="1119"/>
      <c r="K285" s="1119"/>
      <c r="L285" s="1119"/>
      <c r="M285" s="1119"/>
      <c r="N285" s="1119"/>
      <c r="O285" s="1119"/>
      <c r="P285" s="1119"/>
      <c r="Q285" s="1119"/>
      <c r="R285" s="1119"/>
      <c r="T285" s="58" t="s">
        <v>94</v>
      </c>
      <c r="V285" s="58"/>
      <c r="W285" s="58"/>
      <c r="X285" s="58"/>
      <c r="Y285" s="58"/>
      <c r="AA285" s="1119" t="s">
        <v>1678</v>
      </c>
      <c r="AB285" s="1119"/>
      <c r="AC285" s="1119"/>
      <c r="AD285" s="1119"/>
      <c r="AE285" s="1119"/>
      <c r="AF285" s="1119"/>
      <c r="AG285" s="1119"/>
      <c r="AH285" s="1119"/>
      <c r="AI285" s="1119"/>
      <c r="AJ285" s="1119"/>
      <c r="AK285" s="1119"/>
      <c r="BA285" s="61"/>
    </row>
    <row r="286" spans="1:53" ht="12.75" customHeight="1">
      <c r="B286" s="58" t="s">
        <v>95</v>
      </c>
      <c r="C286" s="58"/>
      <c r="D286" s="58"/>
      <c r="E286" s="58"/>
      <c r="F286" s="58"/>
      <c r="G286" s="58"/>
      <c r="H286" s="1120">
        <v>8586792464</v>
      </c>
      <c r="I286" s="1120"/>
      <c r="J286" s="1120"/>
      <c r="K286" s="1120"/>
      <c r="L286" s="1120"/>
      <c r="M286" s="1120"/>
      <c r="N286" s="7" t="s">
        <v>220</v>
      </c>
      <c r="O286" s="7"/>
      <c r="P286" s="1221"/>
      <c r="Q286" s="1221"/>
      <c r="R286" s="1221"/>
      <c r="S286" s="58"/>
      <c r="T286" s="58" t="s">
        <v>95</v>
      </c>
      <c r="V286" s="58"/>
      <c r="W286" s="58"/>
      <c r="X286" s="58"/>
      <c r="Y286" s="58"/>
      <c r="AA286" s="1120">
        <v>2136146145</v>
      </c>
      <c r="AB286" s="1120"/>
      <c r="AC286" s="1120"/>
      <c r="AD286" s="1120"/>
      <c r="AE286" s="1120"/>
      <c r="AF286" s="1120"/>
      <c r="AG286" s="7" t="s">
        <v>220</v>
      </c>
      <c r="AH286" s="7"/>
      <c r="AI286" s="1221"/>
      <c r="AJ286" s="1221"/>
      <c r="AK286" s="1221"/>
      <c r="BA286" s="61"/>
    </row>
    <row r="287" spans="1:53" ht="12.75">
      <c r="B287" s="58" t="s">
        <v>96</v>
      </c>
      <c r="C287" s="58"/>
      <c r="D287" s="58"/>
      <c r="E287" s="58"/>
      <c r="F287" s="58"/>
      <c r="G287" s="58"/>
      <c r="H287" s="1217">
        <v>8586799076</v>
      </c>
      <c r="I287" s="1217"/>
      <c r="J287" s="1217"/>
      <c r="K287" s="1217"/>
      <c r="L287" s="1217"/>
      <c r="M287" s="1217"/>
      <c r="N287" s="60"/>
      <c r="O287" s="60"/>
      <c r="P287" s="62"/>
      <c r="Q287" s="62"/>
      <c r="R287" s="62"/>
      <c r="S287" s="58"/>
      <c r="T287" s="58" t="s">
        <v>96</v>
      </c>
      <c r="V287" s="58"/>
      <c r="W287" s="58"/>
      <c r="X287" s="58"/>
      <c r="Y287" s="58"/>
      <c r="AA287" s="1217">
        <v>2136146051</v>
      </c>
      <c r="AB287" s="1217"/>
      <c r="AC287" s="1217"/>
      <c r="AD287" s="1217"/>
      <c r="AE287" s="1217"/>
      <c r="AF287" s="1217"/>
      <c r="AG287" s="60"/>
      <c r="AH287" s="60"/>
      <c r="AI287" s="62"/>
      <c r="AJ287" s="62"/>
      <c r="AK287" s="62"/>
      <c r="BA287" s="61"/>
    </row>
    <row r="288" spans="1:53" ht="12.75">
      <c r="B288" s="58" t="s">
        <v>82</v>
      </c>
      <c r="C288" s="58"/>
      <c r="D288" s="58"/>
      <c r="E288" s="58"/>
      <c r="F288" s="58"/>
      <c r="G288" s="58"/>
      <c r="H288" s="1125" t="s">
        <v>1666</v>
      </c>
      <c r="I288" s="1119"/>
      <c r="J288" s="1119"/>
      <c r="K288" s="1119"/>
      <c r="L288" s="1119"/>
      <c r="M288" s="1119"/>
      <c r="N288" s="1098"/>
      <c r="O288" s="1098"/>
      <c r="P288" s="1098"/>
      <c r="Q288" s="1098"/>
      <c r="R288" s="1098"/>
      <c r="S288" s="58"/>
      <c r="T288" s="58" t="s">
        <v>82</v>
      </c>
      <c r="V288" s="58"/>
      <c r="W288" s="58"/>
      <c r="X288" s="58"/>
      <c r="Y288" s="58"/>
      <c r="AA288" s="1119" t="s">
        <v>1679</v>
      </c>
      <c r="AB288" s="1119"/>
      <c r="AC288" s="1119"/>
      <c r="AD288" s="1119"/>
      <c r="AE288" s="1119"/>
      <c r="AF288" s="1119"/>
      <c r="AG288" s="1098"/>
      <c r="AH288" s="1098"/>
      <c r="AI288" s="1098"/>
      <c r="AJ288" s="1098"/>
      <c r="AK288" s="109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8" t="s">
        <v>1680</v>
      </c>
      <c r="I290" s="1098"/>
      <c r="J290" s="1098"/>
      <c r="K290" s="1098"/>
      <c r="L290" s="1098"/>
      <c r="M290" s="1098"/>
      <c r="N290" s="1098"/>
      <c r="O290" s="1098"/>
      <c r="P290" s="1098"/>
      <c r="Q290" s="1098"/>
      <c r="R290" s="1098"/>
      <c r="T290" s="58" t="s">
        <v>388</v>
      </c>
      <c r="V290" s="58"/>
      <c r="W290" s="58"/>
      <c r="X290" s="58"/>
      <c r="Y290" s="58"/>
      <c r="AA290" s="1096" t="s">
        <v>1685</v>
      </c>
      <c r="AB290" s="1098"/>
      <c r="AC290" s="1098"/>
      <c r="AD290" s="1098"/>
      <c r="AE290" s="1098"/>
      <c r="AF290" s="1098"/>
      <c r="AG290" s="1098"/>
      <c r="AH290" s="1098"/>
      <c r="AI290" s="1098"/>
      <c r="AJ290" s="1098"/>
      <c r="AK290" s="1098"/>
      <c r="BA290" s="61"/>
    </row>
    <row r="291" spans="2:53" ht="12.75">
      <c r="B291" s="58" t="s">
        <v>517</v>
      </c>
      <c r="C291" s="58"/>
      <c r="D291" s="58"/>
      <c r="E291" s="58"/>
      <c r="F291" s="58"/>
      <c r="H291" s="1119" t="s">
        <v>1681</v>
      </c>
      <c r="I291" s="1119"/>
      <c r="J291" s="1119"/>
      <c r="K291" s="1119"/>
      <c r="L291" s="1119"/>
      <c r="M291" s="1119"/>
      <c r="N291" s="1119"/>
      <c r="O291" s="1119"/>
      <c r="P291" s="1119"/>
      <c r="Q291" s="1119"/>
      <c r="R291" s="1119"/>
      <c r="T291" s="58" t="s">
        <v>517</v>
      </c>
      <c r="V291" s="58"/>
      <c r="W291" s="58"/>
      <c r="X291" s="58"/>
      <c r="Y291" s="58"/>
      <c r="AA291" s="1119"/>
      <c r="AB291" s="1119"/>
      <c r="AC291" s="1119"/>
      <c r="AD291" s="1119"/>
      <c r="AE291" s="1119"/>
      <c r="AF291" s="1119"/>
      <c r="AG291" s="1119"/>
      <c r="AH291" s="1119"/>
      <c r="AI291" s="1119"/>
      <c r="AJ291" s="1119"/>
      <c r="AK291" s="1119"/>
      <c r="BA291" s="61"/>
    </row>
    <row r="292" spans="2:53" ht="12.75">
      <c r="B292" s="58" t="s">
        <v>518</v>
      </c>
      <c r="C292" s="58"/>
      <c r="D292" s="58"/>
      <c r="E292" s="58"/>
      <c r="F292" s="58"/>
      <c r="H292" s="1119" t="s">
        <v>1682</v>
      </c>
      <c r="I292" s="1119"/>
      <c r="J292" s="1119"/>
      <c r="K292" s="1119"/>
      <c r="L292" s="1119"/>
      <c r="M292" s="1119"/>
      <c r="N292" s="1119"/>
      <c r="O292" s="1119"/>
      <c r="P292" s="1119"/>
      <c r="Q292" s="1119"/>
      <c r="R292" s="1119"/>
      <c r="T292" s="58" t="s">
        <v>81</v>
      </c>
      <c r="V292" s="58"/>
      <c r="W292" s="58"/>
      <c r="X292" s="58"/>
      <c r="Y292" s="58"/>
      <c r="AA292" s="1119"/>
      <c r="AB292" s="1119"/>
      <c r="AC292" s="1119"/>
      <c r="AD292" s="1119"/>
      <c r="AE292" s="1119"/>
      <c r="AF292" s="1119"/>
      <c r="AG292" s="1119"/>
      <c r="AH292" s="1119"/>
      <c r="AI292" s="1119"/>
      <c r="AJ292" s="1119"/>
      <c r="AK292" s="1119"/>
      <c r="BA292" s="61"/>
    </row>
    <row r="293" spans="2:53" ht="12.75" customHeight="1">
      <c r="B293" s="58" t="s">
        <v>94</v>
      </c>
      <c r="C293" s="58"/>
      <c r="D293" s="58"/>
      <c r="E293" s="58"/>
      <c r="F293" s="58"/>
      <c r="H293" s="1119" t="s">
        <v>1683</v>
      </c>
      <c r="I293" s="1119"/>
      <c r="J293" s="1119"/>
      <c r="K293" s="1119"/>
      <c r="L293" s="1119"/>
      <c r="M293" s="1119"/>
      <c r="N293" s="1119"/>
      <c r="O293" s="1119"/>
      <c r="P293" s="1119"/>
      <c r="Q293" s="1119"/>
      <c r="R293" s="1119"/>
      <c r="T293" s="58" t="s">
        <v>94</v>
      </c>
      <c r="V293" s="58"/>
      <c r="W293" s="58"/>
      <c r="X293" s="58"/>
      <c r="Y293" s="58"/>
      <c r="AA293" s="1119"/>
      <c r="AB293" s="1119"/>
      <c r="AC293" s="1119"/>
      <c r="AD293" s="1119"/>
      <c r="AE293" s="1119"/>
      <c r="AF293" s="1119"/>
      <c r="AG293" s="1119"/>
      <c r="AH293" s="1119"/>
      <c r="AI293" s="1119"/>
      <c r="AJ293" s="1119"/>
      <c r="AK293" s="1119"/>
      <c r="BA293" s="61"/>
    </row>
    <row r="294" spans="2:53" ht="12.75" customHeight="1">
      <c r="B294" s="58" t="s">
        <v>95</v>
      </c>
      <c r="C294" s="58"/>
      <c r="D294" s="58"/>
      <c r="E294" s="58"/>
      <c r="F294" s="58"/>
      <c r="G294" s="58"/>
      <c r="H294" s="1120">
        <v>3129025284</v>
      </c>
      <c r="I294" s="1120"/>
      <c r="J294" s="1120"/>
      <c r="K294" s="1120"/>
      <c r="L294" s="1120"/>
      <c r="M294" s="1120"/>
      <c r="N294" s="7" t="s">
        <v>220</v>
      </c>
      <c r="O294" s="7"/>
      <c r="P294" s="1221"/>
      <c r="Q294" s="1221"/>
      <c r="R294" s="1221"/>
      <c r="S294" s="58"/>
      <c r="T294" s="58" t="s">
        <v>95</v>
      </c>
      <c r="V294" s="58"/>
      <c r="W294" s="58"/>
      <c r="X294" s="58"/>
      <c r="Y294" s="58"/>
      <c r="AA294" s="1121"/>
      <c r="AB294" s="1121"/>
      <c r="AC294" s="1121"/>
      <c r="AD294" s="1121"/>
      <c r="AE294" s="1121"/>
      <c r="AF294" s="1121"/>
      <c r="AG294" s="7" t="s">
        <v>220</v>
      </c>
      <c r="AH294" s="7"/>
      <c r="AI294" s="1221"/>
      <c r="AJ294" s="1221"/>
      <c r="AK294" s="1221"/>
      <c r="BA294" s="61"/>
    </row>
    <row r="295" spans="2:53" ht="12.75" customHeight="1">
      <c r="B295" s="58" t="s">
        <v>96</v>
      </c>
      <c r="C295" s="58"/>
      <c r="D295" s="58"/>
      <c r="E295" s="58"/>
      <c r="F295" s="58"/>
      <c r="G295" s="58"/>
      <c r="H295" s="1101"/>
      <c r="I295" s="1101"/>
      <c r="J295" s="1101"/>
      <c r="K295" s="1101"/>
      <c r="L295" s="1101"/>
      <c r="M295" s="1101"/>
      <c r="N295" s="60"/>
      <c r="O295" s="60"/>
      <c r="P295" s="62"/>
      <c r="Q295" s="62"/>
      <c r="R295" s="62"/>
      <c r="S295" s="58"/>
      <c r="T295" s="58" t="s">
        <v>96</v>
      </c>
      <c r="V295" s="58"/>
      <c r="W295" s="58"/>
      <c r="X295" s="58"/>
      <c r="Y295" s="58"/>
      <c r="AA295" s="1101"/>
      <c r="AB295" s="1101"/>
      <c r="AC295" s="1101"/>
      <c r="AD295" s="1101"/>
      <c r="AE295" s="1101"/>
      <c r="AF295" s="1101"/>
      <c r="AG295" s="60"/>
      <c r="AH295" s="60"/>
      <c r="AI295" s="62"/>
      <c r="AJ295" s="62"/>
      <c r="AK295" s="62"/>
      <c r="BA295" s="61"/>
    </row>
    <row r="296" spans="2:53" ht="12.75" customHeight="1">
      <c r="B296" s="58" t="s">
        <v>82</v>
      </c>
      <c r="C296" s="58"/>
      <c r="D296" s="58"/>
      <c r="E296" s="58"/>
      <c r="F296" s="58"/>
      <c r="G296" s="58"/>
      <c r="H296" s="1125" t="s">
        <v>1684</v>
      </c>
      <c r="I296" s="1119"/>
      <c r="J296" s="1119"/>
      <c r="K296" s="1119"/>
      <c r="L296" s="1119"/>
      <c r="M296" s="1119"/>
      <c r="N296" s="1098"/>
      <c r="O296" s="1098"/>
      <c r="P296" s="1098"/>
      <c r="Q296" s="1098"/>
      <c r="R296" s="1098"/>
      <c r="S296" s="58"/>
      <c r="T296" s="58" t="s">
        <v>82</v>
      </c>
      <c r="V296" s="58"/>
      <c r="W296" s="58"/>
      <c r="X296" s="58"/>
      <c r="Y296" s="58"/>
      <c r="AA296" s="1119"/>
      <c r="AB296" s="1119"/>
      <c r="AC296" s="1119"/>
      <c r="AD296" s="1119"/>
      <c r="AE296" s="1119"/>
      <c r="AF296" s="1119"/>
      <c r="AG296" s="1098"/>
      <c r="AH296" s="1098"/>
      <c r="AI296" s="1098"/>
      <c r="AJ296" s="1098"/>
      <c r="AK296" s="1098"/>
      <c r="BA296" s="61"/>
    </row>
    <row r="297" spans="2:53" ht="12.75">
      <c r="BA297" s="61"/>
    </row>
    <row r="298" spans="2:53" ht="12.75">
      <c r="B298" s="58" t="s">
        <v>83</v>
      </c>
      <c r="C298" s="58"/>
      <c r="D298" s="58"/>
      <c r="E298" s="58"/>
      <c r="F298" s="58"/>
      <c r="H298" s="1098" t="s">
        <v>1686</v>
      </c>
      <c r="I298" s="1098"/>
      <c r="J298" s="1098"/>
      <c r="K298" s="1098"/>
      <c r="L298" s="1098"/>
      <c r="M298" s="1098"/>
      <c r="N298" s="1098"/>
      <c r="O298" s="1098"/>
      <c r="P298" s="1098"/>
      <c r="Q298" s="1098"/>
      <c r="R298" s="1098"/>
      <c r="T298" s="7" t="s">
        <v>972</v>
      </c>
      <c r="V298" s="58"/>
      <c r="W298" s="58"/>
      <c r="X298" s="58"/>
      <c r="Y298" s="58"/>
      <c r="AA298" s="1096" t="s">
        <v>1701</v>
      </c>
      <c r="AB298" s="1098"/>
      <c r="AC298" s="1098"/>
      <c r="AD298" s="1098"/>
      <c r="AE298" s="1098"/>
      <c r="AF298" s="1098"/>
      <c r="AG298" s="1098"/>
      <c r="AH298" s="1098"/>
      <c r="AI298" s="1098"/>
      <c r="AJ298" s="1098"/>
      <c r="AK298" s="1098"/>
      <c r="BA298" s="61"/>
    </row>
    <row r="299" spans="2:53" ht="12.75">
      <c r="B299" s="58" t="s">
        <v>517</v>
      </c>
      <c r="C299" s="58"/>
      <c r="D299" s="58"/>
      <c r="E299" s="58"/>
      <c r="F299" s="58"/>
      <c r="H299" s="1119" t="s">
        <v>1687</v>
      </c>
      <c r="I299" s="1119"/>
      <c r="J299" s="1119"/>
      <c r="K299" s="1119"/>
      <c r="L299" s="1119"/>
      <c r="M299" s="1119"/>
      <c r="N299" s="1119"/>
      <c r="O299" s="1119"/>
      <c r="P299" s="1119"/>
      <c r="Q299" s="1119"/>
      <c r="R299" s="1119"/>
      <c r="T299" s="58" t="s">
        <v>517</v>
      </c>
      <c r="V299" s="58"/>
      <c r="W299" s="58"/>
      <c r="X299" s="58"/>
      <c r="Y299" s="58"/>
      <c r="AA299" s="1125" t="s">
        <v>1702</v>
      </c>
      <c r="AB299" s="1119"/>
      <c r="AC299" s="1119"/>
      <c r="AD299" s="1119"/>
      <c r="AE299" s="1119"/>
      <c r="AF299" s="1119"/>
      <c r="AG299" s="1119"/>
      <c r="AH299" s="1119"/>
      <c r="AI299" s="1119"/>
      <c r="AJ299" s="1119"/>
      <c r="AK299" s="1119"/>
      <c r="BA299" s="61"/>
    </row>
    <row r="300" spans="2:53" ht="12.75">
      <c r="B300" s="58" t="s">
        <v>518</v>
      </c>
      <c r="C300" s="58"/>
      <c r="D300" s="58"/>
      <c r="E300" s="58"/>
      <c r="F300" s="58"/>
      <c r="H300" s="1119" t="s">
        <v>1688</v>
      </c>
      <c r="I300" s="1119"/>
      <c r="J300" s="1119"/>
      <c r="K300" s="1119"/>
      <c r="L300" s="1119"/>
      <c r="M300" s="1119"/>
      <c r="N300" s="1119"/>
      <c r="O300" s="1119"/>
      <c r="P300" s="1119"/>
      <c r="Q300" s="1119"/>
      <c r="R300" s="1119"/>
      <c r="T300" s="58" t="s">
        <v>81</v>
      </c>
      <c r="V300" s="58"/>
      <c r="W300" s="58"/>
      <c r="X300" s="58"/>
      <c r="Y300" s="58"/>
      <c r="AA300" s="1125" t="s">
        <v>1703</v>
      </c>
      <c r="AB300" s="1119"/>
      <c r="AC300" s="1119"/>
      <c r="AD300" s="1119"/>
      <c r="AE300" s="1119"/>
      <c r="AF300" s="1119"/>
      <c r="AG300" s="1119"/>
      <c r="AH300" s="1119"/>
      <c r="AI300" s="1119"/>
      <c r="AJ300" s="1119"/>
      <c r="AK300" s="1119"/>
      <c r="BA300" s="61"/>
    </row>
    <row r="301" spans="2:53" ht="12.75">
      <c r="B301" s="58" t="s">
        <v>94</v>
      </c>
      <c r="C301" s="58"/>
      <c r="D301" s="58"/>
      <c r="E301" s="58"/>
      <c r="F301" s="58"/>
      <c r="H301" s="1119" t="s">
        <v>1689</v>
      </c>
      <c r="I301" s="1119"/>
      <c r="J301" s="1119"/>
      <c r="K301" s="1119"/>
      <c r="L301" s="1119"/>
      <c r="M301" s="1119"/>
      <c r="N301" s="1119"/>
      <c r="O301" s="1119"/>
      <c r="P301" s="1119"/>
      <c r="Q301" s="1119"/>
      <c r="R301" s="1119"/>
      <c r="T301" s="58" t="s">
        <v>94</v>
      </c>
      <c r="V301" s="58"/>
      <c r="W301" s="58"/>
      <c r="X301" s="58"/>
      <c r="Y301" s="58"/>
      <c r="AA301" s="1125" t="s">
        <v>1704</v>
      </c>
      <c r="AB301" s="1119"/>
      <c r="AC301" s="1119"/>
      <c r="AD301" s="1119"/>
      <c r="AE301" s="1119"/>
      <c r="AF301" s="1119"/>
      <c r="AG301" s="1119"/>
      <c r="AH301" s="1119"/>
      <c r="AI301" s="1119"/>
      <c r="AJ301" s="1119"/>
      <c r="AK301" s="1119"/>
      <c r="BA301" s="61"/>
    </row>
    <row r="302" spans="2:53" ht="12.75">
      <c r="B302" s="58" t="s">
        <v>95</v>
      </c>
      <c r="C302" s="58"/>
      <c r="D302" s="58"/>
      <c r="E302" s="58"/>
      <c r="F302" s="58"/>
      <c r="G302" s="58"/>
      <c r="H302" s="1120">
        <v>9259494222</v>
      </c>
      <c r="I302" s="1120"/>
      <c r="J302" s="1120"/>
      <c r="K302" s="1120"/>
      <c r="L302" s="1120"/>
      <c r="M302" s="1120"/>
      <c r="N302" s="7" t="s">
        <v>220</v>
      </c>
      <c r="O302" s="7"/>
      <c r="P302" s="1221"/>
      <c r="Q302" s="1221"/>
      <c r="R302" s="1221"/>
      <c r="S302" s="58"/>
      <c r="T302" s="58" t="s">
        <v>95</v>
      </c>
      <c r="V302" s="58"/>
      <c r="W302" s="58"/>
      <c r="X302" s="58"/>
      <c r="Y302" s="58"/>
      <c r="AA302" s="1120" t="s">
        <v>1705</v>
      </c>
      <c r="AB302" s="1121"/>
      <c r="AC302" s="1121"/>
      <c r="AD302" s="1121"/>
      <c r="AE302" s="1121"/>
      <c r="AF302" s="1121"/>
      <c r="AG302" s="7" t="s">
        <v>220</v>
      </c>
      <c r="AH302" s="7"/>
      <c r="AI302" s="1221"/>
      <c r="AJ302" s="1221"/>
      <c r="AK302" s="1221"/>
      <c r="BA302" s="61"/>
    </row>
    <row r="303" spans="2:53" ht="12.75">
      <c r="B303" s="58" t="s">
        <v>96</v>
      </c>
      <c r="C303" s="58"/>
      <c r="D303" s="58"/>
      <c r="E303" s="58"/>
      <c r="F303" s="58"/>
      <c r="G303" s="58"/>
      <c r="H303" s="1217">
        <v>9259494301</v>
      </c>
      <c r="I303" s="1217"/>
      <c r="J303" s="1217"/>
      <c r="K303" s="1217"/>
      <c r="L303" s="1217"/>
      <c r="M303" s="1217"/>
      <c r="N303" s="60"/>
      <c r="O303" s="60"/>
      <c r="P303" s="62"/>
      <c r="Q303" s="62"/>
      <c r="R303" s="62"/>
      <c r="S303" s="58"/>
      <c r="T303" s="58" t="s">
        <v>96</v>
      </c>
      <c r="V303" s="58"/>
      <c r="W303" s="58"/>
      <c r="X303" s="58"/>
      <c r="Y303" s="58"/>
      <c r="AA303" s="1217" t="s">
        <v>1706</v>
      </c>
      <c r="AB303" s="1101"/>
      <c r="AC303" s="1101"/>
      <c r="AD303" s="1101"/>
      <c r="AE303" s="1101"/>
      <c r="AF303" s="1101"/>
      <c r="AG303" s="60"/>
      <c r="AH303" s="60"/>
      <c r="AI303" s="62"/>
      <c r="AJ303" s="62"/>
      <c r="AK303" s="62"/>
      <c r="BA303" s="61"/>
    </row>
    <row r="304" spans="2:53" ht="12.75">
      <c r="B304" s="58" t="s">
        <v>82</v>
      </c>
      <c r="C304" s="58"/>
      <c r="D304" s="58"/>
      <c r="E304" s="58"/>
      <c r="F304" s="58"/>
      <c r="G304" s="58"/>
      <c r="H304" s="1119" t="s">
        <v>1690</v>
      </c>
      <c r="I304" s="1119"/>
      <c r="J304" s="1119"/>
      <c r="K304" s="1119"/>
      <c r="L304" s="1119"/>
      <c r="M304" s="1119"/>
      <c r="N304" s="1098"/>
      <c r="O304" s="1098"/>
      <c r="P304" s="1098"/>
      <c r="Q304" s="1098"/>
      <c r="R304" s="1098"/>
      <c r="S304" s="58"/>
      <c r="T304" s="58" t="s">
        <v>82</v>
      </c>
      <c r="V304" s="58"/>
      <c r="W304" s="58"/>
      <c r="X304" s="58"/>
      <c r="Y304" s="58"/>
      <c r="AA304" s="1125" t="s">
        <v>1707</v>
      </c>
      <c r="AB304" s="1119"/>
      <c r="AC304" s="1119"/>
      <c r="AD304" s="1119"/>
      <c r="AE304" s="1119"/>
      <c r="AF304" s="1119"/>
      <c r="AG304" s="1098"/>
      <c r="AH304" s="1098"/>
      <c r="AI304" s="1098"/>
      <c r="AJ304" s="1098"/>
      <c r="AK304" s="109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8" t="s">
        <v>1686</v>
      </c>
      <c r="I306" s="1098"/>
      <c r="J306" s="1098"/>
      <c r="K306" s="1098"/>
      <c r="L306" s="1098"/>
      <c r="M306" s="1098"/>
      <c r="N306" s="1098"/>
      <c r="O306" s="1098"/>
      <c r="P306" s="1098"/>
      <c r="Q306" s="1098"/>
      <c r="R306" s="1098"/>
      <c r="S306" s="58"/>
      <c r="T306" s="58" t="s">
        <v>389</v>
      </c>
      <c r="V306" s="58"/>
      <c r="W306" s="58"/>
      <c r="X306" s="58"/>
      <c r="Y306" s="58"/>
      <c r="AA306" s="1096" t="s">
        <v>1708</v>
      </c>
      <c r="AB306" s="1098"/>
      <c r="AC306" s="1098"/>
      <c r="AD306" s="1098"/>
      <c r="AE306" s="1098"/>
      <c r="AF306" s="1098"/>
      <c r="AG306" s="1098"/>
      <c r="AH306" s="1098"/>
      <c r="AI306" s="1098"/>
      <c r="AJ306" s="1098"/>
      <c r="AK306" s="1098"/>
      <c r="BA306" s="61"/>
    </row>
    <row r="307" spans="1:53" ht="12.75">
      <c r="B307" s="58" t="s">
        <v>517</v>
      </c>
      <c r="C307" s="58"/>
      <c r="D307" s="58"/>
      <c r="E307" s="58"/>
      <c r="F307" s="58"/>
      <c r="H307" s="1119" t="s">
        <v>1687</v>
      </c>
      <c r="I307" s="1119"/>
      <c r="J307" s="1119"/>
      <c r="K307" s="1119"/>
      <c r="L307" s="1119"/>
      <c r="M307" s="1119"/>
      <c r="N307" s="1119"/>
      <c r="O307" s="1119"/>
      <c r="P307" s="1119"/>
      <c r="Q307" s="1119"/>
      <c r="R307" s="1119"/>
      <c r="S307" s="58"/>
      <c r="T307" s="58" t="s">
        <v>517</v>
      </c>
      <c r="V307" s="58"/>
      <c r="W307" s="58"/>
      <c r="X307" s="58"/>
      <c r="Y307" s="58"/>
      <c r="AA307" s="1125" t="s">
        <v>1709</v>
      </c>
      <c r="AB307" s="1119"/>
      <c r="AC307" s="1119"/>
      <c r="AD307" s="1119"/>
      <c r="AE307" s="1119"/>
      <c r="AF307" s="1119"/>
      <c r="AG307" s="1119"/>
      <c r="AH307" s="1119"/>
      <c r="AI307" s="1119"/>
      <c r="AJ307" s="1119"/>
      <c r="AK307" s="1119"/>
      <c r="BA307" s="61"/>
    </row>
    <row r="308" spans="1:53" ht="12.75">
      <c r="B308" s="58" t="s">
        <v>518</v>
      </c>
      <c r="C308" s="58"/>
      <c r="D308" s="58"/>
      <c r="E308" s="58"/>
      <c r="F308" s="58"/>
      <c r="H308" s="1119" t="s">
        <v>1688</v>
      </c>
      <c r="I308" s="1119"/>
      <c r="J308" s="1119"/>
      <c r="K308" s="1119"/>
      <c r="L308" s="1119"/>
      <c r="M308" s="1119"/>
      <c r="N308" s="1119"/>
      <c r="O308" s="1119"/>
      <c r="P308" s="1119"/>
      <c r="Q308" s="1119"/>
      <c r="R308" s="1119"/>
      <c r="S308" s="58"/>
      <c r="T308" s="58" t="s">
        <v>81</v>
      </c>
      <c r="V308" s="58"/>
      <c r="W308" s="58"/>
      <c r="X308" s="58"/>
      <c r="Y308" s="58"/>
      <c r="AA308" s="1125" t="s">
        <v>1710</v>
      </c>
      <c r="AB308" s="1119"/>
      <c r="AC308" s="1119"/>
      <c r="AD308" s="1119"/>
      <c r="AE308" s="1119"/>
      <c r="AF308" s="1119"/>
      <c r="AG308" s="1119"/>
      <c r="AH308" s="1119"/>
      <c r="AI308" s="1119"/>
      <c r="AJ308" s="1119"/>
      <c r="AK308" s="1119"/>
      <c r="BA308" s="61"/>
    </row>
    <row r="309" spans="1:53" ht="12.75">
      <c r="B309" s="58" t="s">
        <v>94</v>
      </c>
      <c r="C309" s="58"/>
      <c r="D309" s="58"/>
      <c r="E309" s="58"/>
      <c r="F309" s="58"/>
      <c r="H309" s="1119" t="s">
        <v>1689</v>
      </c>
      <c r="I309" s="1119"/>
      <c r="J309" s="1119"/>
      <c r="K309" s="1119"/>
      <c r="L309" s="1119"/>
      <c r="M309" s="1119"/>
      <c r="N309" s="1119"/>
      <c r="O309" s="1119"/>
      <c r="P309" s="1119"/>
      <c r="Q309" s="1119"/>
      <c r="R309" s="1119"/>
      <c r="S309" s="58"/>
      <c r="T309" s="58" t="s">
        <v>94</v>
      </c>
      <c r="V309" s="58"/>
      <c r="W309" s="58"/>
      <c r="X309" s="58"/>
      <c r="Y309" s="58"/>
      <c r="AA309" s="1125" t="s">
        <v>1713</v>
      </c>
      <c r="AB309" s="1119"/>
      <c r="AC309" s="1119"/>
      <c r="AD309" s="1119"/>
      <c r="AE309" s="1119"/>
      <c r="AF309" s="1119"/>
      <c r="AG309" s="1119"/>
      <c r="AH309" s="1119"/>
      <c r="AI309" s="1119"/>
      <c r="AJ309" s="1119"/>
      <c r="AK309" s="1119"/>
      <c r="BA309" s="61"/>
    </row>
    <row r="310" spans="1:53" ht="12.75">
      <c r="B310" s="58" t="s">
        <v>95</v>
      </c>
      <c r="C310" s="58"/>
      <c r="D310" s="58"/>
      <c r="E310" s="58"/>
      <c r="F310" s="58"/>
      <c r="G310" s="58"/>
      <c r="H310" s="1120">
        <v>9259494222</v>
      </c>
      <c r="I310" s="1120"/>
      <c r="J310" s="1120"/>
      <c r="K310" s="1120"/>
      <c r="L310" s="1120"/>
      <c r="M310" s="1120"/>
      <c r="N310" s="7" t="s">
        <v>220</v>
      </c>
      <c r="O310" s="7"/>
      <c r="P310" s="1221"/>
      <c r="Q310" s="1221"/>
      <c r="R310" s="1221"/>
      <c r="S310" s="58"/>
      <c r="T310" s="58" t="s">
        <v>95</v>
      </c>
      <c r="V310" s="58"/>
      <c r="W310" s="58"/>
      <c r="X310" s="58"/>
      <c r="Y310" s="58"/>
      <c r="AA310" s="1120" t="s">
        <v>1711</v>
      </c>
      <c r="AB310" s="1121"/>
      <c r="AC310" s="1121"/>
      <c r="AD310" s="1121"/>
      <c r="AE310" s="1121"/>
      <c r="AF310" s="1121"/>
      <c r="AG310" s="7" t="s">
        <v>220</v>
      </c>
      <c r="AH310" s="7"/>
      <c r="AI310" s="1221"/>
      <c r="AJ310" s="1221"/>
      <c r="AK310" s="1221"/>
      <c r="BA310" s="61"/>
    </row>
    <row r="311" spans="1:53" ht="12.75">
      <c r="B311" s="58" t="s">
        <v>96</v>
      </c>
      <c r="C311" s="58"/>
      <c r="D311" s="58"/>
      <c r="E311" s="58"/>
      <c r="F311" s="58"/>
      <c r="G311" s="58"/>
      <c r="H311" s="1217">
        <v>9259494301</v>
      </c>
      <c r="I311" s="1217"/>
      <c r="J311" s="1217"/>
      <c r="K311" s="1217"/>
      <c r="L311" s="1217"/>
      <c r="M311" s="1217"/>
      <c r="N311" s="60"/>
      <c r="O311" s="60"/>
      <c r="P311" s="62"/>
      <c r="Q311" s="62"/>
      <c r="R311" s="62"/>
      <c r="S311" s="58"/>
      <c r="T311" s="58" t="s">
        <v>96</v>
      </c>
      <c r="V311" s="58"/>
      <c r="W311" s="58"/>
      <c r="X311" s="58"/>
      <c r="Y311" s="58"/>
      <c r="AA311" s="1217" t="s">
        <v>1712</v>
      </c>
      <c r="AB311" s="1101"/>
      <c r="AC311" s="1101"/>
      <c r="AD311" s="1101"/>
      <c r="AE311" s="1101"/>
      <c r="AF311" s="1101"/>
      <c r="AG311" s="60"/>
      <c r="AH311" s="60"/>
      <c r="AI311" s="62"/>
      <c r="AJ311" s="62"/>
      <c r="AK311" s="62"/>
      <c r="BA311" s="61"/>
    </row>
    <row r="312" spans="1:53" ht="12.75">
      <c r="B312" s="58" t="s">
        <v>82</v>
      </c>
      <c r="C312" s="58"/>
      <c r="D312" s="58"/>
      <c r="E312" s="58"/>
      <c r="F312" s="58"/>
      <c r="G312" s="58"/>
      <c r="H312" s="1119" t="s">
        <v>1690</v>
      </c>
      <c r="I312" s="1119"/>
      <c r="J312" s="1119"/>
      <c r="K312" s="1119"/>
      <c r="L312" s="1119"/>
      <c r="M312" s="1119"/>
      <c r="N312" s="1098"/>
      <c r="O312" s="1098"/>
      <c r="P312" s="1098"/>
      <c r="Q312" s="1098"/>
      <c r="R312" s="1098"/>
      <c r="S312" s="58"/>
      <c r="T312" s="58" t="s">
        <v>82</v>
      </c>
      <c r="V312" s="58"/>
      <c r="W312" s="58"/>
      <c r="X312" s="58"/>
      <c r="Y312" s="58"/>
      <c r="AA312" s="1125" t="s">
        <v>1714</v>
      </c>
      <c r="AB312" s="1119"/>
      <c r="AC312" s="1119"/>
      <c r="AD312" s="1119"/>
      <c r="AE312" s="1119"/>
      <c r="AF312" s="1119"/>
      <c r="AG312" s="1098"/>
      <c r="AH312" s="1098"/>
      <c r="AI312" s="1098"/>
      <c r="AJ312" s="1098"/>
      <c r="AK312" s="1098"/>
      <c r="BA312" s="61"/>
    </row>
    <row r="313" spans="1:53" ht="12.75">
      <c r="BA313" s="61"/>
    </row>
    <row r="314" spans="1:53" ht="12.75">
      <c r="B314" s="7" t="s">
        <v>1006</v>
      </c>
      <c r="C314" s="58"/>
      <c r="D314" s="58"/>
      <c r="E314" s="58"/>
      <c r="F314" s="58"/>
      <c r="H314" s="1098"/>
      <c r="I314" s="1098"/>
      <c r="J314" s="1098"/>
      <c r="K314" s="1098"/>
      <c r="L314" s="1098"/>
      <c r="M314" s="1098"/>
      <c r="N314" s="1098"/>
      <c r="O314" s="1098"/>
      <c r="P314" s="1098"/>
      <c r="Q314" s="1098"/>
      <c r="R314" s="1098"/>
      <c r="T314" s="58" t="s">
        <v>390</v>
      </c>
      <c r="V314" s="58"/>
      <c r="W314" s="58"/>
      <c r="X314" s="58"/>
      <c r="Y314" s="58"/>
      <c r="AA314" s="1087" t="s">
        <v>1715</v>
      </c>
      <c r="AB314" s="1087"/>
      <c r="AC314" s="1087"/>
      <c r="AD314" s="1087"/>
      <c r="AE314" s="1087"/>
      <c r="AF314" s="1087"/>
      <c r="AG314" s="1087"/>
      <c r="AH314" s="1087"/>
      <c r="AI314" s="1087"/>
      <c r="AJ314" s="1087"/>
      <c r="AK314" s="1087"/>
      <c r="BA314" s="61"/>
    </row>
    <row r="315" spans="1:53" ht="12.75" customHeight="1">
      <c r="B315" s="58" t="s">
        <v>517</v>
      </c>
      <c r="C315" s="58"/>
      <c r="D315" s="58"/>
      <c r="E315" s="58"/>
      <c r="F315" s="58"/>
      <c r="H315" s="1119"/>
      <c r="I315" s="1119"/>
      <c r="J315" s="1119"/>
      <c r="K315" s="1119"/>
      <c r="L315" s="1119"/>
      <c r="M315" s="1119"/>
      <c r="N315" s="1119"/>
      <c r="O315" s="1119"/>
      <c r="P315" s="1119"/>
      <c r="Q315" s="1119"/>
      <c r="R315" s="1119"/>
      <c r="T315" s="58" t="s">
        <v>517</v>
      </c>
      <c r="V315" s="58"/>
      <c r="W315" s="58"/>
      <c r="X315" s="58"/>
      <c r="Y315" s="58"/>
      <c r="AA315" s="1125" t="s">
        <v>1716</v>
      </c>
      <c r="AB315" s="1119"/>
      <c r="AC315" s="1119"/>
      <c r="AD315" s="1119"/>
      <c r="AE315" s="1119"/>
      <c r="AF315" s="1119"/>
      <c r="AG315" s="1119"/>
      <c r="AH315" s="1119"/>
      <c r="AI315" s="1119"/>
      <c r="AJ315" s="1119"/>
      <c r="AK315" s="1119"/>
      <c r="BA315" s="61"/>
    </row>
    <row r="316" spans="1:53" ht="12.75">
      <c r="B316" s="58" t="s">
        <v>518</v>
      </c>
      <c r="C316" s="58"/>
      <c r="D316" s="58"/>
      <c r="E316" s="58"/>
      <c r="F316" s="58"/>
      <c r="H316" s="1119"/>
      <c r="I316" s="1119"/>
      <c r="J316" s="1119"/>
      <c r="K316" s="1119"/>
      <c r="L316" s="1119"/>
      <c r="M316" s="1119"/>
      <c r="N316" s="1119"/>
      <c r="O316" s="1119"/>
      <c r="P316" s="1119"/>
      <c r="Q316" s="1119"/>
      <c r="R316" s="1119"/>
      <c r="T316" s="58" t="s">
        <v>81</v>
      </c>
      <c r="V316" s="58"/>
      <c r="W316" s="58"/>
      <c r="X316" s="58"/>
      <c r="Y316" s="58"/>
      <c r="AA316" s="1125" t="s">
        <v>1717</v>
      </c>
      <c r="AB316" s="1119"/>
      <c r="AC316" s="1119"/>
      <c r="AD316" s="1119"/>
      <c r="AE316" s="1119"/>
      <c r="AF316" s="1119"/>
      <c r="AG316" s="1119"/>
      <c r="AH316" s="1119"/>
      <c r="AI316" s="1119"/>
      <c r="AJ316" s="1119"/>
      <c r="AK316" s="1119"/>
      <c r="BA316" s="61"/>
    </row>
    <row r="317" spans="1:53" ht="12.75" customHeight="1">
      <c r="A317" s="39"/>
      <c r="B317" s="58" t="s">
        <v>94</v>
      </c>
      <c r="C317" s="58"/>
      <c r="D317" s="58"/>
      <c r="E317" s="58"/>
      <c r="F317" s="58"/>
      <c r="H317" s="1119"/>
      <c r="I317" s="1119"/>
      <c r="J317" s="1119"/>
      <c r="K317" s="1119"/>
      <c r="L317" s="1119"/>
      <c r="M317" s="1119"/>
      <c r="N317" s="1119"/>
      <c r="O317" s="1119"/>
      <c r="P317" s="1119"/>
      <c r="Q317" s="1119"/>
      <c r="R317" s="1119"/>
      <c r="T317" s="58" t="s">
        <v>94</v>
      </c>
      <c r="V317" s="58"/>
      <c r="W317" s="58"/>
      <c r="X317" s="58"/>
      <c r="Y317" s="58"/>
      <c r="AA317" s="1125" t="s">
        <v>1718</v>
      </c>
      <c r="AB317" s="1119"/>
      <c r="AC317" s="1119"/>
      <c r="AD317" s="1119"/>
      <c r="AE317" s="1119"/>
      <c r="AF317" s="1119"/>
      <c r="AG317" s="1119"/>
      <c r="AH317" s="1119"/>
      <c r="AI317" s="1119"/>
      <c r="AJ317" s="1119"/>
      <c r="AK317" s="1119"/>
      <c r="AL317" s="39"/>
    </row>
    <row r="318" spans="1:53" ht="12.75">
      <c r="A318" s="39"/>
      <c r="B318" s="58" t="s">
        <v>95</v>
      </c>
      <c r="C318" s="58"/>
      <c r="D318" s="58"/>
      <c r="E318" s="58"/>
      <c r="F318" s="58"/>
      <c r="G318" s="58"/>
      <c r="H318" s="1121"/>
      <c r="I318" s="1121"/>
      <c r="J318" s="1121"/>
      <c r="K318" s="1121"/>
      <c r="L318" s="1121"/>
      <c r="M318" s="1121"/>
      <c r="N318" s="7" t="s">
        <v>220</v>
      </c>
      <c r="O318" s="7"/>
      <c r="P318" s="1221"/>
      <c r="Q318" s="1221"/>
      <c r="R318" s="1221"/>
      <c r="S318" s="58"/>
      <c r="T318" s="58" t="s">
        <v>95</v>
      </c>
      <c r="V318" s="58"/>
      <c r="W318" s="58"/>
      <c r="X318" s="58"/>
      <c r="Y318" s="58"/>
      <c r="AA318" s="1120" t="s">
        <v>1719</v>
      </c>
      <c r="AB318" s="1121"/>
      <c r="AC318" s="1121"/>
      <c r="AD318" s="1121"/>
      <c r="AE318" s="1121"/>
      <c r="AF318" s="1121"/>
      <c r="AG318" s="7" t="s">
        <v>220</v>
      </c>
      <c r="AH318" s="7"/>
      <c r="AI318" s="1221"/>
      <c r="AJ318" s="1221"/>
      <c r="AK318" s="1221"/>
      <c r="AL318" s="39"/>
    </row>
    <row r="319" spans="1:53" ht="12.75">
      <c r="A319" s="39"/>
      <c r="B319" s="58" t="s">
        <v>96</v>
      </c>
      <c r="C319" s="58"/>
      <c r="D319" s="58"/>
      <c r="E319" s="58"/>
      <c r="F319" s="58"/>
      <c r="G319" s="58"/>
      <c r="H319" s="1101"/>
      <c r="I319" s="1101"/>
      <c r="J319" s="1101"/>
      <c r="K319" s="1101"/>
      <c r="L319" s="1101"/>
      <c r="M319" s="1101"/>
      <c r="N319" s="60"/>
      <c r="O319" s="60"/>
      <c r="P319" s="62"/>
      <c r="Q319" s="62"/>
      <c r="R319" s="62"/>
      <c r="S319" s="58"/>
      <c r="T319" s="58" t="s">
        <v>96</v>
      </c>
      <c r="V319" s="58"/>
      <c r="W319" s="58"/>
      <c r="X319" s="58"/>
      <c r="Y319" s="58"/>
      <c r="AA319" s="1217" t="s">
        <v>1720</v>
      </c>
      <c r="AB319" s="1101"/>
      <c r="AC319" s="1101"/>
      <c r="AD319" s="1101"/>
      <c r="AE319" s="1101"/>
      <c r="AF319" s="1101"/>
      <c r="AG319" s="60"/>
      <c r="AH319" s="60"/>
      <c r="AI319" s="62"/>
      <c r="AJ319" s="62"/>
      <c r="AK319" s="62"/>
      <c r="AL319" s="39"/>
    </row>
    <row r="320" spans="1:53" ht="12.75">
      <c r="A320" s="39"/>
      <c r="B320" s="58" t="s">
        <v>82</v>
      </c>
      <c r="C320" s="58"/>
      <c r="D320" s="58"/>
      <c r="E320" s="58"/>
      <c r="F320" s="58"/>
      <c r="G320" s="58"/>
      <c r="H320" s="1119"/>
      <c r="I320" s="1119"/>
      <c r="J320" s="1119"/>
      <c r="K320" s="1119"/>
      <c r="L320" s="1119"/>
      <c r="M320" s="1119"/>
      <c r="N320" s="1098"/>
      <c r="O320" s="1098"/>
      <c r="P320" s="1098"/>
      <c r="Q320" s="1098"/>
      <c r="R320" s="1098"/>
      <c r="S320" s="58"/>
      <c r="T320" s="58" t="s">
        <v>82</v>
      </c>
      <c r="V320" s="58"/>
      <c r="W320" s="58"/>
      <c r="X320" s="58"/>
      <c r="Y320" s="58"/>
      <c r="AA320" s="1125" t="s">
        <v>1721</v>
      </c>
      <c r="AB320" s="1119"/>
      <c r="AC320" s="1119"/>
      <c r="AD320" s="1119"/>
      <c r="AE320" s="1119"/>
      <c r="AF320" s="1119"/>
      <c r="AG320" s="1098"/>
      <c r="AH320" s="1098"/>
      <c r="AI320" s="1098"/>
      <c r="AJ320" s="1098"/>
      <c r="AK320" s="109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8" t="s">
        <v>1686</v>
      </c>
      <c r="I322" s="1098"/>
      <c r="J322" s="1098"/>
      <c r="K322" s="1098"/>
      <c r="L322" s="1098"/>
      <c r="M322" s="1098"/>
      <c r="N322" s="1098"/>
      <c r="O322" s="1098"/>
      <c r="P322" s="1098"/>
      <c r="Q322" s="1098"/>
      <c r="R322" s="1098"/>
      <c r="T322" s="58" t="s">
        <v>392</v>
      </c>
      <c r="V322" s="58"/>
      <c r="W322" s="58"/>
      <c r="X322" s="58"/>
      <c r="Y322" s="58"/>
      <c r="AA322" s="1098"/>
      <c r="AB322" s="1098"/>
      <c r="AC322" s="1098"/>
      <c r="AD322" s="1098"/>
      <c r="AE322" s="1098"/>
      <c r="AF322" s="1098"/>
      <c r="AG322" s="1098"/>
      <c r="AH322" s="1098"/>
      <c r="AI322" s="1098"/>
      <c r="AJ322" s="1098"/>
      <c r="AK322" s="1098"/>
      <c r="AL322" s="39"/>
    </row>
    <row r="323" spans="1:53" ht="12.75">
      <c r="A323" s="39"/>
      <c r="B323" s="58" t="s">
        <v>517</v>
      </c>
      <c r="C323" s="58"/>
      <c r="D323" s="58"/>
      <c r="E323" s="58"/>
      <c r="F323" s="58"/>
      <c r="H323" s="1119" t="s">
        <v>1785</v>
      </c>
      <c r="I323" s="1119"/>
      <c r="J323" s="1119"/>
      <c r="K323" s="1119"/>
      <c r="L323" s="1119"/>
      <c r="M323" s="1119"/>
      <c r="N323" s="1119"/>
      <c r="O323" s="1119"/>
      <c r="P323" s="1119"/>
      <c r="Q323" s="1119"/>
      <c r="R323" s="1119"/>
      <c r="T323" s="58" t="s">
        <v>517</v>
      </c>
      <c r="V323" s="58"/>
      <c r="W323" s="58"/>
      <c r="X323" s="58"/>
      <c r="Y323" s="58"/>
      <c r="AA323" s="1119"/>
      <c r="AB323" s="1119"/>
      <c r="AC323" s="1119"/>
      <c r="AD323" s="1119"/>
      <c r="AE323" s="1119"/>
      <c r="AF323" s="1119"/>
      <c r="AG323" s="1119"/>
      <c r="AH323" s="1119"/>
      <c r="AI323" s="1119"/>
      <c r="AJ323" s="1119"/>
      <c r="AK323" s="1119"/>
      <c r="AL323" s="39"/>
    </row>
    <row r="324" spans="1:53" ht="12.75" customHeight="1">
      <c r="A324" s="39"/>
      <c r="B324" s="58" t="s">
        <v>518</v>
      </c>
      <c r="C324" s="58"/>
      <c r="D324" s="58"/>
      <c r="E324" s="58"/>
      <c r="F324" s="58"/>
      <c r="H324" s="1119" t="s">
        <v>1786</v>
      </c>
      <c r="I324" s="1119"/>
      <c r="J324" s="1119"/>
      <c r="K324" s="1119"/>
      <c r="L324" s="1119"/>
      <c r="M324" s="1119"/>
      <c r="N324" s="1119"/>
      <c r="O324" s="1119"/>
      <c r="P324" s="1119"/>
      <c r="Q324" s="1119"/>
      <c r="R324" s="1119"/>
      <c r="T324" s="58" t="s">
        <v>81</v>
      </c>
      <c r="V324" s="58"/>
      <c r="W324" s="58"/>
      <c r="X324" s="58"/>
      <c r="Y324" s="58"/>
      <c r="AA324" s="1119"/>
      <c r="AB324" s="1119"/>
      <c r="AC324" s="1119"/>
      <c r="AD324" s="1119"/>
      <c r="AE324" s="1119"/>
      <c r="AF324" s="1119"/>
      <c r="AG324" s="1119"/>
      <c r="AH324" s="1119"/>
      <c r="AI324" s="1119"/>
      <c r="AJ324" s="1119"/>
      <c r="AK324" s="1119"/>
      <c r="AL324" s="39"/>
    </row>
    <row r="325" spans="1:53" ht="12.75">
      <c r="A325" s="39"/>
      <c r="B325" s="58" t="s">
        <v>94</v>
      </c>
      <c r="C325" s="58"/>
      <c r="D325" s="58"/>
      <c r="E325" s="58"/>
      <c r="F325" s="58"/>
      <c r="H325" s="1119" t="s">
        <v>1782</v>
      </c>
      <c r="I325" s="1119"/>
      <c r="J325" s="1119"/>
      <c r="K325" s="1119"/>
      <c r="L325" s="1119"/>
      <c r="M325" s="1119"/>
      <c r="N325" s="1119"/>
      <c r="O325" s="1119"/>
      <c r="P325" s="1119"/>
      <c r="Q325" s="1119"/>
      <c r="R325" s="1119"/>
      <c r="T325" s="58" t="s">
        <v>94</v>
      </c>
      <c r="V325" s="58"/>
      <c r="W325" s="58"/>
      <c r="X325" s="58"/>
      <c r="Y325" s="58"/>
      <c r="AA325" s="1119"/>
      <c r="AB325" s="1119"/>
      <c r="AC325" s="1119"/>
      <c r="AD325" s="1119"/>
      <c r="AE325" s="1119"/>
      <c r="AF325" s="1119"/>
      <c r="AG325" s="1119"/>
      <c r="AH325" s="1119"/>
      <c r="AI325" s="1119"/>
      <c r="AJ325" s="1119"/>
      <c r="AK325" s="1119"/>
      <c r="AL325" s="39"/>
    </row>
    <row r="326" spans="1:53" ht="12.75">
      <c r="A326" s="39"/>
      <c r="B326" s="58" t="s">
        <v>95</v>
      </c>
      <c r="C326" s="58"/>
      <c r="D326" s="58"/>
      <c r="E326" s="58"/>
      <c r="F326" s="58"/>
      <c r="G326" s="58"/>
      <c r="H326" s="1120" t="s">
        <v>1783</v>
      </c>
      <c r="I326" s="1121"/>
      <c r="J326" s="1121"/>
      <c r="K326" s="1121"/>
      <c r="L326" s="1121"/>
      <c r="M326" s="1121"/>
      <c r="N326" s="7" t="s">
        <v>220</v>
      </c>
      <c r="O326" s="7"/>
      <c r="P326" s="1221"/>
      <c r="Q326" s="1221"/>
      <c r="R326" s="1221"/>
      <c r="S326" s="58"/>
      <c r="T326" s="58" t="s">
        <v>95</v>
      </c>
      <c r="V326" s="58"/>
      <c r="W326" s="58"/>
      <c r="X326" s="58"/>
      <c r="Y326" s="58"/>
      <c r="AA326" s="1121"/>
      <c r="AB326" s="1121"/>
      <c r="AC326" s="1121"/>
      <c r="AD326" s="1121"/>
      <c r="AE326" s="1121"/>
      <c r="AF326" s="1121"/>
      <c r="AG326" s="7" t="s">
        <v>220</v>
      </c>
      <c r="AH326" s="7"/>
      <c r="AI326" s="1221"/>
      <c r="AJ326" s="1221"/>
      <c r="AK326" s="1221"/>
      <c r="AL326" s="39"/>
    </row>
    <row r="327" spans="1:53" ht="12.75" customHeight="1">
      <c r="A327" s="39"/>
      <c r="B327" s="58" t="s">
        <v>96</v>
      </c>
      <c r="C327" s="58"/>
      <c r="D327" s="58"/>
      <c r="E327" s="58"/>
      <c r="F327" s="58"/>
      <c r="G327" s="58"/>
      <c r="H327" s="1217" t="s">
        <v>1776</v>
      </c>
      <c r="I327" s="1101"/>
      <c r="J327" s="1101"/>
      <c r="K327" s="1101"/>
      <c r="L327" s="1101"/>
      <c r="M327" s="1101"/>
      <c r="N327" s="60"/>
      <c r="O327" s="60"/>
      <c r="P327" s="62"/>
      <c r="Q327" s="62"/>
      <c r="R327" s="62"/>
      <c r="S327" s="58"/>
      <c r="T327" s="58" t="s">
        <v>96</v>
      </c>
      <c r="V327" s="58"/>
      <c r="W327" s="58"/>
      <c r="X327" s="58"/>
      <c r="Y327" s="58"/>
      <c r="AA327" s="1101"/>
      <c r="AB327" s="1101"/>
      <c r="AC327" s="1101"/>
      <c r="AD327" s="1101"/>
      <c r="AE327" s="1101"/>
      <c r="AF327" s="1101"/>
      <c r="AG327" s="60"/>
      <c r="AH327" s="60"/>
      <c r="AI327" s="62"/>
      <c r="AJ327" s="62"/>
      <c r="AK327" s="62"/>
      <c r="AL327" s="39"/>
    </row>
    <row r="328" spans="1:53" ht="12.75" customHeight="1">
      <c r="A328" s="39"/>
      <c r="B328" s="58" t="s">
        <v>82</v>
      </c>
      <c r="C328" s="58"/>
      <c r="D328" s="58"/>
      <c r="E328" s="58"/>
      <c r="F328" s="58"/>
      <c r="G328" s="58"/>
      <c r="H328" s="1119" t="s">
        <v>1784</v>
      </c>
      <c r="I328" s="1119"/>
      <c r="J328" s="1119"/>
      <c r="K328" s="1119"/>
      <c r="L328" s="1119"/>
      <c r="M328" s="1119"/>
      <c r="N328" s="1098"/>
      <c r="O328" s="1098"/>
      <c r="P328" s="1098"/>
      <c r="Q328" s="1098"/>
      <c r="R328" s="1098"/>
      <c r="S328" s="58"/>
      <c r="T328" s="58" t="s">
        <v>82</v>
      </c>
      <c r="V328" s="58"/>
      <c r="W328" s="58"/>
      <c r="X328" s="58"/>
      <c r="Y328" s="58"/>
      <c r="AA328" s="1119"/>
      <c r="AB328" s="1119"/>
      <c r="AC328" s="1119"/>
      <c r="AD328" s="1119"/>
      <c r="AE328" s="1119"/>
      <c r="AF328" s="1119"/>
      <c r="AG328" s="1098"/>
      <c r="AH328" s="1098"/>
      <c r="AI328" s="1098"/>
      <c r="AJ328" s="1098"/>
      <c r="AK328" s="109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8" t="s">
        <v>1691</v>
      </c>
      <c r="I330" s="1098"/>
      <c r="J330" s="1098"/>
      <c r="K330" s="1098"/>
      <c r="L330" s="1098"/>
      <c r="M330" s="1098"/>
      <c r="N330" s="1098"/>
      <c r="O330" s="1098"/>
      <c r="P330" s="1098"/>
      <c r="Q330" s="1098"/>
      <c r="R330" s="1098"/>
      <c r="T330" s="422" t="s">
        <v>981</v>
      </c>
      <c r="V330" s="58"/>
      <c r="W330" s="58"/>
      <c r="X330" s="58"/>
      <c r="Y330" s="58"/>
      <c r="AA330" s="1098" t="s">
        <v>1696</v>
      </c>
      <c r="AB330" s="1098"/>
      <c r="AC330" s="1098"/>
      <c r="AD330" s="1098"/>
      <c r="AE330" s="1098"/>
      <c r="AF330" s="1098"/>
      <c r="AG330" s="1098"/>
      <c r="AH330" s="1098"/>
      <c r="AI330" s="1098"/>
      <c r="AJ330" s="1098"/>
      <c r="AK330" s="1098"/>
      <c r="AL330" s="39"/>
    </row>
    <row r="331" spans="1:53" ht="12.75" customHeight="1">
      <c r="B331" s="58" t="s">
        <v>517</v>
      </c>
      <c r="C331" s="248"/>
      <c r="D331" s="248"/>
      <c r="E331" s="248"/>
      <c r="F331" s="248"/>
      <c r="G331" s="3"/>
      <c r="H331" s="1119" t="s">
        <v>1692</v>
      </c>
      <c r="I331" s="1119"/>
      <c r="J331" s="1119"/>
      <c r="K331" s="1119"/>
      <c r="L331" s="1119"/>
      <c r="M331" s="1119"/>
      <c r="N331" s="1119"/>
      <c r="O331" s="1119"/>
      <c r="P331" s="1119"/>
      <c r="Q331" s="1119"/>
      <c r="R331" s="1119"/>
      <c r="T331" s="58" t="s">
        <v>517</v>
      </c>
      <c r="V331" s="58"/>
      <c r="W331" s="58"/>
      <c r="X331" s="58"/>
      <c r="Y331" s="58"/>
      <c r="AA331" s="1119" t="s">
        <v>1697</v>
      </c>
      <c r="AB331" s="1119"/>
      <c r="AC331" s="1119"/>
      <c r="AD331" s="1119"/>
      <c r="AE331" s="1119"/>
      <c r="AF331" s="1119"/>
      <c r="AG331" s="1119"/>
      <c r="AH331" s="1119"/>
      <c r="AI331" s="1119"/>
      <c r="AJ331" s="1119"/>
      <c r="AK331" s="1119"/>
      <c r="AL331" s="39"/>
    </row>
    <row r="332" spans="1:53" ht="12.75" customHeight="1">
      <c r="B332" s="58" t="s">
        <v>81</v>
      </c>
      <c r="C332" s="248"/>
      <c r="D332" s="248"/>
      <c r="E332" s="248"/>
      <c r="F332" s="248"/>
      <c r="G332" s="3"/>
      <c r="H332" s="1119" t="s">
        <v>1693</v>
      </c>
      <c r="I332" s="1119"/>
      <c r="J332" s="1119"/>
      <c r="K332" s="1119"/>
      <c r="L332" s="1119"/>
      <c r="M332" s="1119"/>
      <c r="N332" s="1119"/>
      <c r="O332" s="1119"/>
      <c r="P332" s="1119"/>
      <c r="Q332" s="1119"/>
      <c r="R332" s="1119"/>
      <c r="T332" s="58" t="s">
        <v>81</v>
      </c>
      <c r="V332" s="58"/>
      <c r="W332" s="58"/>
      <c r="X332" s="58"/>
      <c r="Y332" s="58"/>
      <c r="AA332" s="1119" t="s">
        <v>1698</v>
      </c>
      <c r="AB332" s="1119"/>
      <c r="AC332" s="1119"/>
      <c r="AD332" s="1119"/>
      <c r="AE332" s="1119"/>
      <c r="AF332" s="1119"/>
      <c r="AG332" s="1119"/>
      <c r="AH332" s="1119"/>
      <c r="AI332" s="1119"/>
      <c r="AJ332" s="1119"/>
      <c r="AK332" s="1119"/>
      <c r="AL332" s="39"/>
    </row>
    <row r="333" spans="1:53" ht="12.75">
      <c r="A333" s="39"/>
      <c r="B333" s="58" t="s">
        <v>94</v>
      </c>
      <c r="C333" s="248"/>
      <c r="D333" s="248"/>
      <c r="E333" s="248"/>
      <c r="F333" s="248"/>
      <c r="G333" s="248"/>
      <c r="H333" s="1125" t="s">
        <v>1780</v>
      </c>
      <c r="I333" s="1119"/>
      <c r="J333" s="1119"/>
      <c r="K333" s="1119"/>
      <c r="L333" s="1119"/>
      <c r="M333" s="1119"/>
      <c r="N333" s="1119"/>
      <c r="O333" s="1119"/>
      <c r="P333" s="1119"/>
      <c r="Q333" s="1119"/>
      <c r="R333" s="1119"/>
      <c r="T333" s="58" t="s">
        <v>94</v>
      </c>
      <c r="V333" s="58"/>
      <c r="W333" s="58"/>
      <c r="X333" s="58"/>
      <c r="Y333" s="58"/>
      <c r="AA333" s="1119" t="s">
        <v>1699</v>
      </c>
      <c r="AB333" s="1119"/>
      <c r="AC333" s="1119"/>
      <c r="AD333" s="1119"/>
      <c r="AE333" s="1119"/>
      <c r="AF333" s="1119"/>
      <c r="AG333" s="1119"/>
      <c r="AH333" s="1119"/>
      <c r="AI333" s="1119"/>
      <c r="AJ333" s="1119"/>
      <c r="AK333" s="1119"/>
      <c r="AL333" s="39"/>
    </row>
    <row r="334" spans="1:53" ht="12.75">
      <c r="A334" s="39"/>
      <c r="B334" s="58" t="s">
        <v>95</v>
      </c>
      <c r="C334" s="248"/>
      <c r="D334" s="248"/>
      <c r="E334" s="248"/>
      <c r="F334" s="248"/>
      <c r="G334" s="248"/>
      <c r="H334" s="1120">
        <v>2138088958</v>
      </c>
      <c r="I334" s="1120"/>
      <c r="J334" s="1120"/>
      <c r="K334" s="1120"/>
      <c r="L334" s="1120"/>
      <c r="M334" s="1120"/>
      <c r="N334" s="7" t="s">
        <v>220</v>
      </c>
      <c r="O334" s="7"/>
      <c r="P334" s="1221"/>
      <c r="Q334" s="1221"/>
      <c r="R334" s="1221"/>
      <c r="S334" s="58"/>
      <c r="T334" s="58" t="s">
        <v>95</v>
      </c>
      <c r="V334" s="58"/>
      <c r="W334" s="58"/>
      <c r="X334" s="58"/>
      <c r="Y334" s="58"/>
      <c r="AA334" s="1120">
        <v>7142822520</v>
      </c>
      <c r="AB334" s="1120"/>
      <c r="AC334" s="1120"/>
      <c r="AD334" s="1120"/>
      <c r="AE334" s="1120"/>
      <c r="AF334" s="1120"/>
      <c r="AG334" s="7" t="s">
        <v>220</v>
      </c>
      <c r="AH334" s="7"/>
      <c r="AI334" s="1221"/>
      <c r="AJ334" s="1221"/>
      <c r="AK334" s="1221"/>
      <c r="AL334" s="39"/>
    </row>
    <row r="335" spans="1:53" ht="12.75" customHeight="1">
      <c r="A335" s="39"/>
      <c r="B335" s="58" t="s">
        <v>96</v>
      </c>
      <c r="C335" s="248"/>
      <c r="D335" s="248"/>
      <c r="E335" s="248"/>
      <c r="F335" s="248"/>
      <c r="G335" s="248"/>
      <c r="H335" s="1217">
        <v>2138088918</v>
      </c>
      <c r="I335" s="1217"/>
      <c r="J335" s="1217"/>
      <c r="K335" s="1217"/>
      <c r="L335" s="1217"/>
      <c r="M335" s="1217"/>
      <c r="N335" s="60"/>
      <c r="O335" s="60"/>
      <c r="P335" s="62"/>
      <c r="Q335" s="62"/>
      <c r="R335" s="62"/>
      <c r="S335" s="58"/>
      <c r="T335" s="58" t="s">
        <v>96</v>
      </c>
      <c r="V335" s="58"/>
      <c r="W335" s="58"/>
      <c r="X335" s="58"/>
      <c r="Y335" s="58"/>
      <c r="AA335" s="1217">
        <v>7142827517</v>
      </c>
      <c r="AB335" s="1217"/>
      <c r="AC335" s="1217"/>
      <c r="AD335" s="1217"/>
      <c r="AE335" s="1217"/>
      <c r="AF335" s="1217"/>
      <c r="AG335" s="60"/>
      <c r="AH335" s="60"/>
      <c r="AI335" s="62"/>
      <c r="AJ335" s="62"/>
      <c r="AK335" s="62"/>
      <c r="AL335" s="39"/>
    </row>
    <row r="336" spans="1:53" ht="12.75">
      <c r="A336" s="39"/>
      <c r="B336" s="58" t="s">
        <v>82</v>
      </c>
      <c r="C336" s="245"/>
      <c r="D336" s="245"/>
      <c r="E336" s="245"/>
      <c r="F336" s="245"/>
      <c r="G336" s="245"/>
      <c r="H336" s="1119" t="s">
        <v>1695</v>
      </c>
      <c r="I336" s="1119"/>
      <c r="J336" s="1119"/>
      <c r="K336" s="1119"/>
      <c r="L336" s="1119"/>
      <c r="M336" s="1119"/>
      <c r="N336" s="1098"/>
      <c r="O336" s="1098"/>
      <c r="P336" s="1098"/>
      <c r="Q336" s="1098"/>
      <c r="R336" s="1098"/>
      <c r="S336" s="58"/>
      <c r="T336" s="58" t="s">
        <v>82</v>
      </c>
      <c r="V336" s="58"/>
      <c r="W336" s="58"/>
      <c r="X336" s="58"/>
      <c r="Y336" s="58"/>
      <c r="AA336" s="1119" t="s">
        <v>1700</v>
      </c>
      <c r="AB336" s="1119"/>
      <c r="AC336" s="1119"/>
      <c r="AD336" s="1119"/>
      <c r="AE336" s="1119"/>
      <c r="AF336" s="1119"/>
      <c r="AG336" s="1098"/>
      <c r="AH336" s="1098"/>
      <c r="AI336" s="1098"/>
      <c r="AJ336" s="1098"/>
      <c r="AK336" s="1098"/>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8"/>
      <c r="Q338" s="1098"/>
      <c r="R338" s="1098"/>
      <c r="S338" s="1098"/>
      <c r="T338" s="1098"/>
      <c r="U338" s="1098"/>
      <c r="V338" s="1098"/>
      <c r="W338" s="1098"/>
      <c r="X338" s="1098"/>
      <c r="Y338" s="1098"/>
      <c r="Z338" s="1098"/>
      <c r="AA338" s="1098"/>
      <c r="AB338" s="1098"/>
      <c r="AC338" s="1098"/>
      <c r="AD338" s="1098"/>
      <c r="AE338" s="1098"/>
      <c r="AF338" s="88"/>
      <c r="AG338" s="88"/>
      <c r="AH338" s="88"/>
      <c r="AI338" s="88"/>
      <c r="AJ338" s="88"/>
      <c r="AK338" s="88"/>
      <c r="AL338" s="39"/>
      <c r="BA338" s="12" t="s">
        <v>591</v>
      </c>
    </row>
    <row r="339" spans="1:53" ht="12.75">
      <c r="A339" s="3"/>
      <c r="B339" s="60"/>
      <c r="C339" s="60"/>
      <c r="D339" s="60"/>
      <c r="E339" s="60"/>
      <c r="F339" s="60"/>
      <c r="G339" s="3"/>
      <c r="H339" s="88"/>
      <c r="I339" s="7" t="s">
        <v>517</v>
      </c>
      <c r="P339" s="1119"/>
      <c r="Q339" s="1119"/>
      <c r="R339" s="1119"/>
      <c r="S339" s="1119"/>
      <c r="T339" s="1119"/>
      <c r="U339" s="1119"/>
      <c r="V339" s="1119"/>
      <c r="W339" s="1119"/>
      <c r="X339" s="1119"/>
      <c r="Y339" s="1119"/>
      <c r="Z339" s="1119"/>
      <c r="AA339" s="1119"/>
      <c r="AB339" s="1119"/>
      <c r="AC339" s="1119"/>
      <c r="AD339" s="1119"/>
      <c r="AE339" s="1119"/>
      <c r="AF339" s="88"/>
      <c r="AG339" s="88"/>
      <c r="AH339" s="88"/>
      <c r="AI339" s="88"/>
      <c r="AJ339" s="88"/>
      <c r="AK339" s="88"/>
      <c r="AL339" s="39"/>
    </row>
    <row r="340" spans="1:53" ht="12.75">
      <c r="A340" s="3"/>
      <c r="B340" s="60"/>
      <c r="C340" s="60"/>
      <c r="D340" s="60"/>
      <c r="E340" s="60"/>
      <c r="F340" s="60"/>
      <c r="G340" s="3"/>
      <c r="H340" s="88"/>
      <c r="I340" s="7" t="s">
        <v>81</v>
      </c>
      <c r="P340" s="1119"/>
      <c r="Q340" s="1119"/>
      <c r="R340" s="1119"/>
      <c r="S340" s="1119"/>
      <c r="T340" s="1119"/>
      <c r="U340" s="1119"/>
      <c r="V340" s="1119"/>
      <c r="W340" s="1119"/>
      <c r="X340" s="1119"/>
      <c r="Y340" s="1119"/>
      <c r="Z340" s="1119"/>
      <c r="AA340" s="1119"/>
      <c r="AB340" s="1119"/>
      <c r="AC340" s="1119"/>
      <c r="AD340" s="1119"/>
      <c r="AE340" s="1119"/>
      <c r="AF340" s="88"/>
      <c r="AG340" s="88"/>
      <c r="AH340" s="88"/>
      <c r="AI340" s="88"/>
      <c r="AJ340" s="88"/>
      <c r="AK340" s="88"/>
      <c r="AL340" s="39"/>
    </row>
    <row r="341" spans="1:53" ht="12.75" customHeight="1">
      <c r="A341" s="3"/>
      <c r="B341" s="60"/>
      <c r="C341" s="60"/>
      <c r="D341" s="60"/>
      <c r="E341" s="60"/>
      <c r="F341" s="60"/>
      <c r="G341" s="60"/>
      <c r="H341" s="88"/>
      <c r="I341" s="7" t="s">
        <v>94</v>
      </c>
      <c r="P341" s="1119"/>
      <c r="Q341" s="1119"/>
      <c r="R341" s="1119"/>
      <c r="S341" s="1119"/>
      <c r="T341" s="1119"/>
      <c r="U341" s="1119"/>
      <c r="V341" s="1119"/>
      <c r="W341" s="1119"/>
      <c r="X341" s="1119"/>
      <c r="Y341" s="1119"/>
      <c r="Z341" s="1119"/>
      <c r="AA341" s="1119"/>
      <c r="AB341" s="1119"/>
      <c r="AC341" s="1119"/>
      <c r="AD341" s="1119"/>
      <c r="AE341" s="1119"/>
      <c r="AF341" s="88"/>
      <c r="AG341" s="88"/>
      <c r="AH341" s="88"/>
      <c r="AI341" s="88"/>
      <c r="AJ341" s="88"/>
      <c r="AK341" s="88"/>
      <c r="AL341" s="39"/>
    </row>
    <row r="342" spans="1:53" ht="12.75">
      <c r="A342" s="3"/>
      <c r="B342" s="60"/>
      <c r="C342" s="60"/>
      <c r="D342" s="60"/>
      <c r="E342" s="60"/>
      <c r="F342" s="60"/>
      <c r="G342" s="60"/>
      <c r="H342" s="482"/>
      <c r="I342" s="7" t="s">
        <v>95</v>
      </c>
      <c r="P342" s="1101"/>
      <c r="Q342" s="1101"/>
      <c r="R342" s="1101"/>
      <c r="S342" s="1101"/>
      <c r="T342" s="1101"/>
      <c r="U342" s="1101"/>
      <c r="V342" s="1101"/>
      <c r="W342" s="1101"/>
      <c r="X342" s="1101"/>
      <c r="Y342" s="1101"/>
      <c r="Z342" s="1101"/>
      <c r="AA342" s="7" t="s">
        <v>220</v>
      </c>
      <c r="AB342" s="7"/>
      <c r="AC342" s="1102"/>
      <c r="AD342" s="1102"/>
      <c r="AE342" s="1102"/>
      <c r="AF342" s="482"/>
      <c r="AG342" s="60"/>
      <c r="AH342" s="60"/>
      <c r="AI342" s="423"/>
      <c r="AJ342" s="423"/>
      <c r="AK342" s="423"/>
      <c r="AL342" s="39"/>
    </row>
    <row r="343" spans="1:53" ht="12.75" customHeight="1">
      <c r="A343" s="3"/>
      <c r="B343" s="60"/>
      <c r="C343" s="60"/>
      <c r="D343" s="60"/>
      <c r="E343" s="60"/>
      <c r="F343" s="60"/>
      <c r="G343" s="60"/>
      <c r="H343" s="482"/>
      <c r="I343" s="7" t="s">
        <v>96</v>
      </c>
      <c r="P343" s="1101"/>
      <c r="Q343" s="1101"/>
      <c r="R343" s="1101"/>
      <c r="S343" s="1101"/>
      <c r="T343" s="1101"/>
      <c r="U343" s="1101"/>
      <c r="V343" s="1101"/>
      <c r="W343" s="1101"/>
      <c r="X343" s="1101"/>
      <c r="Y343" s="1101"/>
      <c r="Z343" s="1101"/>
      <c r="AF343" s="482"/>
      <c r="AG343" s="60"/>
      <c r="AH343" s="60"/>
      <c r="AI343" s="62"/>
      <c r="AJ343" s="62"/>
      <c r="AK343" s="62"/>
      <c r="AL343" s="39"/>
    </row>
    <row r="344" spans="1:53" ht="12.75">
      <c r="A344" s="3"/>
      <c r="B344" s="60"/>
      <c r="C344" s="423"/>
      <c r="D344" s="423"/>
      <c r="E344" s="423"/>
      <c r="F344" s="423"/>
      <c r="G344" s="423"/>
      <c r="H344" s="88"/>
      <c r="I344" s="7" t="s">
        <v>82</v>
      </c>
      <c r="P344" s="1098"/>
      <c r="Q344" s="1098"/>
      <c r="R344" s="1098"/>
      <c r="S344" s="1098"/>
      <c r="T344" s="1098"/>
      <c r="U344" s="1098"/>
      <c r="V344" s="1098"/>
      <c r="W344" s="1098"/>
      <c r="X344" s="1098"/>
      <c r="Y344" s="1098"/>
      <c r="Z344" s="1098"/>
      <c r="AA344" s="1098"/>
      <c r="AB344" s="1098"/>
      <c r="AC344" s="1098"/>
      <c r="AD344" s="1098"/>
      <c r="AE344" s="109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1" t="s">
        <v>588</v>
      </c>
      <c r="B346" s="1261"/>
      <c r="C346" s="1261"/>
      <c r="D346" s="1261"/>
      <c r="E346" s="1261"/>
      <c r="F346" s="1261"/>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c r="AL346" s="1261"/>
    </row>
    <row r="347" spans="1:53" ht="12.75" customHeight="1" thickBot="1">
      <c r="A347" s="1262"/>
      <c r="B347" s="1262"/>
      <c r="C347" s="1262"/>
      <c r="D347" s="1262"/>
      <c r="E347" s="1262"/>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c r="AL347" s="126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099" t="s">
        <v>591</v>
      </c>
      <c r="N350" s="1099"/>
      <c r="P350" s="12" t="s">
        <v>598</v>
      </c>
      <c r="AJ350" s="1099" t="s">
        <v>591</v>
      </c>
      <c r="AK350" s="1099"/>
    </row>
    <row r="351" spans="1:53" ht="12.75" customHeight="1">
      <c r="D351" s="7" t="s">
        <v>955</v>
      </c>
      <c r="R351" s="12" t="s">
        <v>599</v>
      </c>
      <c r="AJ351" s="1099" t="s">
        <v>722</v>
      </c>
      <c r="AK351" s="1099"/>
    </row>
    <row r="352" spans="1:53" ht="12.75" customHeight="1">
      <c r="D352" s="12" t="s">
        <v>765</v>
      </c>
      <c r="M352" s="1099" t="s">
        <v>641</v>
      </c>
      <c r="N352" s="1099"/>
      <c r="P352" s="7" t="s">
        <v>952</v>
      </c>
      <c r="AJ352" s="1099" t="s">
        <v>641</v>
      </c>
      <c r="AK352" s="1099"/>
    </row>
    <row r="353" spans="1:34" ht="12.75" customHeight="1">
      <c r="D353" s="12" t="s">
        <v>766</v>
      </c>
      <c r="M353" s="1099" t="s">
        <v>641</v>
      </c>
      <c r="N353" s="1099"/>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9" t="s">
        <v>641</v>
      </c>
      <c r="O358" s="1099"/>
      <c r="P358" s="69"/>
      <c r="Q358" s="69"/>
      <c r="R358" s="69"/>
      <c r="S358" s="69"/>
      <c r="T358" s="69"/>
      <c r="U358" s="69"/>
      <c r="V358" s="69"/>
      <c r="W358" s="69"/>
      <c r="X358" s="69"/>
      <c r="Y358" s="70"/>
      <c r="Z358" s="70"/>
      <c r="AC358" s="69"/>
      <c r="AD358" s="69"/>
      <c r="AE358" s="69"/>
    </row>
    <row r="359" spans="1:34" ht="12.75" customHeight="1">
      <c r="E359" s="12" t="s">
        <v>395</v>
      </c>
      <c r="Y359" s="1099" t="s">
        <v>641</v>
      </c>
      <c r="Z359" s="1099"/>
    </row>
    <row r="360" spans="1:34" ht="12.75" customHeight="1">
      <c r="D360" s="7" t="s">
        <v>1092</v>
      </c>
      <c r="Q360" s="1098" t="s">
        <v>641</v>
      </c>
      <c r="R360" s="1098"/>
      <c r="S360" s="1098"/>
      <c r="T360" s="1098"/>
      <c r="U360" s="1098"/>
      <c r="V360" s="1098"/>
      <c r="W360" s="1098"/>
      <c r="X360" s="1098"/>
      <c r="Y360" s="1098"/>
      <c r="Z360" s="1098"/>
      <c r="AA360" s="1098"/>
      <c r="AB360" s="1098"/>
      <c r="AC360" s="1098"/>
      <c r="AD360" s="1098"/>
      <c r="AE360" s="1098"/>
      <c r="AF360" s="1098"/>
      <c r="AG360" s="1098"/>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9" t="s">
        <v>641</v>
      </c>
      <c r="K362" s="1099"/>
      <c r="L362" s="69"/>
      <c r="M362" s="69"/>
      <c r="N362" s="69"/>
      <c r="O362" s="69"/>
      <c r="P362" s="69"/>
      <c r="Q362" s="69"/>
      <c r="R362" s="69"/>
      <c r="S362" s="69"/>
      <c r="T362" s="69"/>
      <c r="U362" s="69"/>
      <c r="V362" s="69"/>
      <c r="W362" s="69"/>
      <c r="X362" s="69"/>
      <c r="Y362" s="69"/>
      <c r="Z362" s="69"/>
      <c r="AC362" s="69"/>
      <c r="AD362" s="69"/>
      <c r="AE362" s="69"/>
    </row>
    <row r="363" spans="1:34" ht="12.75" customHeight="1">
      <c r="E363" s="1216" t="s">
        <v>767</v>
      </c>
      <c r="F363" s="1216"/>
      <c r="G363" s="1216"/>
      <c r="H363" s="1216"/>
      <c r="I363" s="1216"/>
      <c r="J363" s="1216"/>
      <c r="K363" s="1216"/>
      <c r="L363" s="1216"/>
      <c r="M363" s="1216"/>
      <c r="N363" s="1216"/>
      <c r="O363" s="1216"/>
      <c r="P363" s="1216"/>
      <c r="Q363" s="1216"/>
      <c r="R363" s="1216"/>
      <c r="S363" s="1216"/>
      <c r="T363" s="1216"/>
      <c r="U363" s="1216"/>
      <c r="V363" s="1216"/>
      <c r="W363" s="1216"/>
      <c r="X363" s="1216"/>
      <c r="Y363" s="1216"/>
      <c r="Z363" s="1216"/>
      <c r="AA363" s="1216"/>
      <c r="AB363" s="1216"/>
      <c r="AC363" s="1216"/>
      <c r="AD363" s="1216"/>
      <c r="AE363" s="1216"/>
      <c r="AF363" s="1216"/>
      <c r="AG363" s="1216"/>
      <c r="AH363" s="1216"/>
    </row>
    <row r="364" spans="1:34" ht="12.75" customHeight="1">
      <c r="E364" s="1216"/>
      <c r="F364" s="1216"/>
      <c r="G364" s="1216"/>
      <c r="H364" s="1216"/>
      <c r="I364" s="1216"/>
      <c r="J364" s="1216"/>
      <c r="K364" s="1216"/>
      <c r="L364" s="1216"/>
      <c r="M364" s="1216"/>
      <c r="N364" s="1216"/>
      <c r="O364" s="1216"/>
      <c r="P364" s="1216"/>
      <c r="Q364" s="1216"/>
      <c r="R364" s="1216"/>
      <c r="S364" s="1216"/>
      <c r="T364" s="1216"/>
      <c r="U364" s="1216"/>
      <c r="V364" s="1216"/>
      <c r="W364" s="1216"/>
      <c r="X364" s="1216"/>
      <c r="Y364" s="1216"/>
      <c r="Z364" s="1216"/>
      <c r="AA364" s="1216"/>
      <c r="AB364" s="1216"/>
      <c r="AC364" s="1216"/>
      <c r="AD364" s="1216"/>
      <c r="AE364" s="1216"/>
      <c r="AF364" s="1216"/>
      <c r="AG364" s="1216"/>
      <c r="AH364" s="1216"/>
    </row>
    <row r="365" spans="1:34" ht="12.75" customHeight="1">
      <c r="E365" s="7" t="s">
        <v>492</v>
      </c>
      <c r="F365" s="7"/>
      <c r="G365" s="7"/>
      <c r="H365" s="7"/>
      <c r="I365" s="7"/>
      <c r="J365" s="7"/>
      <c r="K365" s="7"/>
      <c r="L365" s="7"/>
      <c r="N365" s="1517" t="s">
        <v>1712</v>
      </c>
      <c r="O365" s="1418"/>
      <c r="P365" s="1418"/>
      <c r="Q365" s="1418"/>
      <c r="R365" s="7"/>
      <c r="U365" s="7" t="s">
        <v>493</v>
      </c>
      <c r="V365" s="7"/>
      <c r="W365" s="7"/>
      <c r="X365" s="7"/>
      <c r="Y365" s="7"/>
      <c r="Z365" s="7"/>
      <c r="AA365" s="7"/>
      <c r="AB365" s="7"/>
      <c r="AC365" s="1517" t="s">
        <v>1712</v>
      </c>
      <c r="AD365" s="1418"/>
      <c r="AE365" s="1418"/>
      <c r="AF365" s="1418"/>
    </row>
    <row r="366" spans="1:34" ht="12.75" customHeight="1">
      <c r="E366" s="7" t="s">
        <v>494</v>
      </c>
      <c r="F366" s="7"/>
      <c r="G366" s="7"/>
      <c r="H366" s="7"/>
      <c r="I366" s="7"/>
      <c r="J366" s="7"/>
      <c r="K366" s="7"/>
      <c r="L366" s="7"/>
      <c r="N366" s="1517" t="s">
        <v>1712</v>
      </c>
      <c r="O366" s="1418"/>
      <c r="P366" s="1418"/>
      <c r="Q366" s="1418"/>
      <c r="R366" s="7"/>
      <c r="U366" s="7" t="s">
        <v>0</v>
      </c>
      <c r="V366" s="7"/>
      <c r="W366" s="7"/>
      <c r="X366" s="7"/>
      <c r="Y366" s="7"/>
      <c r="Z366" s="7"/>
      <c r="AA366" s="7"/>
      <c r="AB366" s="7"/>
      <c r="AC366" s="1517" t="s">
        <v>1712</v>
      </c>
      <c r="AD366" s="1418"/>
      <c r="AE366" s="1418"/>
      <c r="AF366" s="1418"/>
    </row>
    <row r="367" spans="1:34" ht="12.75" customHeight="1">
      <c r="E367" s="7" t="s">
        <v>1</v>
      </c>
      <c r="F367" s="7"/>
      <c r="G367" s="7"/>
      <c r="H367" s="7"/>
      <c r="I367" s="7"/>
      <c r="J367" s="7"/>
      <c r="K367" s="7"/>
      <c r="L367" s="7"/>
      <c r="N367" s="1517" t="s">
        <v>1712</v>
      </c>
      <c r="O367" s="1418"/>
      <c r="P367" s="1418"/>
      <c r="Q367" s="1418"/>
      <c r="R367" s="7"/>
      <c r="V367" s="7"/>
      <c r="W367" s="7"/>
      <c r="X367" s="7"/>
      <c r="Y367" s="7"/>
      <c r="Z367" s="7"/>
      <c r="AA367" s="7"/>
      <c r="AB367" s="7"/>
    </row>
    <row r="368" spans="1:34" ht="12.75" customHeight="1">
      <c r="E368" s="7" t="s">
        <v>2</v>
      </c>
      <c r="F368" s="7"/>
      <c r="G368" s="7"/>
      <c r="H368" s="7"/>
      <c r="I368" s="7"/>
      <c r="J368" s="7"/>
      <c r="K368" s="7"/>
      <c r="L368" s="7"/>
      <c r="N368" s="1576" t="s">
        <v>1712</v>
      </c>
      <c r="O368" s="1577"/>
      <c r="P368" s="1577"/>
      <c r="Q368" s="1577"/>
      <c r="R368" s="1577"/>
      <c r="S368" s="1577"/>
      <c r="T368" s="1577"/>
      <c r="U368" s="1577"/>
      <c r="V368" s="1577"/>
      <c r="W368" s="1577"/>
      <c r="X368" s="1577"/>
      <c r="Y368" s="1577"/>
      <c r="Z368" s="1577"/>
      <c r="AA368" s="1577"/>
      <c r="AB368" s="1577"/>
      <c r="AC368" s="1577"/>
      <c r="AD368" s="1577"/>
      <c r="AE368" s="1577"/>
      <c r="AF368" s="1577"/>
    </row>
    <row r="369" spans="1:38" ht="12.75" customHeight="1">
      <c r="E369" s="7"/>
      <c r="F369" s="7"/>
      <c r="G369" s="7"/>
      <c r="H369" s="7"/>
      <c r="I369" s="7"/>
      <c r="J369" s="7"/>
      <c r="K369" s="7"/>
      <c r="L369" s="7"/>
      <c r="N369" s="1578"/>
      <c r="O369" s="1578"/>
      <c r="P369" s="1578"/>
      <c r="Q369" s="1578"/>
      <c r="R369" s="1578"/>
      <c r="S369" s="1578"/>
      <c r="T369" s="1578"/>
      <c r="U369" s="1578"/>
      <c r="V369" s="1578"/>
      <c r="W369" s="1578"/>
      <c r="X369" s="1578"/>
      <c r="Y369" s="1578"/>
      <c r="Z369" s="1578"/>
      <c r="AA369" s="1578"/>
      <c r="AB369" s="1578"/>
      <c r="AC369" s="1578"/>
      <c r="AD369" s="1578"/>
      <c r="AE369" s="1578"/>
      <c r="AF369" s="1578"/>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22" t="s">
        <v>1712</v>
      </c>
      <c r="T372" s="1123"/>
      <c r="U372" s="4" t="s">
        <v>328</v>
      </c>
      <c r="V372" s="1122" t="s">
        <v>1712</v>
      </c>
      <c r="W372" s="1123"/>
      <c r="Y372" s="25" t="s">
        <v>326</v>
      </c>
      <c r="AA372" s="25"/>
      <c r="AB372" s="25" t="s">
        <v>327</v>
      </c>
      <c r="AD372" s="1122" t="s">
        <v>1712</v>
      </c>
      <c r="AE372" s="1123"/>
      <c r="AF372" s="4" t="s">
        <v>328</v>
      </c>
      <c r="AG372" s="1122" t="s">
        <v>1712</v>
      </c>
      <c r="AH372" s="1123"/>
    </row>
    <row r="373" spans="1:38" ht="12.75" customHeight="1">
      <c r="E373" s="7" t="s">
        <v>1127</v>
      </c>
      <c r="F373" s="7"/>
      <c r="G373" s="7"/>
      <c r="H373" s="7"/>
      <c r="I373" s="7"/>
      <c r="J373" s="7"/>
      <c r="K373" s="7"/>
      <c r="L373" s="7"/>
      <c r="N373" s="1122" t="s">
        <v>1712</v>
      </c>
      <c r="O373" s="1123"/>
      <c r="P373" s="1123"/>
    </row>
    <row r="374" spans="1:38" ht="12.75" customHeight="1">
      <c r="E374" s="399" t="s">
        <v>1129</v>
      </c>
      <c r="F374" s="7"/>
      <c r="G374" s="7"/>
      <c r="H374" s="7"/>
      <c r="I374" s="7"/>
      <c r="J374" s="7"/>
      <c r="K374" s="7"/>
      <c r="L374" s="7"/>
      <c r="AG374" s="1117" t="s">
        <v>641</v>
      </c>
      <c r="AH374" s="1117"/>
    </row>
    <row r="375" spans="1:38" ht="12.75" customHeight="1">
      <c r="E375" s="7"/>
      <c r="F375" s="7"/>
      <c r="G375" s="7" t="s">
        <v>1150</v>
      </c>
      <c r="H375" s="7"/>
      <c r="I375" s="7"/>
      <c r="J375" s="7"/>
      <c r="K375" s="7"/>
      <c r="L375" s="7"/>
      <c r="AG375" s="1117" t="s">
        <v>641</v>
      </c>
      <c r="AH375" s="1117"/>
    </row>
    <row r="376" spans="1:38" ht="12.75" customHeight="1">
      <c r="E376" s="7"/>
      <c r="F376" s="7"/>
      <c r="G376" s="530" t="s">
        <v>1130</v>
      </c>
      <c r="H376" s="7"/>
      <c r="I376" s="7"/>
      <c r="J376" s="7"/>
      <c r="K376" s="7"/>
      <c r="L376" s="7"/>
      <c r="V376" s="1099" t="s">
        <v>641</v>
      </c>
      <c r="W376" s="1099"/>
      <c r="Y376" s="35" t="s">
        <v>1094</v>
      </c>
    </row>
    <row r="377" spans="1:38" ht="12.75" customHeight="1">
      <c r="E377" s="7" t="s">
        <v>1095</v>
      </c>
      <c r="F377" s="7"/>
      <c r="G377" s="7"/>
      <c r="H377" s="7"/>
      <c r="I377" s="7"/>
      <c r="J377" s="7"/>
      <c r="K377" s="7"/>
      <c r="L377" s="7"/>
      <c r="V377" s="1099" t="s">
        <v>641</v>
      </c>
      <c r="W377" s="1099"/>
      <c r="Y377" s="7" t="s">
        <v>1096</v>
      </c>
    </row>
    <row r="378" spans="1:38" ht="12.75" customHeight="1"/>
    <row r="379" spans="1:38" ht="12.75" customHeight="1">
      <c r="A379" s="50" t="s">
        <v>84</v>
      </c>
      <c r="B379" s="50"/>
    </row>
    <row r="380" spans="1:38" ht="12.75" customHeight="1">
      <c r="D380" s="12" t="s">
        <v>463</v>
      </c>
      <c r="J380" s="1096" t="s">
        <v>1723</v>
      </c>
      <c r="K380" s="1098"/>
      <c r="L380" s="1098"/>
      <c r="M380" s="1098"/>
      <c r="N380" s="1098"/>
      <c r="O380" s="1098"/>
      <c r="P380" s="1098"/>
      <c r="Q380" s="1098"/>
      <c r="R380" s="1098"/>
      <c r="S380" s="1098"/>
      <c r="T380" s="1098"/>
      <c r="U380" s="1098"/>
      <c r="V380" s="14" t="s">
        <v>90</v>
      </c>
      <c r="W380" s="14"/>
      <c r="X380" s="14"/>
      <c r="Y380" s="14"/>
      <c r="Z380" s="14"/>
      <c r="AA380" s="14"/>
      <c r="AB380" s="14"/>
      <c r="AC380" s="1098" t="s">
        <v>1725</v>
      </c>
      <c r="AD380" s="1098"/>
      <c r="AE380" s="1098"/>
      <c r="AF380" s="1098"/>
      <c r="AG380" s="1098"/>
      <c r="AH380" s="1098"/>
      <c r="AI380" s="1098"/>
      <c r="AJ380" s="1098"/>
    </row>
    <row r="381" spans="1:38" ht="12.75" customHeight="1">
      <c r="A381" s="743"/>
      <c r="B381" s="743"/>
      <c r="C381" s="743"/>
      <c r="D381" s="58" t="s">
        <v>1422</v>
      </c>
      <c r="E381" s="743"/>
      <c r="F381" s="743"/>
      <c r="G381" s="743"/>
      <c r="H381" s="743"/>
      <c r="I381" s="743"/>
      <c r="J381" s="1125" t="s">
        <v>1725</v>
      </c>
      <c r="K381" s="1119"/>
      <c r="L381" s="1119"/>
      <c r="M381" s="1119"/>
      <c r="N381" s="1119"/>
      <c r="O381" s="1119"/>
      <c r="P381" s="1119"/>
      <c r="Q381" s="1119"/>
      <c r="R381" s="1119"/>
      <c r="S381" s="1119"/>
      <c r="T381" s="1119"/>
      <c r="U381" s="1119"/>
      <c r="V381" s="58" t="s">
        <v>1422</v>
      </c>
      <c r="W381" s="14"/>
      <c r="X381" s="14"/>
      <c r="Y381" s="14"/>
      <c r="Z381" s="14"/>
      <c r="AA381" s="14"/>
      <c r="AB381" s="14"/>
      <c r="AC381" s="1096" t="s">
        <v>1712</v>
      </c>
      <c r="AD381" s="1098"/>
      <c r="AE381" s="1098"/>
      <c r="AF381" s="1098"/>
      <c r="AG381" s="1098"/>
      <c r="AH381" s="1098"/>
      <c r="AI381" s="1098"/>
      <c r="AJ381" s="1098"/>
      <c r="AK381" s="743"/>
      <c r="AL381" s="743"/>
    </row>
    <row r="382" spans="1:38" ht="12.75" customHeight="1">
      <c r="A382" s="743"/>
      <c r="B382" s="743"/>
      <c r="C382" s="743"/>
      <c r="D382" s="58" t="s">
        <v>477</v>
      </c>
      <c r="E382" s="743"/>
      <c r="F382" s="743"/>
      <c r="G382" s="743"/>
      <c r="H382" s="743"/>
      <c r="I382" s="743"/>
      <c r="J382" s="1125" t="s">
        <v>1724</v>
      </c>
      <c r="K382" s="1119"/>
      <c r="L382" s="1119"/>
      <c r="M382" s="1119"/>
      <c r="N382" s="1119"/>
      <c r="O382" s="1119"/>
      <c r="P382" s="1119"/>
      <c r="Q382" s="1119"/>
      <c r="R382" s="1119"/>
      <c r="S382" s="1119"/>
      <c r="T382" s="1119"/>
      <c r="U382" s="1119"/>
      <c r="V382" s="58" t="s">
        <v>477</v>
      </c>
      <c r="W382" s="14"/>
      <c r="X382" s="14"/>
      <c r="Y382" s="14"/>
      <c r="Z382" s="14"/>
      <c r="AA382" s="14"/>
      <c r="AB382" s="14"/>
      <c r="AC382" s="1096" t="s">
        <v>1712</v>
      </c>
      <c r="AD382" s="1098"/>
      <c r="AE382" s="1098"/>
      <c r="AF382" s="1098"/>
      <c r="AG382" s="1098"/>
      <c r="AH382" s="1098"/>
      <c r="AI382" s="1098"/>
      <c r="AJ382" s="1098"/>
      <c r="AK382" s="743"/>
      <c r="AL382" s="743"/>
    </row>
    <row r="383" spans="1:38" ht="12.75" customHeight="1">
      <c r="A383" s="743"/>
      <c r="B383" s="743"/>
      <c r="C383" s="743"/>
      <c r="D383" s="496" t="s">
        <v>1418</v>
      </c>
      <c r="E383" s="743"/>
      <c r="F383" s="743"/>
      <c r="G383" s="743"/>
      <c r="H383" s="743"/>
      <c r="I383" s="88"/>
      <c r="J383" s="1584" t="s">
        <v>1727</v>
      </c>
      <c r="K383" s="1226"/>
      <c r="L383" s="1226"/>
      <c r="M383" s="1226"/>
      <c r="N383" s="1226"/>
      <c r="O383" s="1226"/>
      <c r="P383" s="1226"/>
      <c r="Q383" s="1226"/>
      <c r="R383" s="1226"/>
      <c r="S383" s="1226"/>
      <c r="T383" s="1226"/>
      <c r="U383" s="1226"/>
      <c r="V383" s="1098"/>
      <c r="W383" s="1098"/>
      <c r="X383" s="1098"/>
      <c r="Y383" s="1098"/>
      <c r="Z383" s="1098"/>
      <c r="AA383" s="1098"/>
      <c r="AB383" s="1098"/>
      <c r="AC383" s="1098"/>
      <c r="AD383" s="1098"/>
      <c r="AE383" s="1098"/>
      <c r="AF383" s="1098"/>
      <c r="AG383" s="1098"/>
      <c r="AH383" s="1098"/>
      <c r="AI383" s="1098"/>
      <c r="AJ383" s="1098"/>
      <c r="AK383" s="743"/>
      <c r="AL383" s="743"/>
    </row>
    <row r="384" spans="1:38" ht="12.75" customHeight="1">
      <c r="D384" s="12" t="s">
        <v>4</v>
      </c>
      <c r="Q384" s="1549">
        <v>43405</v>
      </c>
      <c r="R384" s="1549"/>
      <c r="S384" s="1549"/>
      <c r="T384" s="1549"/>
      <c r="U384" s="1549"/>
      <c r="V384" s="12" t="s">
        <v>331</v>
      </c>
      <c r="AI384" s="1099" t="s">
        <v>722</v>
      </c>
      <c r="AJ384" s="1099"/>
    </row>
    <row r="385" spans="1:38" ht="12.75" customHeight="1">
      <c r="D385" s="12" t="s">
        <v>5</v>
      </c>
      <c r="Q385" s="1214" t="s">
        <v>641</v>
      </c>
      <c r="R385" s="1215"/>
      <c r="S385" s="1215"/>
      <c r="T385" s="1215"/>
      <c r="U385" s="1215"/>
      <c r="W385" s="33" t="s">
        <v>80</v>
      </c>
      <c r="AG385" s="1547" t="s">
        <v>641</v>
      </c>
      <c r="AH385" s="1546"/>
      <c r="AI385" s="1546"/>
      <c r="AJ385" s="1546"/>
    </row>
    <row r="386" spans="1:38" ht="12.75" customHeight="1">
      <c r="D386" s="12" t="s">
        <v>462</v>
      </c>
      <c r="Q386" s="1575">
        <v>1390000</v>
      </c>
      <c r="R386" s="1575"/>
      <c r="S386" s="1575"/>
      <c r="T386" s="1575"/>
      <c r="U386" s="1575"/>
      <c r="V386" s="58" t="s">
        <v>1421</v>
      </c>
      <c r="AG386" s="1548">
        <v>43580</v>
      </c>
      <c r="AH386" s="1548"/>
      <c r="AI386" s="1548"/>
      <c r="AJ386" s="1548"/>
    </row>
    <row r="387" spans="1:38" ht="12.75" customHeight="1">
      <c r="D387" s="12" t="s">
        <v>95</v>
      </c>
      <c r="I387" s="1120" t="s">
        <v>1726</v>
      </c>
      <c r="J387" s="1121"/>
      <c r="K387" s="1121"/>
      <c r="L387" s="1121"/>
      <c r="M387" s="1121"/>
      <c r="N387" s="1121"/>
      <c r="Q387" s="57" t="s">
        <v>220</v>
      </c>
      <c r="S387" s="1571" t="s">
        <v>641</v>
      </c>
      <c r="T387" s="1572"/>
      <c r="U387" s="1572"/>
      <c r="V387" s="12" t="s">
        <v>79</v>
      </c>
      <c r="AI387" s="1099" t="s">
        <v>722</v>
      </c>
      <c r="AJ387" s="1099"/>
    </row>
    <row r="388" spans="1:38" ht="12.75">
      <c r="D388" s="12" t="s">
        <v>332</v>
      </c>
      <c r="Q388" s="1547" t="s">
        <v>641</v>
      </c>
      <c r="R388" s="1187"/>
      <c r="S388" s="1187"/>
      <c r="T388" s="1187"/>
      <c r="U388" s="1187"/>
      <c r="V388" s="12" t="s">
        <v>333</v>
      </c>
      <c r="AG388" s="1547" t="s">
        <v>641</v>
      </c>
      <c r="AH388" s="1546"/>
      <c r="AI388" s="1546"/>
      <c r="AJ388" s="1546"/>
    </row>
    <row r="389" spans="1:38" ht="12.75">
      <c r="D389" s="12" t="s">
        <v>334</v>
      </c>
      <c r="Q389" s="1544" t="s">
        <v>641</v>
      </c>
      <c r="R389" s="1545"/>
      <c r="S389" s="1545"/>
      <c r="T389" s="1545"/>
      <c r="U389" s="1545"/>
      <c r="V389" s="743" t="s">
        <v>1398</v>
      </c>
      <c r="AG389" s="1546"/>
      <c r="AH389" s="1546"/>
      <c r="AI389" s="1546"/>
      <c r="AJ389" s="1546"/>
    </row>
    <row r="390" spans="1:38" ht="12.75">
      <c r="D390" s="743" t="s">
        <v>1397</v>
      </c>
      <c r="V390" s="743"/>
      <c r="AG390" s="1546"/>
      <c r="AH390" s="1546"/>
      <c r="AI390" s="1546"/>
      <c r="AJ390" s="1546"/>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1460</v>
      </c>
      <c r="I393" s="1096" t="s">
        <v>1722</v>
      </c>
      <c r="J393" s="1096"/>
      <c r="K393" s="1096"/>
      <c r="L393" s="1096"/>
      <c r="M393" s="1096"/>
      <c r="N393" s="1096"/>
      <c r="O393" s="1096"/>
      <c r="P393" s="1096"/>
      <c r="Q393" s="1096"/>
      <c r="R393" s="1096"/>
      <c r="S393" s="1096"/>
      <c r="T393" s="1096"/>
      <c r="U393" s="1096"/>
      <c r="V393" s="1096"/>
      <c r="W393" s="1096"/>
      <c r="X393" s="1096"/>
      <c r="Y393" s="1096"/>
      <c r="Z393" s="1096"/>
      <c r="AA393" s="1096"/>
      <c r="AB393" s="1096"/>
      <c r="AC393" s="1096"/>
      <c r="AD393" s="1096"/>
      <c r="AE393" s="1096"/>
    </row>
    <row r="394" spans="1:38" ht="12.75" customHeight="1">
      <c r="C394" s="25"/>
      <c r="D394" s="25"/>
      <c r="E394" s="12" t="s">
        <v>113</v>
      </c>
      <c r="F394" s="25"/>
      <c r="G394" s="25"/>
      <c r="H394" s="25"/>
      <c r="I394" s="25"/>
      <c r="J394" s="25"/>
      <c r="K394" s="25"/>
      <c r="L394" s="25"/>
      <c r="M394" s="25"/>
      <c r="N394" s="25"/>
      <c r="O394" s="25"/>
      <c r="P394" s="743"/>
      <c r="Q394" s="743"/>
      <c r="R394" s="1099" t="s">
        <v>591</v>
      </c>
      <c r="S394" s="1099"/>
      <c r="T394" s="12" t="s">
        <v>619</v>
      </c>
      <c r="U394" s="743"/>
      <c r="V394" s="743"/>
      <c r="W394" s="743"/>
      <c r="X394" s="743"/>
      <c r="Y394" s="743"/>
      <c r="Z394" s="743"/>
      <c r="AA394" s="743"/>
      <c r="AB394" s="743"/>
      <c r="AC394" s="743"/>
      <c r="AD394" s="1418">
        <v>5</v>
      </c>
      <c r="AE394" s="1418"/>
      <c r="AF394" s="743"/>
    </row>
    <row r="395" spans="1:38" ht="12.75" customHeight="1">
      <c r="C395" s="25"/>
      <c r="E395" s="12" t="s">
        <v>114</v>
      </c>
      <c r="F395" s="743"/>
      <c r="G395" s="743"/>
      <c r="H395" s="743"/>
      <c r="I395" s="743"/>
      <c r="J395" s="743"/>
      <c r="K395" s="743"/>
      <c r="L395" s="743"/>
      <c r="M395" s="743"/>
      <c r="N395" s="25"/>
      <c r="O395" s="25"/>
      <c r="P395" s="743"/>
      <c r="Q395" s="743"/>
      <c r="R395" s="1099" t="s">
        <v>641</v>
      </c>
      <c r="S395" s="1099"/>
      <c r="T395" s="12" t="s">
        <v>619</v>
      </c>
      <c r="U395" s="743"/>
      <c r="V395" s="743"/>
      <c r="W395" s="743"/>
      <c r="X395" s="743"/>
      <c r="Y395" s="743"/>
      <c r="Z395" s="743"/>
      <c r="AA395" s="743"/>
      <c r="AB395" s="743"/>
      <c r="AC395" s="743"/>
      <c r="AD395" s="1517" t="s">
        <v>1712</v>
      </c>
      <c r="AE395" s="1418"/>
      <c r="AF395" s="743"/>
    </row>
    <row r="396" spans="1:38" ht="12.75" customHeight="1">
      <c r="C396" s="25"/>
      <c r="E396" s="12" t="s">
        <v>115</v>
      </c>
      <c r="F396" s="743"/>
      <c r="G396" s="743"/>
      <c r="H396" s="743"/>
      <c r="I396" s="743"/>
      <c r="J396" s="743"/>
      <c r="K396" s="743"/>
      <c r="L396" s="743"/>
      <c r="M396" s="743"/>
      <c r="N396" s="25"/>
      <c r="O396" s="25"/>
      <c r="P396" s="743"/>
      <c r="Q396" s="743"/>
      <c r="R396" s="743"/>
      <c r="S396" s="1099" t="s">
        <v>641</v>
      </c>
      <c r="T396" s="1099"/>
      <c r="U396" s="743"/>
      <c r="V396" s="743"/>
      <c r="W396" s="743"/>
      <c r="X396" s="743"/>
      <c r="Y396" s="743"/>
      <c r="Z396" s="743"/>
      <c r="AA396" s="743"/>
      <c r="AB396" s="743"/>
      <c r="AC396" s="743"/>
      <c r="AD396" s="743"/>
      <c r="AE396" s="743"/>
      <c r="AF396" s="743"/>
    </row>
    <row r="397" spans="1:38" ht="12.75" customHeight="1">
      <c r="E397" s="12" t="s">
        <v>177</v>
      </c>
      <c r="F397" s="743"/>
      <c r="G397" s="743"/>
      <c r="H397" s="1569" t="s">
        <v>1728</v>
      </c>
      <c r="I397" s="1569"/>
      <c r="J397" s="1569"/>
      <c r="K397" s="1569"/>
      <c r="L397" s="1569"/>
      <c r="M397" s="1569"/>
      <c r="N397" s="1569"/>
      <c r="O397" s="1569"/>
      <c r="P397" s="1569"/>
      <c r="Q397" s="1569"/>
      <c r="R397" s="1569"/>
      <c r="S397" s="1569"/>
      <c r="T397" s="1569"/>
      <c r="U397" s="1569"/>
      <c r="V397" s="1569"/>
      <c r="W397" s="1569"/>
      <c r="X397" s="1569"/>
      <c r="Y397" s="1569"/>
      <c r="Z397" s="1569"/>
      <c r="AA397" s="1569"/>
      <c r="AB397" s="1569"/>
      <c r="AC397" s="1569"/>
      <c r="AD397" s="1569"/>
      <c r="AE397" s="1569"/>
      <c r="AF397" s="743"/>
    </row>
    <row r="398" spans="1:38" ht="12.75" customHeight="1">
      <c r="E398" s="25"/>
      <c r="F398" s="743"/>
      <c r="G398" s="743"/>
      <c r="H398" s="1570"/>
      <c r="I398" s="1570"/>
      <c r="J398" s="1570"/>
      <c r="K398" s="1570"/>
      <c r="L398" s="1570"/>
      <c r="M398" s="1570"/>
      <c r="N398" s="1570"/>
      <c r="O398" s="1570"/>
      <c r="P398" s="1570"/>
      <c r="Q398" s="1570"/>
      <c r="R398" s="1570"/>
      <c r="S398" s="1570"/>
      <c r="T398" s="1570"/>
      <c r="U398" s="1570"/>
      <c r="V398" s="1570"/>
      <c r="W398" s="1570"/>
      <c r="X398" s="1570"/>
      <c r="Y398" s="1570"/>
      <c r="Z398" s="1570"/>
      <c r="AA398" s="1570"/>
      <c r="AB398" s="1570"/>
      <c r="AC398" s="1570"/>
      <c r="AD398" s="1570"/>
      <c r="AE398" s="1570"/>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23"/>
      <c r="F406" s="1123"/>
      <c r="G406" s="1123"/>
      <c r="H406" s="23" t="s">
        <v>122</v>
      </c>
      <c r="I406" s="1123"/>
      <c r="J406" s="1123"/>
      <c r="K406" s="1123"/>
      <c r="L406" s="12" t="s">
        <v>123</v>
      </c>
      <c r="N406" s="144" t="s">
        <v>625</v>
      </c>
      <c r="P406" s="1118">
        <v>0.28999999999999998</v>
      </c>
      <c r="Q406" s="1118"/>
      <c r="R406" s="1118"/>
      <c r="S406" s="12" t="s">
        <v>124</v>
      </c>
      <c r="W406" s="1574">
        <f>IF(E406&gt;0,(E406*I406),(P406*43560))</f>
        <v>12632.4</v>
      </c>
      <c r="X406" s="1574"/>
      <c r="Y406" s="1574"/>
      <c r="Z406" s="12" t="s">
        <v>125</v>
      </c>
      <c r="AF406" s="1118">
        <f>AG424/P406</f>
        <v>189.65517241379311</v>
      </c>
      <c r="AG406" s="1118"/>
      <c r="AH406" s="1118"/>
    </row>
    <row r="407" spans="1:36" ht="12.75">
      <c r="E407" s="12" t="s">
        <v>56</v>
      </c>
    </row>
    <row r="408" spans="1:36" ht="12.75">
      <c r="E408" s="1579"/>
      <c r="F408" s="1579"/>
      <c r="G408" s="1579"/>
      <c r="H408" s="1579"/>
      <c r="I408" s="1579"/>
      <c r="J408" s="1579"/>
      <c r="K408" s="1579"/>
      <c r="L408" s="1579"/>
      <c r="M408" s="1579"/>
      <c r="N408" s="1579"/>
      <c r="O408" s="1579"/>
      <c r="P408" s="1579"/>
      <c r="Q408" s="1579"/>
      <c r="R408" s="1579"/>
      <c r="S408" s="1579"/>
      <c r="T408" s="1579"/>
      <c r="U408" s="1579"/>
      <c r="V408" s="1579"/>
      <c r="W408" s="1579"/>
      <c r="X408" s="1579"/>
      <c r="Y408" s="1579"/>
      <c r="Z408" s="1579"/>
      <c r="AA408" s="1579"/>
      <c r="AB408" s="1579"/>
      <c r="AC408" s="1579"/>
      <c r="AD408" s="1579"/>
      <c r="AE408" s="1579"/>
      <c r="AF408" s="1579"/>
      <c r="AG408" s="1579"/>
      <c r="AH408" s="1579"/>
      <c r="AI408" s="1579"/>
      <c r="AJ408" s="1579"/>
    </row>
    <row r="409" spans="1:36" ht="12.75"/>
    <row r="410" spans="1:36" ht="12.75">
      <c r="A410" s="50" t="s">
        <v>642</v>
      </c>
      <c r="B410" s="50"/>
      <c r="C410" s="50"/>
      <c r="D410" s="50" t="s">
        <v>127</v>
      </c>
    </row>
    <row r="411" spans="1:36" ht="12.75">
      <c r="E411" s="12" t="s">
        <v>128</v>
      </c>
      <c r="P411" s="1099">
        <v>1</v>
      </c>
      <c r="Q411" s="1099"/>
      <c r="S411" s="12" t="s">
        <v>203</v>
      </c>
      <c r="AE411" s="1099">
        <v>1</v>
      </c>
      <c r="AF411" s="1099"/>
    </row>
    <row r="412" spans="1:36" ht="12.75">
      <c r="E412" s="12" t="s">
        <v>204</v>
      </c>
      <c r="P412" s="1517" t="s">
        <v>641</v>
      </c>
      <c r="Q412" s="1099"/>
      <c r="S412" s="12" t="s">
        <v>138</v>
      </c>
      <c r="AE412" s="1099" t="s">
        <v>641</v>
      </c>
      <c r="AF412" s="1099"/>
    </row>
    <row r="413" spans="1:36" ht="12.75" customHeight="1">
      <c r="F413" s="67" t="s">
        <v>139</v>
      </c>
    </row>
    <row r="414" spans="1:36" ht="12.75" customHeight="1">
      <c r="F414" s="1319"/>
      <c r="G414" s="1319"/>
      <c r="H414" s="1319"/>
      <c r="I414" s="1319"/>
      <c r="J414" s="1319"/>
      <c r="K414" s="1319"/>
      <c r="L414" s="1319"/>
      <c r="M414" s="1319"/>
      <c r="N414" s="1319"/>
      <c r="O414" s="1319"/>
      <c r="P414" s="1319"/>
      <c r="Q414" s="1319"/>
      <c r="R414" s="1319"/>
      <c r="S414" s="1319"/>
      <c r="T414" s="1319"/>
      <c r="U414" s="1319"/>
      <c r="V414" s="1319"/>
      <c r="W414" s="1319"/>
      <c r="X414" s="1319"/>
      <c r="Y414" s="1319"/>
      <c r="Z414" s="1319"/>
      <c r="AA414" s="1319"/>
      <c r="AB414" s="1319"/>
      <c r="AC414" s="1319"/>
      <c r="AD414" s="1319"/>
      <c r="AE414" s="1319"/>
      <c r="AF414" s="1319"/>
      <c r="AG414" s="1319"/>
      <c r="AH414" s="1319"/>
    </row>
    <row r="415" spans="1:36" ht="12.75" customHeight="1">
      <c r="F415" s="1320"/>
      <c r="G415" s="1320"/>
      <c r="H415" s="1320"/>
      <c r="I415" s="1320"/>
      <c r="J415" s="1320"/>
      <c r="K415" s="1320"/>
      <c r="L415" s="1320"/>
      <c r="M415" s="1320"/>
      <c r="N415" s="1320"/>
      <c r="O415" s="1320"/>
      <c r="P415" s="1320"/>
      <c r="Q415" s="1320"/>
      <c r="R415" s="1320"/>
      <c r="S415" s="1320"/>
      <c r="T415" s="1320"/>
      <c r="U415" s="1320"/>
      <c r="V415" s="1320"/>
      <c r="W415" s="1320"/>
      <c r="X415" s="1320"/>
      <c r="Y415" s="1320"/>
      <c r="Z415" s="1320"/>
      <c r="AA415" s="1320"/>
      <c r="AB415" s="1320"/>
      <c r="AC415" s="1320"/>
      <c r="AD415" s="1320"/>
      <c r="AE415" s="1320"/>
      <c r="AF415" s="1320"/>
      <c r="AG415" s="1320"/>
      <c r="AH415" s="1320"/>
    </row>
    <row r="416" spans="1:36" ht="12.75" customHeight="1">
      <c r="E416" s="12" t="s">
        <v>658</v>
      </c>
      <c r="N416" s="39"/>
      <c r="O416" s="39"/>
      <c r="P416" s="243"/>
      <c r="Q416" s="1099" t="s">
        <v>591</v>
      </c>
      <c r="R416" s="1099"/>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99" t="s">
        <v>641</v>
      </c>
      <c r="AG417" s="1585"/>
    </row>
    <row r="418" spans="1:96" ht="12.75" customHeight="1">
      <c r="S418" s="25"/>
      <c r="T418" s="25"/>
    </row>
    <row r="419" spans="1:96" ht="12.75" customHeight="1">
      <c r="A419" s="50"/>
      <c r="B419" s="50"/>
      <c r="C419" s="50"/>
      <c r="E419" s="7" t="s">
        <v>330</v>
      </c>
      <c r="Z419" s="1099" t="s">
        <v>722</v>
      </c>
      <c r="AA419" s="1099"/>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99" t="s">
        <v>641</v>
      </c>
      <c r="AA421" s="1099"/>
    </row>
    <row r="422" spans="1:96" ht="12.75" customHeight="1"/>
    <row r="423" spans="1:96" ht="12.75" customHeight="1">
      <c r="A423" s="50" t="s">
        <v>513</v>
      </c>
      <c r="B423" s="50"/>
      <c r="C423" s="50"/>
      <c r="D423" s="50" t="s">
        <v>842</v>
      </c>
      <c r="AF423" s="80"/>
    </row>
    <row r="424" spans="1:96" ht="12.75" customHeight="1">
      <c r="D424" s="1160" t="s">
        <v>48</v>
      </c>
      <c r="E424" s="1161"/>
      <c r="F424" s="1161"/>
      <c r="G424" s="1161"/>
      <c r="H424" s="1161"/>
      <c r="I424" s="1161"/>
      <c r="J424" s="1161"/>
      <c r="K424" s="1161"/>
      <c r="L424" s="1161"/>
      <c r="M424" s="1161"/>
      <c r="N424" s="1161"/>
      <c r="O424" s="1161"/>
      <c r="P424" s="1161"/>
      <c r="Q424" s="1161"/>
      <c r="R424" s="1161"/>
      <c r="S424" s="1161"/>
      <c r="T424" s="1161"/>
      <c r="U424" s="1161"/>
      <c r="V424" s="1161"/>
      <c r="W424" s="1161"/>
      <c r="X424" s="1161"/>
      <c r="Y424" s="1161"/>
      <c r="Z424" s="1161"/>
      <c r="AA424" s="1161"/>
      <c r="AB424" s="1161"/>
      <c r="AC424" s="1161"/>
      <c r="AD424" s="1161"/>
      <c r="AE424" s="1161"/>
      <c r="AF424" s="1530"/>
      <c r="AG424" s="1527">
        <v>55</v>
      </c>
      <c r="AH424" s="1527"/>
      <c r="AI424" s="1527"/>
      <c r="AJ424" s="1527"/>
    </row>
    <row r="425" spans="1:96" ht="12.75" customHeight="1">
      <c r="D425" s="1506" t="s">
        <v>1490</v>
      </c>
      <c r="E425" s="1507"/>
      <c r="F425" s="1507"/>
      <c r="G425" s="1507"/>
      <c r="H425" s="1507"/>
      <c r="I425" s="1507"/>
      <c r="J425" s="1507"/>
      <c r="K425" s="1507"/>
      <c r="L425" s="1507"/>
      <c r="M425" s="1507"/>
      <c r="N425" s="1507"/>
      <c r="O425" s="1507"/>
      <c r="P425" s="1507"/>
      <c r="Q425" s="1507"/>
      <c r="R425" s="1507"/>
      <c r="S425" s="1507"/>
      <c r="T425" s="1507"/>
      <c r="U425" s="1507"/>
      <c r="V425" s="1507"/>
      <c r="W425" s="1507"/>
      <c r="X425" s="1507"/>
      <c r="Y425" s="1507"/>
      <c r="Z425" s="1507"/>
      <c r="AA425" s="1507"/>
      <c r="AB425" s="1507"/>
      <c r="AC425" s="1507"/>
      <c r="AD425" s="1507"/>
      <c r="AE425" s="1507"/>
      <c r="AF425" s="1508"/>
      <c r="AG425" s="1534">
        <v>0</v>
      </c>
      <c r="AH425" s="1171"/>
      <c r="AI425" s="1171"/>
      <c r="AJ425" s="1171"/>
    </row>
    <row r="426" spans="1:96" ht="12.75" customHeight="1">
      <c r="D426" s="1506" t="s">
        <v>1184</v>
      </c>
      <c r="E426" s="1507"/>
      <c r="F426" s="1507"/>
      <c r="G426" s="1507"/>
      <c r="H426" s="1507"/>
      <c r="I426" s="1507"/>
      <c r="J426" s="1507"/>
      <c r="K426" s="1507"/>
      <c r="L426" s="1507"/>
      <c r="M426" s="1507"/>
      <c r="N426" s="1507"/>
      <c r="O426" s="1507"/>
      <c r="P426" s="1507"/>
      <c r="Q426" s="1507"/>
      <c r="R426" s="1507"/>
      <c r="S426" s="1507"/>
      <c r="T426" s="1507"/>
      <c r="U426" s="1507"/>
      <c r="V426" s="1507"/>
      <c r="W426" s="1507"/>
      <c r="X426" s="1507"/>
      <c r="Y426" s="1507"/>
      <c r="Z426" s="1507"/>
      <c r="AA426" s="1507"/>
      <c r="AB426" s="1507"/>
      <c r="AC426" s="1507"/>
      <c r="AD426" s="1507"/>
      <c r="AE426" s="1507"/>
      <c r="AF426" s="1508"/>
      <c r="AG426" s="1527">
        <v>54</v>
      </c>
      <c r="AH426" s="1527"/>
      <c r="AI426" s="1527"/>
      <c r="AJ426" s="1527"/>
    </row>
    <row r="427" spans="1:96" ht="12.75" customHeight="1">
      <c r="D427" s="1506" t="s">
        <v>1185</v>
      </c>
      <c r="E427" s="1507"/>
      <c r="F427" s="1507"/>
      <c r="G427" s="1507"/>
      <c r="H427" s="1507"/>
      <c r="I427" s="1507"/>
      <c r="J427" s="1507"/>
      <c r="K427" s="1507"/>
      <c r="L427" s="1507"/>
      <c r="M427" s="1507"/>
      <c r="N427" s="1507"/>
      <c r="O427" s="1507"/>
      <c r="P427" s="1507"/>
      <c r="Q427" s="1507"/>
      <c r="R427" s="1507"/>
      <c r="S427" s="1507"/>
      <c r="T427" s="1507"/>
      <c r="U427" s="1507"/>
      <c r="V427" s="1507"/>
      <c r="W427" s="1507"/>
      <c r="X427" s="1507"/>
      <c r="Y427" s="1507"/>
      <c r="Z427" s="1507"/>
      <c r="AA427" s="1507"/>
      <c r="AB427" s="1507"/>
      <c r="AC427" s="1507"/>
      <c r="AD427" s="1507"/>
      <c r="AE427" s="1507"/>
      <c r="AF427" s="1508"/>
      <c r="AG427" s="1527">
        <v>54</v>
      </c>
      <c r="AH427" s="1527"/>
      <c r="AI427" s="1527"/>
      <c r="AJ427" s="1527"/>
    </row>
    <row r="428" spans="1:96" ht="12.75" customHeight="1">
      <c r="D428" s="1506" t="s">
        <v>1187</v>
      </c>
      <c r="E428" s="1507"/>
      <c r="F428" s="1507"/>
      <c r="G428" s="1507"/>
      <c r="H428" s="1507"/>
      <c r="I428" s="1507"/>
      <c r="J428" s="1507"/>
      <c r="K428" s="1507"/>
      <c r="L428" s="1507"/>
      <c r="M428" s="1507"/>
      <c r="N428" s="1507"/>
      <c r="O428" s="1507"/>
      <c r="P428" s="1507"/>
      <c r="Q428" s="1507"/>
      <c r="R428" s="1507"/>
      <c r="S428" s="1507"/>
      <c r="T428" s="1507"/>
      <c r="U428" s="1507"/>
      <c r="V428" s="1507"/>
      <c r="W428" s="1507"/>
      <c r="X428" s="1507"/>
      <c r="Y428" s="1507"/>
      <c r="Z428" s="1507"/>
      <c r="AA428" s="1507"/>
      <c r="AB428" s="1507"/>
      <c r="AC428" s="1507"/>
      <c r="AD428" s="1507"/>
      <c r="AE428" s="1507"/>
      <c r="AF428" s="1508"/>
      <c r="AG428" s="1573">
        <f>IF(ISERROR(AG427/AG426),"",AG427/AG426)</f>
        <v>1</v>
      </c>
      <c r="AH428" s="1573"/>
      <c r="AI428" s="1573"/>
      <c r="AJ428" s="1573"/>
    </row>
    <row r="429" spans="1:96" ht="12.75" customHeight="1">
      <c r="D429" s="1506" t="s">
        <v>1186</v>
      </c>
      <c r="E429" s="1507"/>
      <c r="F429" s="1507"/>
      <c r="G429" s="1507"/>
      <c r="H429" s="1507"/>
      <c r="I429" s="1507"/>
      <c r="J429" s="1507"/>
      <c r="K429" s="1507"/>
      <c r="L429" s="1507"/>
      <c r="M429" s="1507"/>
      <c r="N429" s="1507"/>
      <c r="O429" s="1507"/>
      <c r="P429" s="1507"/>
      <c r="Q429" s="1507"/>
      <c r="R429" s="1507"/>
      <c r="S429" s="1507"/>
      <c r="T429" s="1507"/>
      <c r="U429" s="1507"/>
      <c r="V429" s="1507"/>
      <c r="W429" s="1507"/>
      <c r="X429" s="1507"/>
      <c r="Y429" s="1507"/>
      <c r="Z429" s="1507"/>
      <c r="AA429" s="1507"/>
      <c r="AB429" s="1507"/>
      <c r="AC429" s="1507"/>
      <c r="AD429" s="1507"/>
      <c r="AE429" s="1507"/>
      <c r="AF429" s="1508"/>
      <c r="AG429" s="1451">
        <f>24195-879</f>
        <v>23316</v>
      </c>
      <c r="AH429" s="1451"/>
      <c r="AI429" s="1451"/>
      <c r="AJ429" s="1451"/>
    </row>
    <row r="430" spans="1:96" ht="12.75" customHeight="1">
      <c r="D430" s="1506" t="s">
        <v>1188</v>
      </c>
      <c r="E430" s="1507"/>
      <c r="F430" s="1507"/>
      <c r="G430" s="1507"/>
      <c r="H430" s="1507"/>
      <c r="I430" s="1507"/>
      <c r="J430" s="1507"/>
      <c r="K430" s="1507"/>
      <c r="L430" s="1507"/>
      <c r="M430" s="1507"/>
      <c r="N430" s="1507"/>
      <c r="O430" s="1507"/>
      <c r="P430" s="1507"/>
      <c r="Q430" s="1507"/>
      <c r="R430" s="1507"/>
      <c r="S430" s="1507"/>
      <c r="T430" s="1507"/>
      <c r="U430" s="1507"/>
      <c r="V430" s="1507"/>
      <c r="W430" s="1507"/>
      <c r="X430" s="1507"/>
      <c r="Y430" s="1507"/>
      <c r="Z430" s="1507"/>
      <c r="AA430" s="1507"/>
      <c r="AB430" s="1507"/>
      <c r="AC430" s="1507"/>
      <c r="AD430" s="1507"/>
      <c r="AE430" s="1507"/>
      <c r="AF430" s="1508"/>
      <c r="AG430" s="1451">
        <v>23316</v>
      </c>
      <c r="AH430" s="1451"/>
      <c r="AI430" s="1451"/>
      <c r="AJ430" s="1451"/>
    </row>
    <row r="431" spans="1:96" ht="12.75" customHeight="1">
      <c r="D431" s="1506" t="s">
        <v>1189</v>
      </c>
      <c r="E431" s="1507"/>
      <c r="F431" s="1507"/>
      <c r="G431" s="1507"/>
      <c r="H431" s="1507"/>
      <c r="I431" s="1507"/>
      <c r="J431" s="1507"/>
      <c r="K431" s="1507"/>
      <c r="L431" s="1507"/>
      <c r="M431" s="1507"/>
      <c r="N431" s="1507"/>
      <c r="O431" s="1507"/>
      <c r="P431" s="1507"/>
      <c r="Q431" s="1507"/>
      <c r="R431" s="1507"/>
      <c r="S431" s="1507"/>
      <c r="T431" s="1507"/>
      <c r="U431" s="1507"/>
      <c r="V431" s="1507"/>
      <c r="W431" s="1507"/>
      <c r="X431" s="1507"/>
      <c r="Y431" s="1507"/>
      <c r="Z431" s="1507"/>
      <c r="AA431" s="1507"/>
      <c r="AB431" s="1507"/>
      <c r="AC431" s="1507"/>
      <c r="AD431" s="1507"/>
      <c r="AE431" s="1507"/>
      <c r="AF431" s="1508"/>
      <c r="AG431" s="1573">
        <f>IF(ISERROR(AG430/AG429),"",AG430/AG429)</f>
        <v>1</v>
      </c>
      <c r="AH431" s="1573"/>
      <c r="AI431" s="1573"/>
      <c r="AJ431" s="1573"/>
    </row>
    <row r="432" spans="1:96" ht="12.75" customHeight="1">
      <c r="D432" s="1506" t="s">
        <v>1190</v>
      </c>
      <c r="E432" s="1507"/>
      <c r="F432" s="1507"/>
      <c r="G432" s="1507"/>
      <c r="H432" s="1507"/>
      <c r="I432" s="1507"/>
      <c r="J432" s="1507"/>
      <c r="K432" s="1507"/>
      <c r="L432" s="1507"/>
      <c r="M432" s="1507"/>
      <c r="N432" s="1507"/>
      <c r="O432" s="1507"/>
      <c r="P432" s="1507"/>
      <c r="Q432" s="1507"/>
      <c r="R432" s="1507"/>
      <c r="S432" s="1507"/>
      <c r="T432" s="1507"/>
      <c r="U432" s="1507"/>
      <c r="V432" s="1507"/>
      <c r="W432" s="1507"/>
      <c r="X432" s="1507"/>
      <c r="Y432" s="1507"/>
      <c r="Z432" s="1507"/>
      <c r="AA432" s="1507"/>
      <c r="AB432" s="1507"/>
      <c r="AC432" s="1507"/>
      <c r="AD432" s="1507"/>
      <c r="AE432" s="1507"/>
      <c r="AF432" s="1508"/>
      <c r="AG432" s="1573">
        <f>MIN(IF(AG428&gt;AG431,AG431,AG428),1)</f>
        <v>1</v>
      </c>
      <c r="AH432" s="1573"/>
      <c r="AI432" s="1573"/>
      <c r="AJ432" s="1573"/>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6" t="s">
        <v>1461</v>
      </c>
      <c r="E433" s="1161"/>
      <c r="F433" s="1161"/>
      <c r="G433" s="1161"/>
      <c r="H433" s="1161"/>
      <c r="I433" s="1161"/>
      <c r="J433" s="1161"/>
      <c r="K433" s="1161"/>
      <c r="L433" s="1161"/>
      <c r="M433" s="1161"/>
      <c r="N433" s="1161"/>
      <c r="O433" s="1161"/>
      <c r="P433" s="1161"/>
      <c r="Q433" s="1161"/>
      <c r="R433" s="1161"/>
      <c r="S433" s="1161"/>
      <c r="T433" s="1161"/>
      <c r="U433" s="1161"/>
      <c r="V433" s="1161"/>
      <c r="W433" s="1161"/>
      <c r="X433" s="1161"/>
      <c r="Y433" s="1161"/>
      <c r="Z433" s="1161"/>
      <c r="AA433" s="1161"/>
      <c r="AB433" s="1161"/>
      <c r="AC433" s="1161"/>
      <c r="AD433" s="1161"/>
      <c r="AE433" s="1161"/>
      <c r="AF433" s="1530"/>
      <c r="AG433" s="1451">
        <v>3163</v>
      </c>
      <c r="AH433" s="1451"/>
      <c r="AI433" s="1451"/>
      <c r="AJ433" s="1451"/>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0" t="s">
        <v>617</v>
      </c>
      <c r="E434" s="1161"/>
      <c r="F434" s="1161"/>
      <c r="G434" s="1161"/>
      <c r="H434" s="1161"/>
      <c r="I434" s="1161"/>
      <c r="J434" s="1161"/>
      <c r="K434" s="1161"/>
      <c r="L434" s="1161"/>
      <c r="M434" s="1161"/>
      <c r="N434" s="1161"/>
      <c r="O434" s="1161"/>
      <c r="P434" s="1161"/>
      <c r="Q434" s="1161"/>
      <c r="R434" s="1161"/>
      <c r="S434" s="1161"/>
      <c r="T434" s="1161"/>
      <c r="U434" s="1161"/>
      <c r="V434" s="1161"/>
      <c r="W434" s="1161"/>
      <c r="X434" s="1161"/>
      <c r="Y434" s="1161"/>
      <c r="Z434" s="1161"/>
      <c r="AA434" s="1161"/>
      <c r="AB434" s="1161"/>
      <c r="AC434" s="1161"/>
      <c r="AD434" s="1161"/>
      <c r="AE434" s="1161"/>
      <c r="AF434" s="1530"/>
      <c r="AG434" s="1451">
        <v>0</v>
      </c>
      <c r="AH434" s="1451"/>
      <c r="AI434" s="1451"/>
      <c r="AJ434" s="1451"/>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6" t="s">
        <v>1462</v>
      </c>
      <c r="E435" s="1161"/>
      <c r="F435" s="1161"/>
      <c r="G435" s="1161"/>
      <c r="H435" s="1161"/>
      <c r="I435" s="1161"/>
      <c r="J435" s="1161"/>
      <c r="K435" s="1161"/>
      <c r="L435" s="1161"/>
      <c r="M435" s="1161"/>
      <c r="N435" s="1161"/>
      <c r="O435" s="1161"/>
      <c r="P435" s="1161"/>
      <c r="Q435" s="1161"/>
      <c r="R435" s="1161"/>
      <c r="S435" s="1161"/>
      <c r="T435" s="1161"/>
      <c r="U435" s="1161"/>
      <c r="V435" s="1161"/>
      <c r="W435" s="1161"/>
      <c r="X435" s="1161"/>
      <c r="Y435" s="1161"/>
      <c r="Z435" s="1161"/>
      <c r="AA435" s="1161"/>
      <c r="AB435" s="1161"/>
      <c r="AC435" s="1161"/>
      <c r="AD435" s="1161"/>
      <c r="AE435" s="1161"/>
      <c r="AF435" s="1530"/>
      <c r="AG435" s="1451">
        <f>3876+879-9</f>
        <v>4746</v>
      </c>
      <c r="AH435" s="1451"/>
      <c r="AI435" s="1451"/>
      <c r="AJ435" s="1451"/>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6" t="s">
        <v>1191</v>
      </c>
      <c r="E436" s="1161"/>
      <c r="F436" s="1161"/>
      <c r="G436" s="1161"/>
      <c r="H436" s="1161"/>
      <c r="I436" s="1161"/>
      <c r="J436" s="1161"/>
      <c r="K436" s="1161"/>
      <c r="L436" s="1161"/>
      <c r="M436" s="1161"/>
      <c r="N436" s="1161"/>
      <c r="O436" s="1161"/>
      <c r="P436" s="1161"/>
      <c r="Q436" s="1161"/>
      <c r="R436" s="1161"/>
      <c r="S436" s="1161"/>
      <c r="T436" s="1161"/>
      <c r="U436" s="1161"/>
      <c r="V436" s="1161"/>
      <c r="W436" s="1161"/>
      <c r="X436" s="1161"/>
      <c r="Y436" s="1161"/>
      <c r="Z436" s="1161"/>
      <c r="AA436" s="1161"/>
      <c r="AB436" s="1161"/>
      <c r="AC436" s="1161"/>
      <c r="AD436" s="1161"/>
      <c r="AE436" s="1161"/>
      <c r="AF436" s="1530"/>
      <c r="AG436" s="1451">
        <v>0</v>
      </c>
      <c r="AH436" s="1451"/>
      <c r="AI436" s="1451"/>
      <c r="AJ436" s="1451"/>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2" t="s">
        <v>1192</v>
      </c>
      <c r="E437" s="1563"/>
      <c r="F437" s="1563"/>
      <c r="G437" s="1563"/>
      <c r="H437" s="1563"/>
      <c r="I437" s="1563"/>
      <c r="J437" s="1563"/>
      <c r="K437" s="1563"/>
      <c r="L437" s="1563"/>
      <c r="M437" s="1563"/>
      <c r="N437" s="1563"/>
      <c r="O437" s="1563"/>
      <c r="P437" s="1563"/>
      <c r="Q437" s="1563"/>
      <c r="R437" s="1563"/>
      <c r="S437" s="1563"/>
      <c r="T437" s="1563"/>
      <c r="U437" s="1563"/>
      <c r="V437" s="1563"/>
      <c r="W437" s="1563"/>
      <c r="X437" s="1563"/>
      <c r="Y437" s="1563"/>
      <c r="Z437" s="1563"/>
      <c r="AA437" s="1563"/>
      <c r="AB437" s="1563"/>
      <c r="AC437" s="1563"/>
      <c r="AD437" s="1563"/>
      <c r="AE437" s="1563"/>
      <c r="AF437" s="1564"/>
      <c r="AG437" s="1528">
        <f>AG429+AG433+AG435+AG436</f>
        <v>31225</v>
      </c>
      <c r="AH437" s="1528"/>
      <c r="AI437" s="1528"/>
      <c r="AJ437" s="152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5" t="s">
        <v>1463</v>
      </c>
      <c r="E438" s="1565"/>
      <c r="F438" s="1565"/>
      <c r="G438" s="1565"/>
      <c r="H438" s="1565"/>
      <c r="I438" s="1565"/>
      <c r="J438" s="1565"/>
      <c r="K438" s="1565"/>
      <c r="L438" s="1565"/>
      <c r="M438" s="1565"/>
      <c r="N438" s="1565"/>
      <c r="O438" s="1565"/>
      <c r="P438" s="1565"/>
      <c r="Q438" s="1565"/>
      <c r="R438" s="1565"/>
      <c r="S438" s="1565"/>
      <c r="T438" s="1565"/>
      <c r="U438" s="1565"/>
      <c r="V438" s="1565"/>
      <c r="W438" s="1565"/>
      <c r="X438" s="1565"/>
      <c r="Y438" s="1565"/>
      <c r="Z438" s="1565"/>
      <c r="AA438" s="1565"/>
      <c r="AB438" s="1565"/>
      <c r="AC438" s="1565"/>
      <c r="AD438" s="1565"/>
      <c r="AE438" s="1565"/>
      <c r="AF438" s="1565"/>
      <c r="AG438" s="1565"/>
      <c r="AH438" s="1565"/>
      <c r="AI438" s="1565"/>
      <c r="AJ438" s="1565"/>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6"/>
      <c r="E439" s="1566"/>
      <c r="F439" s="1566"/>
      <c r="G439" s="1566"/>
      <c r="H439" s="1566"/>
      <c r="I439" s="1566"/>
      <c r="J439" s="1566"/>
      <c r="K439" s="1566"/>
      <c r="L439" s="1566"/>
      <c r="M439" s="1566"/>
      <c r="N439" s="1566"/>
      <c r="O439" s="1566"/>
      <c r="P439" s="1566"/>
      <c r="Q439" s="1566"/>
      <c r="R439" s="1566"/>
      <c r="S439" s="1566"/>
      <c r="T439" s="1566"/>
      <c r="U439" s="1566"/>
      <c r="V439" s="1566"/>
      <c r="W439" s="1566"/>
      <c r="X439" s="1566"/>
      <c r="Y439" s="1566"/>
      <c r="Z439" s="1566"/>
      <c r="AA439" s="1566"/>
      <c r="AB439" s="1566"/>
      <c r="AC439" s="1566"/>
      <c r="AD439" s="1566"/>
      <c r="AE439" s="1566"/>
      <c r="AF439" s="1566"/>
      <c r="AG439" s="1566"/>
      <c r="AH439" s="1566"/>
      <c r="AI439" s="1566"/>
      <c r="AJ439" s="1566"/>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4">
        <f>'Sources and Uses Budget'!B105/Application!AG424</f>
        <v>501090.67272727273</v>
      </c>
      <c r="AD441" s="1124"/>
      <c r="AE441" s="1124"/>
      <c r="AF441" s="112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4">
        <f>'Sources and Uses Budget'!C105/Application!AG424</f>
        <v>501090.67272727273</v>
      </c>
      <c r="AD442" s="1124"/>
      <c r="AE442" s="1124"/>
      <c r="AF442" s="112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4">
        <f>('Sources and Uses Budget'!$S$107+'Sources and Uses Budget'!$T$107)/Application!AG424</f>
        <v>447806.49090909091</v>
      </c>
      <c r="AD443" s="1124"/>
      <c r="AE443" s="1124"/>
      <c r="AF443" s="112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2" t="s">
        <v>749</v>
      </c>
      <c r="E452" s="1453"/>
      <c r="F452" s="1453"/>
      <c r="G452" s="1453"/>
      <c r="H452" s="1453"/>
      <c r="I452" s="1453"/>
      <c r="J452" s="1453"/>
      <c r="K452" s="1453"/>
      <c r="L452" s="1453"/>
      <c r="M452" s="1453"/>
      <c r="N452" s="1453"/>
      <c r="O452" s="1453"/>
      <c r="P452" s="1453"/>
      <c r="Q452" s="1453"/>
      <c r="R452" s="1453"/>
      <c r="S452" s="1453"/>
      <c r="T452" s="1453"/>
      <c r="U452" s="1453"/>
      <c r="V452" s="1454"/>
      <c r="W452" s="1257">
        <v>54</v>
      </c>
      <c r="X452" s="1258"/>
      <c r="Y452" s="125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2" t="s">
        <v>750</v>
      </c>
      <c r="E453" s="1453"/>
      <c r="F453" s="1453"/>
      <c r="G453" s="1453"/>
      <c r="H453" s="1453"/>
      <c r="I453" s="1453"/>
      <c r="J453" s="1453"/>
      <c r="K453" s="1453"/>
      <c r="L453" s="1453"/>
      <c r="M453" s="1453"/>
      <c r="N453" s="1453"/>
      <c r="O453" s="1453"/>
      <c r="P453" s="1453"/>
      <c r="Q453" s="1453"/>
      <c r="R453" s="1453"/>
      <c r="S453" s="1453"/>
      <c r="T453" s="1453"/>
      <c r="U453" s="1453"/>
      <c r="V453" s="1454"/>
      <c r="W453" s="1257" t="s">
        <v>641</v>
      </c>
      <c r="X453" s="1258"/>
      <c r="Y453" s="125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2" t="s">
        <v>751</v>
      </c>
      <c r="E454" s="1453"/>
      <c r="F454" s="1453"/>
      <c r="G454" s="1453"/>
      <c r="H454" s="1453"/>
      <c r="I454" s="1453"/>
      <c r="J454" s="1453"/>
      <c r="K454" s="1453"/>
      <c r="L454" s="1453"/>
      <c r="M454" s="1453"/>
      <c r="N454" s="1453"/>
      <c r="O454" s="1453"/>
      <c r="P454" s="1453"/>
      <c r="Q454" s="1453"/>
      <c r="R454" s="1453"/>
      <c r="S454" s="1453"/>
      <c r="T454" s="1453"/>
      <c r="U454" s="1453"/>
      <c r="V454" s="1454"/>
      <c r="W454" s="1257" t="s">
        <v>641</v>
      </c>
      <c r="X454" s="1258"/>
      <c r="Y454" s="125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2" t="s">
        <v>752</v>
      </c>
      <c r="E455" s="1453"/>
      <c r="F455" s="1453"/>
      <c r="G455" s="1453"/>
      <c r="H455" s="1453"/>
      <c r="I455" s="1453"/>
      <c r="J455" s="1453"/>
      <c r="K455" s="1453"/>
      <c r="L455" s="1453"/>
      <c r="M455" s="1453"/>
      <c r="N455" s="1453"/>
      <c r="O455" s="1453"/>
      <c r="P455" s="1453"/>
      <c r="Q455" s="1453"/>
      <c r="R455" s="1453"/>
      <c r="S455" s="1453"/>
      <c r="T455" s="1453"/>
      <c r="U455" s="1453"/>
      <c r="V455" s="1454"/>
      <c r="W455" s="1257" t="s">
        <v>641</v>
      </c>
      <c r="X455" s="1258"/>
      <c r="Y455" s="125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2" t="s">
        <v>975</v>
      </c>
      <c r="E456" s="1453"/>
      <c r="F456" s="1453"/>
      <c r="G456" s="1453"/>
      <c r="H456" s="1453"/>
      <c r="I456" s="1453"/>
      <c r="J456" s="1453"/>
      <c r="K456" s="1453"/>
      <c r="L456" s="1453"/>
      <c r="M456" s="1453"/>
      <c r="N456" s="1453"/>
      <c r="O456" s="1453"/>
      <c r="P456" s="1453"/>
      <c r="Q456" s="1453"/>
      <c r="R456" s="1453"/>
      <c r="S456" s="1453"/>
      <c r="T456" s="1453"/>
      <c r="U456" s="1453"/>
      <c r="V456" s="1454"/>
      <c r="W456" s="1257" t="s">
        <v>641</v>
      </c>
      <c r="X456" s="1258"/>
      <c r="Y456" s="125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2" t="s">
        <v>753</v>
      </c>
      <c r="E457" s="1453"/>
      <c r="F457" s="1453"/>
      <c r="G457" s="1453"/>
      <c r="H457" s="1453"/>
      <c r="I457" s="1453"/>
      <c r="J457" s="1453"/>
      <c r="K457" s="1453"/>
      <c r="L457" s="1453"/>
      <c r="M457" s="1453"/>
      <c r="N457" s="1453"/>
      <c r="O457" s="1453"/>
      <c r="P457" s="1453"/>
      <c r="Q457" s="1453"/>
      <c r="R457" s="1453"/>
      <c r="S457" s="1453"/>
      <c r="T457" s="1453"/>
      <c r="U457" s="1453"/>
      <c r="V457" s="1454"/>
      <c r="W457" s="1257" t="s">
        <v>641</v>
      </c>
      <c r="X457" s="1258"/>
      <c r="Y457" s="125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2" t="s">
        <v>1157</v>
      </c>
      <c r="E458" s="1453"/>
      <c r="F458" s="1453"/>
      <c r="G458" s="1453"/>
      <c r="H458" s="1453"/>
      <c r="I458" s="1453"/>
      <c r="J458" s="1453"/>
      <c r="K458" s="1453"/>
      <c r="L458" s="1453"/>
      <c r="M458" s="1453"/>
      <c r="N458" s="1453"/>
      <c r="O458" s="1453"/>
      <c r="P458" s="1453"/>
      <c r="Q458" s="1453"/>
      <c r="R458" s="1453"/>
      <c r="S458" s="1453"/>
      <c r="T458" s="1453"/>
      <c r="U458" s="1453"/>
      <c r="V458" s="1454"/>
      <c r="W458" s="1257" t="s">
        <v>641</v>
      </c>
      <c r="X458" s="1258"/>
      <c r="Y458" s="125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4"/>
      <c r="H459" s="1525"/>
      <c r="I459" s="1525"/>
      <c r="J459" s="1525"/>
      <c r="K459" s="1525"/>
      <c r="L459" s="1525"/>
      <c r="M459" s="1525"/>
      <c r="N459" s="1525"/>
      <c r="O459" s="1525"/>
      <c r="P459" s="1525"/>
      <c r="Q459" s="1525"/>
      <c r="R459" s="1525"/>
      <c r="S459" s="1525"/>
      <c r="T459" s="1525"/>
      <c r="U459" s="1525"/>
      <c r="V459" s="1526"/>
      <c r="W459" s="1257" t="s">
        <v>641</v>
      </c>
      <c r="X459" s="1258"/>
      <c r="Y459" s="125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6" t="s">
        <v>754</v>
      </c>
      <c r="E463" s="1457"/>
      <c r="F463" s="1457"/>
      <c r="G463" s="1457"/>
      <c r="H463" s="1457"/>
      <c r="I463" s="1457"/>
      <c r="J463" s="1457"/>
      <c r="K463" s="1457"/>
      <c r="L463" s="1457"/>
      <c r="M463" s="1457"/>
      <c r="N463" s="1457"/>
      <c r="O463" s="1457"/>
      <c r="P463" s="1457"/>
      <c r="Q463" s="1457"/>
      <c r="R463" s="1457"/>
      <c r="S463" s="1457"/>
      <c r="T463" s="1457"/>
      <c r="U463" s="1457"/>
      <c r="V463" s="1457"/>
      <c r="W463" s="1567"/>
      <c r="X463" s="1567"/>
      <c r="Y463" s="1568"/>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2" t="s">
        <v>755</v>
      </c>
      <c r="E464" s="1453"/>
      <c r="F464" s="1453"/>
      <c r="G464" s="1453"/>
      <c r="H464" s="1453"/>
      <c r="I464" s="1453"/>
      <c r="J464" s="1453"/>
      <c r="K464" s="1453"/>
      <c r="L464" s="1453"/>
      <c r="M464" s="1453"/>
      <c r="N464" s="1453"/>
      <c r="O464" s="1453"/>
      <c r="P464" s="1453"/>
      <c r="Q464" s="1453"/>
      <c r="R464" s="1453"/>
      <c r="S464" s="1453"/>
      <c r="T464" s="1453"/>
      <c r="U464" s="1453"/>
      <c r="V464" s="1454"/>
      <c r="W464" s="1257" t="s">
        <v>641</v>
      </c>
      <c r="X464" s="1258"/>
      <c r="Y464" s="125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1" t="s">
        <v>892</v>
      </c>
      <c r="B466" s="1261"/>
      <c r="C466" s="1261"/>
      <c r="D466" s="1261"/>
      <c r="E466" s="1261"/>
      <c r="F466" s="1261"/>
      <c r="G466" s="1261"/>
      <c r="H466" s="1261"/>
      <c r="I466" s="1261"/>
      <c r="J466" s="1261"/>
      <c r="K466" s="1261"/>
      <c r="L466" s="1261"/>
      <c r="M466" s="1261"/>
      <c r="N466" s="1261"/>
      <c r="O466" s="1261"/>
      <c r="P466" s="1261"/>
      <c r="Q466" s="1261"/>
      <c r="R466" s="1261"/>
      <c r="S466" s="1261"/>
      <c r="T466" s="1261"/>
      <c r="U466" s="1261"/>
      <c r="V466" s="1261"/>
      <c r="W466" s="1261"/>
      <c r="X466" s="1261"/>
      <c r="Y466" s="1261"/>
      <c r="Z466" s="1261"/>
      <c r="AA466" s="1261"/>
      <c r="AB466" s="1261"/>
      <c r="AC466" s="1261"/>
      <c r="AD466" s="1261"/>
      <c r="AE466" s="1261"/>
      <c r="AF466" s="1261"/>
      <c r="AG466" s="1261"/>
      <c r="AH466" s="1261"/>
      <c r="AI466" s="1261"/>
      <c r="AJ466" s="1261"/>
      <c r="AK466" s="1261"/>
      <c r="AL466" s="126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2"/>
      <c r="B467" s="1262"/>
      <c r="C467" s="1262"/>
      <c r="D467" s="1262"/>
      <c r="E467" s="1262"/>
      <c r="F467" s="1262"/>
      <c r="G467" s="1262"/>
      <c r="H467" s="1262"/>
      <c r="I467" s="1262"/>
      <c r="J467" s="1262"/>
      <c r="K467" s="1262"/>
      <c r="L467" s="1262"/>
      <c r="M467" s="1262"/>
      <c r="N467" s="1262"/>
      <c r="O467" s="1262"/>
      <c r="P467" s="1262"/>
      <c r="Q467" s="1262"/>
      <c r="R467" s="1262"/>
      <c r="S467" s="1262"/>
      <c r="T467" s="1262"/>
      <c r="U467" s="1262"/>
      <c r="V467" s="1262"/>
      <c r="W467" s="1262"/>
      <c r="X467" s="1262"/>
      <c r="Y467" s="1262"/>
      <c r="Z467" s="1262"/>
      <c r="AA467" s="1262"/>
      <c r="AB467" s="1262"/>
      <c r="AC467" s="1262"/>
      <c r="AD467" s="1262"/>
      <c r="AE467" s="1262"/>
      <c r="AF467" s="1262"/>
      <c r="AG467" s="1262"/>
      <c r="AH467" s="1262"/>
      <c r="AI467" s="1262"/>
      <c r="AJ467" s="1262"/>
      <c r="AK467" s="1262"/>
      <c r="AL467" s="126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f>AG574</f>
        <v>0</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3" t="s">
        <v>893</v>
      </c>
      <c r="U471" s="1464"/>
      <c r="V471" s="1464"/>
      <c r="W471" s="1464"/>
      <c r="X471" s="1464"/>
      <c r="Y471" s="1464"/>
      <c r="Z471" s="1464"/>
      <c r="AA471" s="1464"/>
      <c r="AB471" s="1464"/>
      <c r="AC471" s="1464"/>
      <c r="AD471" s="1464"/>
      <c r="AE471" s="1464"/>
      <c r="AF471" s="1464"/>
      <c r="AG471" s="1464"/>
      <c r="AH471" s="151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8" t="s">
        <v>38</v>
      </c>
      <c r="U472" s="1458"/>
      <c r="V472" s="1458"/>
      <c r="W472" s="1458"/>
      <c r="X472" s="1458"/>
      <c r="Y472" s="1458" t="s">
        <v>39</v>
      </c>
      <c r="Z472" s="1458"/>
      <c r="AA472" s="1458"/>
      <c r="AB472" s="1458"/>
      <c r="AC472" s="1458"/>
      <c r="AD472" s="1458" t="s">
        <v>362</v>
      </c>
      <c r="AE472" s="1458"/>
      <c r="AF472" s="1458"/>
      <c r="AG472" s="1458"/>
      <c r="AH472" s="145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8"/>
      <c r="U473" s="1458"/>
      <c r="V473" s="1458"/>
      <c r="W473" s="1458"/>
      <c r="X473" s="1458"/>
      <c r="Y473" s="1458"/>
      <c r="Z473" s="1458"/>
      <c r="AA473" s="1458"/>
      <c r="AB473" s="1458"/>
      <c r="AC473" s="1458"/>
      <c r="AD473" s="1458"/>
      <c r="AE473" s="1458"/>
      <c r="AF473" s="1458"/>
      <c r="AG473" s="1458"/>
      <c r="AH473" s="145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5">
        <v>0</v>
      </c>
      <c r="U474" s="1455"/>
      <c r="V474" s="1455"/>
      <c r="W474" s="1455"/>
      <c r="X474" s="1455"/>
      <c r="Y474" s="1455">
        <v>0</v>
      </c>
      <c r="Z474" s="1455"/>
      <c r="AA474" s="1455"/>
      <c r="AB474" s="1455"/>
      <c r="AC474" s="1455"/>
      <c r="AD474" s="1515" t="s">
        <v>641</v>
      </c>
      <c r="AE474" s="1455"/>
      <c r="AF474" s="1455"/>
      <c r="AG474" s="1455"/>
      <c r="AH474" s="145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5">
        <v>0</v>
      </c>
      <c r="U475" s="1455"/>
      <c r="V475" s="1455"/>
      <c r="W475" s="1455"/>
      <c r="X475" s="1455"/>
      <c r="Y475" s="1455">
        <v>44228</v>
      </c>
      <c r="Z475" s="1455"/>
      <c r="AA475" s="1455"/>
      <c r="AB475" s="1455"/>
      <c r="AC475" s="1455"/>
      <c r="AD475" s="1455">
        <v>0</v>
      </c>
      <c r="AE475" s="1455"/>
      <c r="AF475" s="1455"/>
      <c r="AG475" s="1455"/>
      <c r="AH475" s="145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5">
        <v>0</v>
      </c>
      <c r="U476" s="1455"/>
      <c r="V476" s="1455"/>
      <c r="W476" s="1455"/>
      <c r="X476" s="1455"/>
      <c r="Y476" s="1455">
        <v>0</v>
      </c>
      <c r="Z476" s="1455"/>
      <c r="AA476" s="1455"/>
      <c r="AB476" s="1455"/>
      <c r="AC476" s="1455"/>
      <c r="AD476" s="1515" t="s">
        <v>641</v>
      </c>
      <c r="AE476" s="1455"/>
      <c r="AF476" s="1455"/>
      <c r="AG476" s="1455"/>
      <c r="AH476" s="145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5">
        <v>0</v>
      </c>
      <c r="U477" s="1455"/>
      <c r="V477" s="1455"/>
      <c r="W477" s="1455"/>
      <c r="X477" s="1455"/>
      <c r="Y477" s="1455">
        <v>0</v>
      </c>
      <c r="Z477" s="1455"/>
      <c r="AA477" s="1455"/>
      <c r="AB477" s="1455"/>
      <c r="AC477" s="1455"/>
      <c r="AD477" s="1455">
        <v>43602</v>
      </c>
      <c r="AE477" s="1455"/>
      <c r="AF477" s="1455"/>
      <c r="AG477" s="1455"/>
      <c r="AH477" s="1455"/>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5">
        <v>0</v>
      </c>
      <c r="U478" s="1455"/>
      <c r="V478" s="1455"/>
      <c r="W478" s="1455"/>
      <c r="X478" s="1455"/>
      <c r="Y478" s="1455">
        <v>0</v>
      </c>
      <c r="Z478" s="1455"/>
      <c r="AA478" s="1455"/>
      <c r="AB478" s="1455"/>
      <c r="AC478" s="1455"/>
      <c r="AD478" s="1515" t="s">
        <v>641</v>
      </c>
      <c r="AE478" s="1455"/>
      <c r="AF478" s="1455"/>
      <c r="AG478" s="1455"/>
      <c r="AH478" s="145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5">
        <v>0</v>
      </c>
      <c r="U479" s="1455"/>
      <c r="V479" s="1455"/>
      <c r="W479" s="1455"/>
      <c r="X479" s="1455"/>
      <c r="Y479" s="1455">
        <v>0</v>
      </c>
      <c r="Z479" s="1455"/>
      <c r="AA479" s="1455"/>
      <c r="AB479" s="1455"/>
      <c r="AC479" s="1455"/>
      <c r="AD479" s="1515">
        <v>44070</v>
      </c>
      <c r="AE479" s="1455"/>
      <c r="AF479" s="1455"/>
      <c r="AG479" s="1455"/>
      <c r="AH479" s="145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5">
        <v>0</v>
      </c>
      <c r="U480" s="1455"/>
      <c r="V480" s="1455"/>
      <c r="W480" s="1455"/>
      <c r="X480" s="1455"/>
      <c r="Y480" s="1455">
        <v>0</v>
      </c>
      <c r="Z480" s="1455"/>
      <c r="AA480" s="1455"/>
      <c r="AB480" s="1455"/>
      <c r="AC480" s="1455"/>
      <c r="AD480" s="1455">
        <v>43592</v>
      </c>
      <c r="AE480" s="1455"/>
      <c r="AF480" s="1455"/>
      <c r="AG480" s="1455"/>
      <c r="AH480" s="145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5">
        <v>0</v>
      </c>
      <c r="U481" s="1455"/>
      <c r="V481" s="1455"/>
      <c r="W481" s="1455"/>
      <c r="X481" s="1455"/>
      <c r="Y481" s="1455">
        <v>0</v>
      </c>
      <c r="Z481" s="1455"/>
      <c r="AA481" s="1455"/>
      <c r="AB481" s="1455"/>
      <c r="AC481" s="1455"/>
      <c r="AD481" s="1515" t="s">
        <v>641</v>
      </c>
      <c r="AE481" s="1455"/>
      <c r="AF481" s="1455"/>
      <c r="AG481" s="1455"/>
      <c r="AH481" s="145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5">
        <v>0</v>
      </c>
      <c r="U482" s="1455"/>
      <c r="V482" s="1455"/>
      <c r="W482" s="1455"/>
      <c r="X482" s="1455"/>
      <c r="Y482" s="1455">
        <v>0</v>
      </c>
      <c r="Z482" s="1455"/>
      <c r="AA482" s="1455"/>
      <c r="AB482" s="1455"/>
      <c r="AC482" s="1455"/>
      <c r="AD482" s="1515" t="s">
        <v>641</v>
      </c>
      <c r="AE482" s="1455"/>
      <c r="AF482" s="1455"/>
      <c r="AG482" s="1455"/>
      <c r="AH482" s="145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55">
        <v>0</v>
      </c>
      <c r="U483" s="1455"/>
      <c r="V483" s="1455"/>
      <c r="W483" s="1455"/>
      <c r="X483" s="1455"/>
      <c r="Y483" s="1455">
        <v>0</v>
      </c>
      <c r="Z483" s="1455"/>
      <c r="AA483" s="1455"/>
      <c r="AB483" s="1455"/>
      <c r="AC483" s="1455"/>
      <c r="AD483" s="1515" t="s">
        <v>641</v>
      </c>
      <c r="AE483" s="1455"/>
      <c r="AF483" s="1455"/>
      <c r="AG483" s="1455"/>
      <c r="AH483" s="145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0" t="s">
        <v>428</v>
      </c>
      <c r="R485" s="1461"/>
      <c r="S485" s="1461"/>
      <c r="T485" s="1461"/>
      <c r="U485" s="1461"/>
      <c r="V485" s="1461"/>
      <c r="W485" s="1461"/>
      <c r="X485" s="1461"/>
      <c r="Y485" s="1461"/>
      <c r="Z485" s="1461"/>
      <c r="AA485" s="1461"/>
      <c r="AB485" s="1461"/>
      <c r="AC485" s="1461"/>
      <c r="AD485" s="1461"/>
      <c r="AE485" s="1461"/>
      <c r="AF485" s="1461"/>
      <c r="AG485" s="1461"/>
      <c r="AH485" s="1461"/>
      <c r="AI485" s="1461"/>
      <c r="AJ485" s="1461"/>
      <c r="AK485" s="1462"/>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514" t="s">
        <v>1736</v>
      </c>
      <c r="R486" s="1119"/>
      <c r="S486" s="1119"/>
      <c r="T486" s="1119"/>
      <c r="U486" s="1119"/>
      <c r="V486" s="1119"/>
      <c r="W486" s="1119"/>
      <c r="X486" s="1119"/>
      <c r="Y486" s="1119"/>
      <c r="Z486" s="1119"/>
      <c r="AA486" s="1119"/>
      <c r="AB486" s="1119"/>
      <c r="AC486" s="1119"/>
      <c r="AD486" s="1119"/>
      <c r="AE486" s="1119"/>
      <c r="AF486" s="1119"/>
      <c r="AG486" s="1119"/>
      <c r="AH486" s="1119"/>
      <c r="AI486" s="1119"/>
      <c r="AJ486" s="1119"/>
      <c r="AK486" s="1299"/>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14" t="s">
        <v>1738</v>
      </c>
      <c r="R487" s="1119"/>
      <c r="S487" s="1119"/>
      <c r="T487" s="1119"/>
      <c r="U487" s="1119"/>
      <c r="V487" s="1119"/>
      <c r="W487" s="1119"/>
      <c r="X487" s="1119"/>
      <c r="Y487" s="1119"/>
      <c r="Z487" s="1119"/>
      <c r="AA487" s="1119"/>
      <c r="AB487" s="1119"/>
      <c r="AC487" s="1119"/>
      <c r="AD487" s="1119"/>
      <c r="AE487" s="1119"/>
      <c r="AF487" s="1119"/>
      <c r="AG487" s="1119"/>
      <c r="AH487" s="1119"/>
      <c r="AI487" s="1119"/>
      <c r="AJ487" s="1119"/>
      <c r="AK487" s="1299"/>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514" t="s">
        <v>1775</v>
      </c>
      <c r="R488" s="1119"/>
      <c r="S488" s="1119"/>
      <c r="T488" s="1119"/>
      <c r="U488" s="1119"/>
      <c r="V488" s="1119"/>
      <c r="W488" s="1119"/>
      <c r="X488" s="1119"/>
      <c r="Y488" s="1119"/>
      <c r="Z488" s="1119"/>
      <c r="AA488" s="1119"/>
      <c r="AB488" s="1119"/>
      <c r="AC488" s="1119"/>
      <c r="AD488" s="1119"/>
      <c r="AE488" s="1119"/>
      <c r="AF488" s="1119"/>
      <c r="AG488" s="1119"/>
      <c r="AH488" s="1119"/>
      <c r="AI488" s="1119"/>
      <c r="AJ488" s="1119"/>
      <c r="AK488" s="1299"/>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5" t="s">
        <v>432</v>
      </c>
      <c r="C489" s="1466"/>
      <c r="D489" s="1466"/>
      <c r="E489" s="1466"/>
      <c r="F489" s="1466"/>
      <c r="G489" s="1466"/>
      <c r="H489" s="1466"/>
      <c r="I489" s="1466"/>
      <c r="J489" s="1466"/>
      <c r="K489" s="1466"/>
      <c r="L489" s="1466"/>
      <c r="M489" s="1466"/>
      <c r="N489" s="1466"/>
      <c r="O489" s="1466"/>
      <c r="P489" s="146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8"/>
      <c r="C490" s="1469"/>
      <c r="D490" s="1469"/>
      <c r="E490" s="1469"/>
      <c r="F490" s="1469"/>
      <c r="G490" s="1469"/>
      <c r="H490" s="1469"/>
      <c r="I490" s="1469"/>
      <c r="J490" s="1469"/>
      <c r="K490" s="1469"/>
      <c r="L490" s="1469"/>
      <c r="M490" s="1469"/>
      <c r="N490" s="1469"/>
      <c r="O490" s="1469"/>
      <c r="P490" s="1470"/>
      <c r="Q490" s="1474" t="s">
        <v>722</v>
      </c>
      <c r="R490" s="1475"/>
      <c r="S490" s="1090" t="s">
        <v>173</v>
      </c>
      <c r="T490" s="1091"/>
      <c r="U490" s="1091"/>
      <c r="V490" s="1091"/>
      <c r="W490" s="1091"/>
      <c r="X490" s="1091"/>
      <c r="Y490" s="1091"/>
      <c r="Z490" s="1091"/>
      <c r="AA490" s="1091"/>
      <c r="AB490" s="1091"/>
      <c r="AC490" s="1091"/>
      <c r="AD490" s="1091"/>
      <c r="AE490" s="1091"/>
      <c r="AF490" s="1091"/>
      <c r="AG490" s="1091"/>
      <c r="AH490" s="1091"/>
      <c r="AI490" s="1091"/>
      <c r="AJ490" s="1091"/>
      <c r="AK490" s="1092"/>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1"/>
      <c r="C491" s="1472"/>
      <c r="D491" s="1472"/>
      <c r="E491" s="1472"/>
      <c r="F491" s="1472"/>
      <c r="G491" s="1472"/>
      <c r="H491" s="1472"/>
      <c r="I491" s="1472"/>
      <c r="J491" s="1472"/>
      <c r="K491" s="1472"/>
      <c r="L491" s="1472"/>
      <c r="M491" s="1472"/>
      <c r="N491" s="1472"/>
      <c r="O491" s="1472"/>
      <c r="P491" s="1473"/>
      <c r="Q491" s="1476"/>
      <c r="R491" s="1477"/>
      <c r="S491" s="1093"/>
      <c r="T491" s="1094"/>
      <c r="U491" s="1094"/>
      <c r="V491" s="1094"/>
      <c r="W491" s="1094"/>
      <c r="X491" s="1094"/>
      <c r="Y491" s="1094"/>
      <c r="Z491" s="1094"/>
      <c r="AA491" s="1094"/>
      <c r="AB491" s="1094"/>
      <c r="AC491" s="1094"/>
      <c r="AD491" s="1094"/>
      <c r="AE491" s="1094"/>
      <c r="AF491" s="1094"/>
      <c r="AG491" s="1094"/>
      <c r="AH491" s="1094"/>
      <c r="AI491" s="1094"/>
      <c r="AJ491" s="1094"/>
      <c r="AK491" s="1095"/>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514" t="s">
        <v>641</v>
      </c>
      <c r="R492" s="1119"/>
      <c r="S492" s="1119"/>
      <c r="T492" s="1119"/>
      <c r="U492" s="1119"/>
      <c r="V492" s="1119"/>
      <c r="W492" s="1119"/>
      <c r="X492" s="1119"/>
      <c r="Y492" s="1119"/>
      <c r="Z492" s="1119"/>
      <c r="AA492" s="1119"/>
      <c r="AB492" s="1119"/>
      <c r="AC492" s="1119"/>
      <c r="AD492" s="1119"/>
      <c r="AE492" s="1119"/>
      <c r="AF492" s="1119"/>
      <c r="AG492" s="1119"/>
      <c r="AH492" s="1119"/>
      <c r="AI492" s="1119"/>
      <c r="AJ492" s="1119"/>
      <c r="AK492" s="1299"/>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514" t="s">
        <v>1737</v>
      </c>
      <c r="R493" s="1119"/>
      <c r="S493" s="1119"/>
      <c r="T493" s="1119"/>
      <c r="U493" s="1119"/>
      <c r="V493" s="1119"/>
      <c r="W493" s="1119"/>
      <c r="X493" s="1119"/>
      <c r="Y493" s="1119"/>
      <c r="Z493" s="1119"/>
      <c r="AA493" s="1119"/>
      <c r="AB493" s="1119"/>
      <c r="AC493" s="1119"/>
      <c r="AD493" s="1119"/>
      <c r="AE493" s="1119"/>
      <c r="AF493" s="1119"/>
      <c r="AG493" s="1119"/>
      <c r="AH493" s="1119"/>
      <c r="AI493" s="1119"/>
      <c r="AJ493" s="1119"/>
      <c r="AK493" s="1299"/>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0" t="s">
        <v>436</v>
      </c>
      <c r="AD498" s="1461"/>
      <c r="AE498" s="1461"/>
      <c r="AF498" s="1461"/>
      <c r="AG498" s="1461"/>
      <c r="AH498" s="1461"/>
      <c r="AI498" s="1461"/>
      <c r="AJ498" s="1461"/>
      <c r="AK498" s="146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3" t="s">
        <v>437</v>
      </c>
      <c r="AD499" s="1464"/>
      <c r="AE499" s="1464"/>
      <c r="AF499" s="1464"/>
      <c r="AG499" s="82" t="s">
        <v>438</v>
      </c>
      <c r="AH499" s="1464" t="s">
        <v>439</v>
      </c>
      <c r="AI499" s="1464"/>
      <c r="AJ499" s="1464"/>
      <c r="AK499" s="151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8" t="s">
        <v>440</v>
      </c>
      <c r="C500" s="1479"/>
      <c r="D500" s="1479"/>
      <c r="E500" s="1479"/>
      <c r="F500" s="1479"/>
      <c r="G500" s="1479"/>
      <c r="H500" s="1480"/>
      <c r="I500" s="72" t="s">
        <v>441</v>
      </c>
      <c r="J500" s="72"/>
      <c r="K500" s="72"/>
      <c r="L500" s="72"/>
      <c r="M500" s="72"/>
      <c r="N500" s="72"/>
      <c r="O500" s="72"/>
      <c r="P500" s="72"/>
      <c r="Q500" s="72"/>
      <c r="R500" s="72"/>
      <c r="S500" s="72"/>
      <c r="T500" s="72"/>
      <c r="U500" s="72"/>
      <c r="V500" s="72"/>
      <c r="W500" s="72"/>
      <c r="X500" s="25"/>
      <c r="Y500" s="25"/>
      <c r="AC500" s="1459" t="s">
        <v>641</v>
      </c>
      <c r="AD500" s="1418"/>
      <c r="AE500" s="1418"/>
      <c r="AF500" s="1418"/>
      <c r="AG500" s="75" t="s">
        <v>438</v>
      </c>
      <c r="AH500" s="1226">
        <v>0</v>
      </c>
      <c r="AI500" s="1226"/>
      <c r="AJ500" s="1226"/>
      <c r="AK500" s="122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1"/>
      <c r="C501" s="1482"/>
      <c r="D501" s="1482"/>
      <c r="E501" s="1482"/>
      <c r="F501" s="1482"/>
      <c r="G501" s="1482"/>
      <c r="H501" s="1483"/>
      <c r="I501" s="80" t="s">
        <v>442</v>
      </c>
      <c r="J501" s="80"/>
      <c r="K501" s="80"/>
      <c r="L501" s="80"/>
      <c r="M501" s="80"/>
      <c r="N501" s="80"/>
      <c r="O501" s="80"/>
      <c r="P501" s="80"/>
      <c r="Q501" s="80"/>
      <c r="R501" s="80"/>
      <c r="S501" s="80"/>
      <c r="T501" s="80"/>
      <c r="U501" s="80"/>
      <c r="V501" s="80"/>
      <c r="W501" s="80"/>
      <c r="X501" s="80"/>
      <c r="Y501" s="80"/>
      <c r="Z501" s="80"/>
      <c r="AA501" s="80"/>
      <c r="AB501" s="80"/>
      <c r="AC501" s="1459" t="s">
        <v>641</v>
      </c>
      <c r="AD501" s="1418"/>
      <c r="AE501" s="1418"/>
      <c r="AF501" s="1418"/>
      <c r="AG501" s="65" t="s">
        <v>438</v>
      </c>
      <c r="AH501" s="1226"/>
      <c r="AI501" s="1226"/>
      <c r="AJ501" s="1226"/>
      <c r="AK501" s="122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8" t="s">
        <v>443</v>
      </c>
      <c r="C502" s="1479"/>
      <c r="D502" s="1479"/>
      <c r="E502" s="1479"/>
      <c r="F502" s="1479"/>
      <c r="G502" s="1479"/>
      <c r="H502" s="1480"/>
      <c r="I502" s="72" t="s">
        <v>444</v>
      </c>
      <c r="J502" s="72"/>
      <c r="K502" s="72"/>
      <c r="L502" s="72"/>
      <c r="M502" s="72"/>
      <c r="N502" s="72"/>
      <c r="O502" s="72"/>
      <c r="P502" s="72"/>
      <c r="Q502" s="72"/>
      <c r="R502" s="72"/>
      <c r="S502" s="72"/>
      <c r="T502" s="72"/>
      <c r="U502" s="72"/>
      <c r="V502" s="72"/>
      <c r="W502" s="72"/>
      <c r="X502" s="25"/>
      <c r="Y502" s="25"/>
      <c r="AC502" s="1459" t="s">
        <v>641</v>
      </c>
      <c r="AD502" s="1418"/>
      <c r="AE502" s="1418"/>
      <c r="AF502" s="1418"/>
      <c r="AG502" s="75" t="s">
        <v>438</v>
      </c>
      <c r="AH502" s="1226"/>
      <c r="AI502" s="1226"/>
      <c r="AJ502" s="1226"/>
      <c r="AK502" s="122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1"/>
      <c r="C503" s="1482"/>
      <c r="D503" s="1482"/>
      <c r="E503" s="1482"/>
      <c r="F503" s="1482"/>
      <c r="G503" s="1482"/>
      <c r="H503" s="1483"/>
      <c r="I503" s="25" t="s">
        <v>445</v>
      </c>
      <c r="J503" s="25"/>
      <c r="K503" s="25"/>
      <c r="L503" s="25"/>
      <c r="M503" s="25"/>
      <c r="N503" s="25"/>
      <c r="O503" s="25"/>
      <c r="P503" s="25"/>
      <c r="Q503" s="25"/>
      <c r="R503" s="25"/>
      <c r="S503" s="25"/>
      <c r="T503" s="25"/>
      <c r="U503" s="25"/>
      <c r="V503" s="25"/>
      <c r="W503" s="25"/>
      <c r="X503" s="25"/>
      <c r="Y503" s="25"/>
      <c r="AC503" s="1459" t="s">
        <v>641</v>
      </c>
      <c r="AD503" s="1418"/>
      <c r="AE503" s="1418"/>
      <c r="AF503" s="1418"/>
      <c r="AG503" s="75" t="s">
        <v>438</v>
      </c>
      <c r="AH503" s="1226"/>
      <c r="AI503" s="1226"/>
      <c r="AJ503" s="1226"/>
      <c r="AK503" s="122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1"/>
      <c r="C504" s="1482"/>
      <c r="D504" s="1482"/>
      <c r="E504" s="1482"/>
      <c r="F504" s="1482"/>
      <c r="G504" s="1482"/>
      <c r="H504" s="1483"/>
      <c r="I504" s="25" t="s">
        <v>446</v>
      </c>
      <c r="J504" s="25"/>
      <c r="K504" s="25"/>
      <c r="L504" s="25"/>
      <c r="M504" s="25"/>
      <c r="N504" s="25"/>
      <c r="O504" s="25"/>
      <c r="P504" s="25"/>
      <c r="Q504" s="25"/>
      <c r="R504" s="25"/>
      <c r="S504" s="25"/>
      <c r="T504" s="25"/>
      <c r="U504" s="25"/>
      <c r="V504" s="25"/>
      <c r="W504" s="25"/>
      <c r="X504" s="25"/>
      <c r="Y504" s="25"/>
      <c r="AC504" s="1459">
        <v>5</v>
      </c>
      <c r="AD504" s="1418"/>
      <c r="AE504" s="1418"/>
      <c r="AF504" s="1418"/>
      <c r="AG504" s="75" t="s">
        <v>438</v>
      </c>
      <c r="AH504" s="1226">
        <v>2019</v>
      </c>
      <c r="AI504" s="1226"/>
      <c r="AJ504" s="1226"/>
      <c r="AK504" s="122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1"/>
      <c r="C505" s="1482"/>
      <c r="D505" s="1482"/>
      <c r="E505" s="1482"/>
      <c r="F505" s="1482"/>
      <c r="G505" s="1482"/>
      <c r="H505" s="1483"/>
      <c r="I505" s="25" t="s">
        <v>447</v>
      </c>
      <c r="J505" s="25"/>
      <c r="K505" s="25"/>
      <c r="L505" s="25"/>
      <c r="M505" s="25"/>
      <c r="N505" s="25"/>
      <c r="O505" s="25"/>
      <c r="P505" s="25"/>
      <c r="Q505" s="25"/>
      <c r="R505" s="25"/>
      <c r="S505" s="25"/>
      <c r="T505" s="25"/>
      <c r="U505" s="25"/>
      <c r="V505" s="25"/>
      <c r="W505" s="25"/>
      <c r="X505" s="25"/>
      <c r="Y505" s="25"/>
      <c r="AC505" s="1459">
        <v>3</v>
      </c>
      <c r="AD505" s="1418"/>
      <c r="AE505" s="1418"/>
      <c r="AF505" s="1418"/>
      <c r="AG505" s="75" t="s">
        <v>438</v>
      </c>
      <c r="AH505" s="1226">
        <v>2021</v>
      </c>
      <c r="AI505" s="1226"/>
      <c r="AJ505" s="1226"/>
      <c r="AK505" s="122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1"/>
      <c r="C506" s="1482"/>
      <c r="D506" s="1482"/>
      <c r="E506" s="1482"/>
      <c r="F506" s="1482"/>
      <c r="G506" s="1482"/>
      <c r="H506" s="1483"/>
      <c r="I506" s="80" t="s">
        <v>448</v>
      </c>
      <c r="J506" s="80"/>
      <c r="K506" s="80"/>
      <c r="L506" s="80"/>
      <c r="M506" s="80"/>
      <c r="N506" s="80"/>
      <c r="O506" s="80"/>
      <c r="P506" s="80"/>
      <c r="Q506" s="80"/>
      <c r="R506" s="80"/>
      <c r="S506" s="80"/>
      <c r="T506" s="80"/>
      <c r="U506" s="80"/>
      <c r="V506" s="80"/>
      <c r="W506" s="80"/>
      <c r="X506" s="80"/>
      <c r="Y506" s="80"/>
      <c r="Z506" s="80"/>
      <c r="AA506" s="80"/>
      <c r="AB506" s="80"/>
      <c r="AC506" s="1459">
        <v>3</v>
      </c>
      <c r="AD506" s="1418"/>
      <c r="AE506" s="1418"/>
      <c r="AF506" s="1418"/>
      <c r="AG506" s="65" t="s">
        <v>438</v>
      </c>
      <c r="AH506" s="1226">
        <v>2021</v>
      </c>
      <c r="AI506" s="1226"/>
      <c r="AJ506" s="1226"/>
      <c r="AK506" s="122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8" t="s">
        <v>449</v>
      </c>
      <c r="C507" s="1479"/>
      <c r="D507" s="1479"/>
      <c r="E507" s="1479"/>
      <c r="F507" s="1479"/>
      <c r="G507" s="1479"/>
      <c r="H507" s="1480"/>
      <c r="I507" s="72" t="s">
        <v>450</v>
      </c>
      <c r="J507" s="72"/>
      <c r="K507" s="72"/>
      <c r="L507" s="72"/>
      <c r="M507" s="72"/>
      <c r="N507" s="72"/>
      <c r="O507" s="72"/>
      <c r="P507" s="72"/>
      <c r="Q507" s="72"/>
      <c r="R507" s="72"/>
      <c r="S507" s="72"/>
      <c r="T507" s="72"/>
      <c r="U507" s="72"/>
      <c r="V507" s="72"/>
      <c r="W507" s="72"/>
      <c r="X507" s="25"/>
      <c r="Y507" s="25"/>
      <c r="AC507" s="1459">
        <v>7</v>
      </c>
      <c r="AD507" s="1418"/>
      <c r="AE507" s="1418"/>
      <c r="AF507" s="1418"/>
      <c r="AG507" s="75" t="s">
        <v>438</v>
      </c>
      <c r="AH507" s="1226">
        <v>2020</v>
      </c>
      <c r="AI507" s="1226"/>
      <c r="AJ507" s="1226"/>
      <c r="AK507" s="122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1"/>
      <c r="C508" s="1482"/>
      <c r="D508" s="1482"/>
      <c r="E508" s="1482"/>
      <c r="F508" s="1482"/>
      <c r="G508" s="1482"/>
      <c r="H508" s="1483"/>
      <c r="I508" s="25" t="s">
        <v>451</v>
      </c>
      <c r="J508" s="25"/>
      <c r="K508" s="25"/>
      <c r="L508" s="25"/>
      <c r="M508" s="25"/>
      <c r="N508" s="25"/>
      <c r="O508" s="25"/>
      <c r="P508" s="25"/>
      <c r="Q508" s="25"/>
      <c r="R508" s="25"/>
      <c r="S508" s="25"/>
      <c r="T508" s="25"/>
      <c r="U508" s="25"/>
      <c r="V508" s="25"/>
      <c r="W508" s="25"/>
      <c r="X508" s="25"/>
      <c r="Y508" s="25"/>
      <c r="AC508" s="1459">
        <v>8</v>
      </c>
      <c r="AD508" s="1418"/>
      <c r="AE508" s="1418"/>
      <c r="AF508" s="1418"/>
      <c r="AG508" s="75" t="s">
        <v>438</v>
      </c>
      <c r="AH508" s="1226">
        <v>2020</v>
      </c>
      <c r="AI508" s="1226"/>
      <c r="AJ508" s="1226"/>
      <c r="AK508" s="122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1"/>
      <c r="C509" s="1482"/>
      <c r="D509" s="1482"/>
      <c r="E509" s="1482"/>
      <c r="F509" s="1482"/>
      <c r="G509" s="1482"/>
      <c r="H509" s="1483"/>
      <c r="I509" s="80" t="s">
        <v>452</v>
      </c>
      <c r="J509" s="80"/>
      <c r="K509" s="80"/>
      <c r="L509" s="80"/>
      <c r="M509" s="80"/>
      <c r="N509" s="80"/>
      <c r="O509" s="80"/>
      <c r="P509" s="80"/>
      <c r="Q509" s="80"/>
      <c r="R509" s="80"/>
      <c r="S509" s="80"/>
      <c r="T509" s="80"/>
      <c r="U509" s="80"/>
      <c r="V509" s="80"/>
      <c r="W509" s="80"/>
      <c r="X509" s="80"/>
      <c r="Y509" s="80"/>
      <c r="Z509" s="80"/>
      <c r="AA509" s="80"/>
      <c r="AB509" s="80"/>
      <c r="AC509" s="1459">
        <v>3</v>
      </c>
      <c r="AD509" s="1418"/>
      <c r="AE509" s="1418"/>
      <c r="AF509" s="1418"/>
      <c r="AG509" s="65" t="s">
        <v>438</v>
      </c>
      <c r="AH509" s="1226">
        <v>2021</v>
      </c>
      <c r="AI509" s="1226"/>
      <c r="AJ509" s="1226"/>
      <c r="AK509" s="122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8" t="s">
        <v>453</v>
      </c>
      <c r="C510" s="1479"/>
      <c r="D510" s="1479"/>
      <c r="E510" s="1479"/>
      <c r="F510" s="1479"/>
      <c r="G510" s="1479"/>
      <c r="H510" s="1480"/>
      <c r="I510" s="72" t="s">
        <v>450</v>
      </c>
      <c r="J510" s="72"/>
      <c r="K510" s="72"/>
      <c r="L510" s="72"/>
      <c r="M510" s="72"/>
      <c r="N510" s="72"/>
      <c r="O510" s="72"/>
      <c r="P510" s="72"/>
      <c r="Q510" s="72"/>
      <c r="R510" s="72"/>
      <c r="S510" s="72"/>
      <c r="T510" s="72"/>
      <c r="U510" s="72"/>
      <c r="V510" s="72"/>
      <c r="W510" s="72"/>
      <c r="X510" s="72"/>
      <c r="Y510" s="72"/>
      <c r="Z510" s="72"/>
      <c r="AA510" s="72"/>
      <c r="AB510" s="72"/>
      <c r="AC510" s="1168">
        <v>7</v>
      </c>
      <c r="AD510" s="1169"/>
      <c r="AE510" s="1169"/>
      <c r="AF510" s="1169"/>
      <c r="AG510" s="204" t="s">
        <v>438</v>
      </c>
      <c r="AH510" s="1226">
        <v>2020</v>
      </c>
      <c r="AI510" s="1226"/>
      <c r="AJ510" s="1226"/>
      <c r="AK510" s="1227"/>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1"/>
      <c r="C511" s="1482"/>
      <c r="D511" s="1482"/>
      <c r="E511" s="1482"/>
      <c r="F511" s="1482"/>
      <c r="G511" s="1482"/>
      <c r="H511" s="1483"/>
      <c r="I511" s="25" t="s">
        <v>451</v>
      </c>
      <c r="J511" s="25"/>
      <c r="K511" s="25"/>
      <c r="L511" s="25"/>
      <c r="M511" s="25"/>
      <c r="N511" s="25"/>
      <c r="O511" s="25"/>
      <c r="P511" s="25"/>
      <c r="Q511" s="25"/>
      <c r="R511" s="25"/>
      <c r="S511" s="25"/>
      <c r="T511" s="25"/>
      <c r="U511" s="25"/>
      <c r="V511" s="25"/>
      <c r="W511" s="25"/>
      <c r="X511" s="25"/>
      <c r="Y511" s="25"/>
      <c r="Z511" s="25"/>
      <c r="AA511" s="25"/>
      <c r="AB511" s="25"/>
      <c r="AC511" s="1459">
        <v>8</v>
      </c>
      <c r="AD511" s="1418"/>
      <c r="AE511" s="1418"/>
      <c r="AF511" s="1418"/>
      <c r="AG511" s="75" t="s">
        <v>438</v>
      </c>
      <c r="AH511" s="1226">
        <v>2020</v>
      </c>
      <c r="AI511" s="1226"/>
      <c r="AJ511" s="1226"/>
      <c r="AK511" s="1227"/>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4"/>
      <c r="C512" s="1485"/>
      <c r="D512" s="1485"/>
      <c r="E512" s="1485"/>
      <c r="F512" s="1485"/>
      <c r="G512" s="1485"/>
      <c r="H512" s="1486"/>
      <c r="I512" s="80" t="s">
        <v>452</v>
      </c>
      <c r="J512" s="80"/>
      <c r="K512" s="80"/>
      <c r="L512" s="80"/>
      <c r="M512" s="80"/>
      <c r="N512" s="80"/>
      <c r="O512" s="80"/>
      <c r="P512" s="80"/>
      <c r="Q512" s="80"/>
      <c r="R512" s="80"/>
      <c r="S512" s="80"/>
      <c r="T512" s="80"/>
      <c r="U512" s="80"/>
      <c r="V512" s="80"/>
      <c r="W512" s="80"/>
      <c r="X512" s="80"/>
      <c r="Y512" s="80"/>
      <c r="Z512" s="80"/>
      <c r="AA512" s="80"/>
      <c r="AB512" s="80"/>
      <c r="AC512" s="1459">
        <v>5</v>
      </c>
      <c r="AD512" s="1418"/>
      <c r="AE512" s="1418"/>
      <c r="AF512" s="1418"/>
      <c r="AG512" s="65" t="s">
        <v>438</v>
      </c>
      <c r="AH512" s="1226">
        <v>2023</v>
      </c>
      <c r="AI512" s="1226"/>
      <c r="AJ512" s="1226"/>
      <c r="AK512" s="1227"/>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8" t="s">
        <v>454</v>
      </c>
      <c r="C513" s="1479"/>
      <c r="D513" s="1479"/>
      <c r="E513" s="1479"/>
      <c r="F513" s="1479"/>
      <c r="G513" s="1479"/>
      <c r="H513" s="1480"/>
      <c r="I513" s="71" t="s">
        <v>455</v>
      </c>
      <c r="J513" s="72"/>
      <c r="K513" s="72"/>
      <c r="L513" s="72"/>
      <c r="M513" s="72"/>
      <c r="N513" s="72"/>
      <c r="O513" s="1125" t="s">
        <v>1742</v>
      </c>
      <c r="P513" s="1119"/>
      <c r="Q513" s="1119"/>
      <c r="R513" s="1119"/>
      <c r="S513" s="1119"/>
      <c r="T513" s="1119"/>
      <c r="U513" s="1119"/>
      <c r="V513" s="1119"/>
      <c r="W513" s="1119"/>
      <c r="X513" s="1119"/>
      <c r="Y513" s="1119"/>
      <c r="Z513" s="1119"/>
      <c r="AA513" s="1119"/>
      <c r="AB513" s="94"/>
      <c r="AC513" s="1168" t="s">
        <v>641</v>
      </c>
      <c r="AD513" s="1169"/>
      <c r="AE513" s="1169"/>
      <c r="AF513" s="1169"/>
      <c r="AG513" s="204" t="s">
        <v>438</v>
      </c>
      <c r="AH513" s="1226"/>
      <c r="AI513" s="1226"/>
      <c r="AJ513" s="1226"/>
      <c r="AK513" s="122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1"/>
      <c r="C514" s="1482"/>
      <c r="D514" s="1482"/>
      <c r="E514" s="1482"/>
      <c r="F514" s="1482"/>
      <c r="G514" s="1482"/>
      <c r="H514" s="1483"/>
      <c r="I514" s="175" t="s">
        <v>456</v>
      </c>
      <c r="J514" s="25"/>
      <c r="K514" s="25"/>
      <c r="L514" s="25"/>
      <c r="M514" s="25"/>
      <c r="N514" s="25"/>
      <c r="O514" s="25"/>
      <c r="P514" s="25"/>
      <c r="Q514" s="25"/>
      <c r="R514" s="25"/>
      <c r="S514" s="25"/>
      <c r="T514" s="25"/>
      <c r="U514" s="25"/>
      <c r="V514" s="25"/>
      <c r="W514" s="25"/>
      <c r="X514" s="25"/>
      <c r="Y514" s="25"/>
      <c r="Z514" s="25"/>
      <c r="AA514" s="25"/>
      <c r="AB514" s="101"/>
      <c r="AC514" s="1459">
        <v>8</v>
      </c>
      <c r="AD514" s="1418"/>
      <c r="AE514" s="1418"/>
      <c r="AF514" s="1418"/>
      <c r="AG514" s="75" t="s">
        <v>438</v>
      </c>
      <c r="AH514" s="1226">
        <v>2018</v>
      </c>
      <c r="AI514" s="1226"/>
      <c r="AJ514" s="1226"/>
      <c r="AK514" s="122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1"/>
      <c r="C515" s="1482"/>
      <c r="D515" s="1482"/>
      <c r="E515" s="1482"/>
      <c r="F515" s="1482"/>
      <c r="G515" s="1482"/>
      <c r="H515" s="1483"/>
      <c r="I515" s="79" t="s">
        <v>457</v>
      </c>
      <c r="J515" s="80"/>
      <c r="K515" s="80"/>
      <c r="L515" s="80"/>
      <c r="M515" s="80"/>
      <c r="N515" s="80"/>
      <c r="O515" s="80"/>
      <c r="P515" s="80"/>
      <c r="Q515" s="80"/>
      <c r="R515" s="80"/>
      <c r="S515" s="80"/>
      <c r="T515" s="80"/>
      <c r="U515" s="80"/>
      <c r="V515" s="80"/>
      <c r="W515" s="80"/>
      <c r="X515" s="80"/>
      <c r="Y515" s="80"/>
      <c r="Z515" s="80"/>
      <c r="AA515" s="80"/>
      <c r="AB515" s="81"/>
      <c r="AC515" s="1459">
        <v>4</v>
      </c>
      <c r="AD515" s="1418"/>
      <c r="AE515" s="1418"/>
      <c r="AF515" s="1418"/>
      <c r="AG515" s="65" t="s">
        <v>438</v>
      </c>
      <c r="AH515" s="1226">
        <v>2019</v>
      </c>
      <c r="AI515" s="1226"/>
      <c r="AJ515" s="1226"/>
      <c r="AK515" s="122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1"/>
      <c r="C516" s="1482"/>
      <c r="D516" s="1482"/>
      <c r="E516" s="1482"/>
      <c r="F516" s="1482"/>
      <c r="G516" s="1482"/>
      <c r="H516" s="1483"/>
      <c r="I516" s="72" t="s">
        <v>458</v>
      </c>
      <c r="J516" s="72"/>
      <c r="K516" s="72"/>
      <c r="L516" s="72"/>
      <c r="M516" s="72"/>
      <c r="N516" s="72"/>
      <c r="O516" s="1096" t="s">
        <v>1743</v>
      </c>
      <c r="P516" s="1098"/>
      <c r="Q516" s="1098"/>
      <c r="R516" s="1098"/>
      <c r="S516" s="1098"/>
      <c r="T516" s="1098"/>
      <c r="U516" s="1098"/>
      <c r="V516" s="1098"/>
      <c r="W516" s="1098"/>
      <c r="X516" s="1098"/>
      <c r="Y516" s="1098"/>
      <c r="Z516" s="1098"/>
      <c r="AA516" s="1098"/>
      <c r="AC516" s="1459" t="s">
        <v>641</v>
      </c>
      <c r="AD516" s="1418"/>
      <c r="AE516" s="1418"/>
      <c r="AF516" s="1418"/>
      <c r="AG516" s="75" t="s">
        <v>438</v>
      </c>
      <c r="AH516" s="1226"/>
      <c r="AI516" s="1226"/>
      <c r="AJ516" s="1226"/>
      <c r="AK516" s="122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1"/>
      <c r="C517" s="1482"/>
      <c r="D517" s="1482"/>
      <c r="E517" s="1482"/>
      <c r="F517" s="1482"/>
      <c r="G517" s="1482"/>
      <c r="H517" s="1483"/>
      <c r="I517" s="25" t="s">
        <v>456</v>
      </c>
      <c r="J517" s="25"/>
      <c r="K517" s="25"/>
      <c r="L517" s="25"/>
      <c r="M517" s="25"/>
      <c r="N517" s="25"/>
      <c r="O517" s="25"/>
      <c r="P517" s="25"/>
      <c r="Q517" s="25"/>
      <c r="R517" s="25"/>
      <c r="S517" s="25"/>
      <c r="T517" s="25"/>
      <c r="U517" s="25"/>
      <c r="V517" s="25"/>
      <c r="W517" s="25"/>
      <c r="X517" s="25"/>
      <c r="Y517" s="25"/>
      <c r="AC517" s="1459">
        <v>4</v>
      </c>
      <c r="AD517" s="1418"/>
      <c r="AE517" s="1418"/>
      <c r="AF517" s="1418"/>
      <c r="AG517" s="75" t="s">
        <v>438</v>
      </c>
      <c r="AH517" s="1226">
        <v>2020</v>
      </c>
      <c r="AI517" s="1226"/>
      <c r="AJ517" s="1226"/>
      <c r="AK517" s="122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1"/>
      <c r="C518" s="1482"/>
      <c r="D518" s="1482"/>
      <c r="E518" s="1482"/>
      <c r="F518" s="1482"/>
      <c r="G518" s="1482"/>
      <c r="H518" s="1483"/>
      <c r="I518" s="80" t="s">
        <v>457</v>
      </c>
      <c r="J518" s="80"/>
      <c r="K518" s="80"/>
      <c r="L518" s="80"/>
      <c r="M518" s="80"/>
      <c r="N518" s="80"/>
      <c r="O518" s="80"/>
      <c r="P518" s="80"/>
      <c r="Q518" s="80"/>
      <c r="R518" s="80"/>
      <c r="S518" s="80"/>
      <c r="T518" s="80"/>
      <c r="U518" s="80"/>
      <c r="V518" s="80"/>
      <c r="W518" s="80"/>
      <c r="X518" s="80"/>
      <c r="Y518" s="80"/>
      <c r="Z518" s="80"/>
      <c r="AA518" s="80"/>
      <c r="AB518" s="80"/>
      <c r="AC518" s="1459">
        <v>7</v>
      </c>
      <c r="AD518" s="1418"/>
      <c r="AE518" s="1418"/>
      <c r="AF518" s="1418"/>
      <c r="AG518" s="65" t="s">
        <v>438</v>
      </c>
      <c r="AH518" s="1226">
        <v>2020</v>
      </c>
      <c r="AI518" s="1226"/>
      <c r="AJ518" s="1226"/>
      <c r="AK518" s="1227"/>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1"/>
      <c r="C519" s="1482"/>
      <c r="D519" s="1482"/>
      <c r="E519" s="1482"/>
      <c r="F519" s="1482"/>
      <c r="G519" s="1482"/>
      <c r="H519" s="1483"/>
      <c r="I519" s="72" t="s">
        <v>458</v>
      </c>
      <c r="J519" s="72"/>
      <c r="K519" s="72"/>
      <c r="L519" s="72"/>
      <c r="M519" s="72"/>
      <c r="N519" s="72"/>
      <c r="O519" s="1098" t="s">
        <v>357</v>
      </c>
      <c r="P519" s="1098"/>
      <c r="Q519" s="1098"/>
      <c r="R519" s="1098"/>
      <c r="S519" s="1098"/>
      <c r="T519" s="1098"/>
      <c r="U519" s="1098"/>
      <c r="V519" s="1098"/>
      <c r="W519" s="1098"/>
      <c r="X519" s="1098"/>
      <c r="Y519" s="1098"/>
      <c r="Z519" s="1098"/>
      <c r="AA519" s="1098"/>
      <c r="AC519" s="1459" t="s">
        <v>641</v>
      </c>
      <c r="AD519" s="1418"/>
      <c r="AE519" s="1418"/>
      <c r="AF519" s="1418"/>
      <c r="AG519" s="75" t="s">
        <v>438</v>
      </c>
      <c r="AH519" s="1226"/>
      <c r="AI519" s="1226"/>
      <c r="AJ519" s="1226"/>
      <c r="AK519" s="122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1"/>
      <c r="C520" s="1482"/>
      <c r="D520" s="1482"/>
      <c r="E520" s="1482"/>
      <c r="F520" s="1482"/>
      <c r="G520" s="1482"/>
      <c r="H520" s="1483"/>
      <c r="I520" s="25" t="s">
        <v>456</v>
      </c>
      <c r="J520" s="25"/>
      <c r="K520" s="25"/>
      <c r="L520" s="25"/>
      <c r="M520" s="25"/>
      <c r="N520" s="25"/>
      <c r="O520" s="25"/>
      <c r="P520" s="25"/>
      <c r="Q520" s="25"/>
      <c r="R520" s="25"/>
      <c r="S520" s="25"/>
      <c r="T520" s="25"/>
      <c r="U520" s="25"/>
      <c r="V520" s="25"/>
      <c r="W520" s="25"/>
      <c r="X520" s="25"/>
      <c r="Y520" s="25"/>
      <c r="AC520" s="1459" t="s">
        <v>641</v>
      </c>
      <c r="AD520" s="1418"/>
      <c r="AE520" s="1418"/>
      <c r="AF520" s="1418"/>
      <c r="AG520" s="75" t="s">
        <v>438</v>
      </c>
      <c r="AH520" s="1226"/>
      <c r="AI520" s="1226"/>
      <c r="AJ520" s="1226"/>
      <c r="AK520" s="122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1"/>
      <c r="C521" s="1482"/>
      <c r="D521" s="1482"/>
      <c r="E521" s="1482"/>
      <c r="F521" s="1482"/>
      <c r="G521" s="1482"/>
      <c r="H521" s="1483"/>
      <c r="I521" s="80" t="s">
        <v>457</v>
      </c>
      <c r="J521" s="80"/>
      <c r="K521" s="80"/>
      <c r="L521" s="80"/>
      <c r="M521" s="80"/>
      <c r="N521" s="80"/>
      <c r="O521" s="80"/>
      <c r="P521" s="80"/>
      <c r="Q521" s="80"/>
      <c r="R521" s="80"/>
      <c r="S521" s="80"/>
      <c r="T521" s="80"/>
      <c r="U521" s="80"/>
      <c r="V521" s="80"/>
      <c r="W521" s="80"/>
      <c r="X521" s="80"/>
      <c r="Y521" s="80"/>
      <c r="Z521" s="80"/>
      <c r="AA521" s="80"/>
      <c r="AB521" s="80"/>
      <c r="AC521" s="1459" t="s">
        <v>641</v>
      </c>
      <c r="AD521" s="1418"/>
      <c r="AE521" s="1418"/>
      <c r="AF521" s="1418"/>
      <c r="AG521" s="65" t="s">
        <v>438</v>
      </c>
      <c r="AH521" s="1226"/>
      <c r="AI521" s="1226"/>
      <c r="AJ521" s="1226"/>
      <c r="AK521" s="1227"/>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1"/>
      <c r="C522" s="1482"/>
      <c r="D522" s="1482"/>
      <c r="E522" s="1482"/>
      <c r="F522" s="1482"/>
      <c r="G522" s="1482"/>
      <c r="H522" s="1483"/>
      <c r="I522" s="72" t="s">
        <v>458</v>
      </c>
      <c r="J522" s="72"/>
      <c r="K522" s="72"/>
      <c r="L522" s="72"/>
      <c r="M522" s="72"/>
      <c r="N522" s="72"/>
      <c r="O522" s="1098" t="s">
        <v>357</v>
      </c>
      <c r="P522" s="1098"/>
      <c r="Q522" s="1098"/>
      <c r="R522" s="1098"/>
      <c r="S522" s="1098"/>
      <c r="T522" s="1098"/>
      <c r="U522" s="1098"/>
      <c r="V522" s="1098"/>
      <c r="W522" s="1098"/>
      <c r="X522" s="1098"/>
      <c r="Y522" s="1098"/>
      <c r="Z522" s="1098"/>
      <c r="AA522" s="1098"/>
      <c r="AC522" s="1459" t="s">
        <v>641</v>
      </c>
      <c r="AD522" s="1418"/>
      <c r="AE522" s="1418"/>
      <c r="AF522" s="1418"/>
      <c r="AG522" s="75" t="s">
        <v>438</v>
      </c>
      <c r="AH522" s="1226"/>
      <c r="AI522" s="1226"/>
      <c r="AJ522" s="1226"/>
      <c r="AK522" s="122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1"/>
      <c r="C523" s="1482"/>
      <c r="D523" s="1482"/>
      <c r="E523" s="1482"/>
      <c r="F523" s="1482"/>
      <c r="G523" s="1482"/>
      <c r="H523" s="1483"/>
      <c r="I523" s="25" t="s">
        <v>456</v>
      </c>
      <c r="J523" s="25"/>
      <c r="K523" s="25"/>
      <c r="L523" s="25"/>
      <c r="M523" s="25"/>
      <c r="N523" s="25"/>
      <c r="O523" s="25"/>
      <c r="P523" s="25"/>
      <c r="Q523" s="25"/>
      <c r="R523" s="25"/>
      <c r="S523" s="25"/>
      <c r="T523" s="25"/>
      <c r="U523" s="25"/>
      <c r="V523" s="25"/>
      <c r="W523" s="25"/>
      <c r="X523" s="25"/>
      <c r="Y523" s="25"/>
      <c r="AC523" s="1459" t="s">
        <v>641</v>
      </c>
      <c r="AD523" s="1418"/>
      <c r="AE523" s="1418"/>
      <c r="AF523" s="1418"/>
      <c r="AG523" s="75" t="s">
        <v>438</v>
      </c>
      <c r="AH523" s="1226"/>
      <c r="AI523" s="1226"/>
      <c r="AJ523" s="1226"/>
      <c r="AK523" s="122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1"/>
      <c r="C524" s="1482"/>
      <c r="D524" s="1482"/>
      <c r="E524" s="1482"/>
      <c r="F524" s="1482"/>
      <c r="G524" s="1482"/>
      <c r="H524" s="1483"/>
      <c r="I524" s="80" t="s">
        <v>457</v>
      </c>
      <c r="J524" s="80"/>
      <c r="K524" s="80"/>
      <c r="L524" s="80"/>
      <c r="M524" s="80"/>
      <c r="N524" s="80"/>
      <c r="O524" s="80"/>
      <c r="P524" s="80"/>
      <c r="Q524" s="80"/>
      <c r="R524" s="80"/>
      <c r="S524" s="80"/>
      <c r="T524" s="80"/>
      <c r="U524" s="80"/>
      <c r="V524" s="80"/>
      <c r="W524" s="80"/>
      <c r="X524" s="80"/>
      <c r="Y524" s="80"/>
      <c r="Z524" s="80"/>
      <c r="AA524" s="80"/>
      <c r="AB524" s="80"/>
      <c r="AC524" s="1459" t="s">
        <v>641</v>
      </c>
      <c r="AD524" s="1418"/>
      <c r="AE524" s="1418"/>
      <c r="AF524" s="1418"/>
      <c r="AG524" s="65" t="s">
        <v>438</v>
      </c>
      <c r="AH524" s="1226"/>
      <c r="AI524" s="1226"/>
      <c r="AJ524" s="1226"/>
      <c r="AK524" s="1227"/>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1"/>
      <c r="C525" s="1482"/>
      <c r="D525" s="1482"/>
      <c r="E525" s="1482"/>
      <c r="F525" s="1482"/>
      <c r="G525" s="1482"/>
      <c r="H525" s="1483"/>
      <c r="I525" s="72" t="s">
        <v>458</v>
      </c>
      <c r="J525" s="72"/>
      <c r="K525" s="72"/>
      <c r="L525" s="72"/>
      <c r="M525" s="72"/>
      <c r="N525" s="72"/>
      <c r="O525" s="1098" t="s">
        <v>357</v>
      </c>
      <c r="P525" s="1098"/>
      <c r="Q525" s="1098"/>
      <c r="R525" s="1098"/>
      <c r="S525" s="1098"/>
      <c r="T525" s="1098"/>
      <c r="U525" s="1098"/>
      <c r="V525" s="1098"/>
      <c r="W525" s="1098"/>
      <c r="X525" s="1098"/>
      <c r="Y525" s="1098"/>
      <c r="Z525" s="1098"/>
      <c r="AA525" s="1098"/>
      <c r="AC525" s="1459" t="s">
        <v>641</v>
      </c>
      <c r="AD525" s="1418"/>
      <c r="AE525" s="1418"/>
      <c r="AF525" s="1418"/>
      <c r="AG525" s="75" t="s">
        <v>438</v>
      </c>
      <c r="AH525" s="1226"/>
      <c r="AI525" s="1226"/>
      <c r="AJ525" s="1226"/>
      <c r="AK525" s="122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1"/>
      <c r="C526" s="1482"/>
      <c r="D526" s="1482"/>
      <c r="E526" s="1482"/>
      <c r="F526" s="1482"/>
      <c r="G526" s="1482"/>
      <c r="H526" s="1483"/>
      <c r="I526" s="25" t="s">
        <v>456</v>
      </c>
      <c r="J526" s="25"/>
      <c r="K526" s="25"/>
      <c r="L526" s="25"/>
      <c r="M526" s="25"/>
      <c r="N526" s="25"/>
      <c r="O526" s="25"/>
      <c r="P526" s="25"/>
      <c r="Q526" s="25"/>
      <c r="R526" s="25"/>
      <c r="S526" s="25"/>
      <c r="T526" s="25"/>
      <c r="U526" s="25"/>
      <c r="V526" s="25"/>
      <c r="W526" s="25"/>
      <c r="X526" s="25"/>
      <c r="Y526" s="25"/>
      <c r="AC526" s="1459" t="s">
        <v>641</v>
      </c>
      <c r="AD526" s="1418"/>
      <c r="AE526" s="1418"/>
      <c r="AF526" s="1418"/>
      <c r="AG526" s="65" t="s">
        <v>438</v>
      </c>
      <c r="AH526" s="1226"/>
      <c r="AI526" s="1226"/>
      <c r="AJ526" s="1226"/>
      <c r="AK526" s="122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1"/>
      <c r="C527" s="1482"/>
      <c r="D527" s="1482"/>
      <c r="E527" s="1482"/>
      <c r="F527" s="1482"/>
      <c r="G527" s="1482"/>
      <c r="H527" s="1483"/>
      <c r="I527" s="80" t="s">
        <v>457</v>
      </c>
      <c r="J527" s="80"/>
      <c r="K527" s="80"/>
      <c r="L527" s="80"/>
      <c r="M527" s="80"/>
      <c r="N527" s="80"/>
      <c r="O527" s="80"/>
      <c r="P527" s="80"/>
      <c r="Q527" s="80"/>
      <c r="R527" s="80"/>
      <c r="S527" s="80"/>
      <c r="T527" s="80"/>
      <c r="U527" s="80"/>
      <c r="V527" s="80"/>
      <c r="W527" s="80"/>
      <c r="X527" s="80"/>
      <c r="Y527" s="80"/>
      <c r="Z527" s="80"/>
      <c r="AA527" s="80"/>
      <c r="AB527" s="80"/>
      <c r="AC527" s="1459" t="s">
        <v>641</v>
      </c>
      <c r="AD527" s="1418"/>
      <c r="AE527" s="1418"/>
      <c r="AF527" s="1418"/>
      <c r="AG527" s="75" t="s">
        <v>438</v>
      </c>
      <c r="AH527" s="1226"/>
      <c r="AI527" s="1226"/>
      <c r="AJ527" s="1226"/>
      <c r="AK527" s="1227"/>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1"/>
      <c r="C528" s="1482"/>
      <c r="D528" s="1482"/>
      <c r="E528" s="1482"/>
      <c r="F528" s="1482"/>
      <c r="G528" s="1482"/>
      <c r="H528" s="1483"/>
      <c r="I528" s="72" t="s">
        <v>458</v>
      </c>
      <c r="J528" s="72"/>
      <c r="K528" s="72"/>
      <c r="L528" s="72"/>
      <c r="M528" s="72"/>
      <c r="N528" s="72"/>
      <c r="O528" s="1098" t="s">
        <v>357</v>
      </c>
      <c r="P528" s="1098"/>
      <c r="Q528" s="1098"/>
      <c r="R528" s="1098"/>
      <c r="S528" s="1098"/>
      <c r="T528" s="1098"/>
      <c r="U528" s="1098"/>
      <c r="V528" s="1098"/>
      <c r="W528" s="1098"/>
      <c r="X528" s="1098"/>
      <c r="Y528" s="1098"/>
      <c r="Z528" s="1098"/>
      <c r="AA528" s="1098"/>
      <c r="AC528" s="1459" t="s">
        <v>641</v>
      </c>
      <c r="AD528" s="1418"/>
      <c r="AE528" s="1418"/>
      <c r="AF528" s="1418"/>
      <c r="AG528" s="65" t="s">
        <v>438</v>
      </c>
      <c r="AH528" s="1226"/>
      <c r="AI528" s="1226"/>
      <c r="AJ528" s="1226"/>
      <c r="AK528" s="122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1"/>
      <c r="C529" s="1482"/>
      <c r="D529" s="1482"/>
      <c r="E529" s="1482"/>
      <c r="F529" s="1482"/>
      <c r="G529" s="1482"/>
      <c r="H529" s="1483"/>
      <c r="I529" s="25" t="s">
        <v>456</v>
      </c>
      <c r="J529" s="25"/>
      <c r="K529" s="25"/>
      <c r="L529" s="25"/>
      <c r="M529" s="25"/>
      <c r="N529" s="25"/>
      <c r="O529" s="25"/>
      <c r="P529" s="25"/>
      <c r="Q529" s="25"/>
      <c r="R529" s="25"/>
      <c r="S529" s="25"/>
      <c r="T529" s="25"/>
      <c r="U529" s="25"/>
      <c r="V529" s="25"/>
      <c r="W529" s="25"/>
      <c r="X529" s="25"/>
      <c r="Y529" s="25"/>
      <c r="AC529" s="1459" t="s">
        <v>641</v>
      </c>
      <c r="AD529" s="1418"/>
      <c r="AE529" s="1418"/>
      <c r="AF529" s="1418"/>
      <c r="AG529" s="75" t="s">
        <v>438</v>
      </c>
      <c r="AH529" s="1226"/>
      <c r="AI529" s="1226"/>
      <c r="AJ529" s="1226"/>
      <c r="AK529" s="122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1"/>
      <c r="C530" s="1482"/>
      <c r="D530" s="1482"/>
      <c r="E530" s="1482"/>
      <c r="F530" s="1482"/>
      <c r="G530" s="1482"/>
      <c r="H530" s="1483"/>
      <c r="I530" s="80" t="s">
        <v>457</v>
      </c>
      <c r="J530" s="80"/>
      <c r="K530" s="80"/>
      <c r="L530" s="80"/>
      <c r="M530" s="80"/>
      <c r="N530" s="80"/>
      <c r="O530" s="80"/>
      <c r="P530" s="80"/>
      <c r="Q530" s="80"/>
      <c r="R530" s="80"/>
      <c r="S530" s="80"/>
      <c r="T530" s="80"/>
      <c r="U530" s="80"/>
      <c r="V530" s="80"/>
      <c r="W530" s="80"/>
      <c r="X530" s="80"/>
      <c r="Y530" s="80"/>
      <c r="Z530" s="80"/>
      <c r="AA530" s="80"/>
      <c r="AB530" s="80"/>
      <c r="AC530" s="1459" t="s">
        <v>641</v>
      </c>
      <c r="AD530" s="1418"/>
      <c r="AE530" s="1418"/>
      <c r="AF530" s="1418"/>
      <c r="AG530" s="65" t="s">
        <v>438</v>
      </c>
      <c r="AH530" s="1226"/>
      <c r="AI530" s="1226"/>
      <c r="AJ530" s="1226"/>
      <c r="AK530" s="122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1"/>
      <c r="C531" s="1482"/>
      <c r="D531" s="1482"/>
      <c r="E531" s="1482"/>
      <c r="F531" s="1482"/>
      <c r="G531" s="1482"/>
      <c r="H531" s="1483"/>
      <c r="I531" s="72" t="s">
        <v>610</v>
      </c>
      <c r="J531" s="72"/>
      <c r="K531" s="72"/>
      <c r="L531" s="72"/>
      <c r="M531" s="72"/>
      <c r="N531" s="72"/>
      <c r="O531" s="72"/>
      <c r="P531" s="72"/>
      <c r="Q531" s="72"/>
      <c r="R531" s="72"/>
      <c r="S531" s="72"/>
      <c r="T531" s="72"/>
      <c r="U531" s="72"/>
      <c r="V531" s="72"/>
      <c r="W531" s="72"/>
      <c r="X531" s="25"/>
      <c r="Y531" s="25"/>
      <c r="AC531" s="1459" t="s">
        <v>641</v>
      </c>
      <c r="AD531" s="1418"/>
      <c r="AE531" s="1418"/>
      <c r="AF531" s="1418"/>
      <c r="AG531" s="65" t="s">
        <v>438</v>
      </c>
      <c r="AH531" s="1226"/>
      <c r="AI531" s="1226"/>
      <c r="AJ531" s="1226"/>
      <c r="AK531" s="122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1"/>
      <c r="C532" s="1482"/>
      <c r="D532" s="1482"/>
      <c r="E532" s="1482"/>
      <c r="F532" s="1482"/>
      <c r="G532" s="1482"/>
      <c r="H532" s="1483"/>
      <c r="I532" s="25" t="s">
        <v>611</v>
      </c>
      <c r="J532" s="25"/>
      <c r="K532" s="25"/>
      <c r="L532" s="25"/>
      <c r="M532" s="25"/>
      <c r="N532" s="25"/>
      <c r="O532" s="25"/>
      <c r="P532" s="25"/>
      <c r="Q532" s="25"/>
      <c r="R532" s="25"/>
      <c r="S532" s="25"/>
      <c r="T532" s="25"/>
      <c r="U532" s="25"/>
      <c r="V532" s="25"/>
      <c r="W532" s="25"/>
      <c r="X532" s="25"/>
      <c r="Y532" s="25"/>
      <c r="AC532" s="1459">
        <v>3</v>
      </c>
      <c r="AD532" s="1418"/>
      <c r="AE532" s="1418"/>
      <c r="AF532" s="1418"/>
      <c r="AG532" s="75" t="s">
        <v>438</v>
      </c>
      <c r="AH532" s="1226">
        <v>2021</v>
      </c>
      <c r="AI532" s="1226"/>
      <c r="AJ532" s="1226"/>
      <c r="AK532" s="122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1"/>
      <c r="C533" s="1482"/>
      <c r="D533" s="1482"/>
      <c r="E533" s="1482"/>
      <c r="F533" s="1482"/>
      <c r="G533" s="1482"/>
      <c r="H533" s="1483"/>
      <c r="I533" s="25" t="s">
        <v>612</v>
      </c>
      <c r="J533" s="25"/>
      <c r="K533" s="25"/>
      <c r="L533" s="25"/>
      <c r="M533" s="25"/>
      <c r="N533" s="25"/>
      <c r="O533" s="25"/>
      <c r="P533" s="25"/>
      <c r="Q533" s="25"/>
      <c r="R533" s="25"/>
      <c r="S533" s="25"/>
      <c r="T533" s="25"/>
      <c r="U533" s="25"/>
      <c r="V533" s="25"/>
      <c r="W533" s="25"/>
      <c r="X533" s="25"/>
      <c r="Y533" s="25"/>
      <c r="AC533" s="1459">
        <v>10</v>
      </c>
      <c r="AD533" s="1418"/>
      <c r="AE533" s="1418"/>
      <c r="AF533" s="1418"/>
      <c r="AG533" s="65" t="s">
        <v>438</v>
      </c>
      <c r="AH533" s="1226">
        <v>2022</v>
      </c>
      <c r="AI533" s="1226"/>
      <c r="AJ533" s="1226"/>
      <c r="AK533" s="122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1"/>
      <c r="C534" s="1482"/>
      <c r="D534" s="1482"/>
      <c r="E534" s="1482"/>
      <c r="F534" s="1482"/>
      <c r="G534" s="1482"/>
      <c r="H534" s="1483"/>
      <c r="I534" s="25" t="s">
        <v>613</v>
      </c>
      <c r="J534" s="25"/>
      <c r="K534" s="25"/>
      <c r="L534" s="25"/>
      <c r="M534" s="25"/>
      <c r="N534" s="25"/>
      <c r="O534" s="25"/>
      <c r="P534" s="25"/>
      <c r="Q534" s="25"/>
      <c r="R534" s="25"/>
      <c r="S534" s="25"/>
      <c r="T534" s="25"/>
      <c r="U534" s="25"/>
      <c r="V534" s="25"/>
      <c r="W534" s="25"/>
      <c r="X534" s="25"/>
      <c r="Y534" s="25"/>
      <c r="AC534" s="1459">
        <v>11</v>
      </c>
      <c r="AD534" s="1418"/>
      <c r="AE534" s="1418"/>
      <c r="AF534" s="1418"/>
      <c r="AG534" s="65" t="s">
        <v>438</v>
      </c>
      <c r="AH534" s="1226">
        <v>2022</v>
      </c>
      <c r="AI534" s="1226"/>
      <c r="AJ534" s="1226"/>
      <c r="AK534" s="1227"/>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4"/>
      <c r="C535" s="1485"/>
      <c r="D535" s="1485"/>
      <c r="E535" s="1485"/>
      <c r="F535" s="1485"/>
      <c r="G535" s="1485"/>
      <c r="H535" s="1486"/>
      <c r="I535" s="80" t="s">
        <v>495</v>
      </c>
      <c r="J535" s="80"/>
      <c r="K535" s="80"/>
      <c r="L535" s="80"/>
      <c r="M535" s="80"/>
      <c r="N535" s="80"/>
      <c r="O535" s="80"/>
      <c r="P535" s="80"/>
      <c r="Q535" s="80"/>
      <c r="R535" s="80"/>
      <c r="S535" s="80"/>
      <c r="T535" s="80"/>
      <c r="U535" s="80"/>
      <c r="V535" s="80"/>
      <c r="W535" s="80"/>
      <c r="X535" s="80"/>
      <c r="Y535" s="80"/>
      <c r="Z535" s="80"/>
      <c r="AA535" s="80"/>
      <c r="AB535" s="80"/>
      <c r="AC535" s="1459">
        <v>2</v>
      </c>
      <c r="AD535" s="1418"/>
      <c r="AE535" s="1418"/>
      <c r="AF535" s="1418"/>
      <c r="AG535" s="65" t="s">
        <v>438</v>
      </c>
      <c r="AH535" s="1226">
        <v>2023</v>
      </c>
      <c r="AI535" s="1226"/>
      <c r="AJ535" s="1226"/>
      <c r="AK535" s="1227"/>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8" t="s">
        <v>589</v>
      </c>
      <c r="B537" s="958"/>
      <c r="C537" s="958"/>
      <c r="D537" s="958"/>
      <c r="E537" s="958"/>
      <c r="F537" s="958"/>
      <c r="G537" s="958"/>
      <c r="H537" s="958"/>
      <c r="I537" s="958"/>
      <c r="J537" s="958"/>
      <c r="K537" s="958"/>
      <c r="L537" s="958"/>
      <c r="M537" s="958"/>
      <c r="N537" s="958"/>
      <c r="O537" s="958"/>
      <c r="P537" s="958"/>
      <c r="Q537" s="958"/>
      <c r="R537" s="958"/>
      <c r="S537" s="958"/>
      <c r="T537" s="958"/>
      <c r="U537" s="958"/>
      <c r="V537" s="958"/>
      <c r="W537" s="958"/>
      <c r="X537" s="958"/>
      <c r="Y537" s="958"/>
      <c r="Z537" s="958"/>
      <c r="AA537" s="958"/>
      <c r="AB537" s="958"/>
      <c r="AC537" s="958"/>
      <c r="AD537" s="958"/>
      <c r="AE537" s="958"/>
      <c r="AF537" s="958"/>
      <c r="AG537" s="958"/>
      <c r="AH537" s="958"/>
      <c r="AI537" s="958"/>
      <c r="AJ537" s="958"/>
      <c r="AK537" s="958"/>
      <c r="AL537" s="9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9"/>
      <c r="B538" s="959"/>
      <c r="C538" s="959"/>
      <c r="D538" s="959"/>
      <c r="E538" s="959"/>
      <c r="F538" s="959"/>
      <c r="G538" s="959"/>
      <c r="H538" s="959"/>
      <c r="I538" s="959"/>
      <c r="J538" s="959"/>
      <c r="K538" s="959"/>
      <c r="L538" s="959"/>
      <c r="M538" s="959"/>
      <c r="N538" s="959"/>
      <c r="O538" s="959"/>
      <c r="P538" s="959"/>
      <c r="Q538" s="959"/>
      <c r="R538" s="959"/>
      <c r="S538" s="959"/>
      <c r="T538" s="959"/>
      <c r="U538" s="959"/>
      <c r="V538" s="959"/>
      <c r="W538" s="959"/>
      <c r="X538" s="959"/>
      <c r="Y538" s="959"/>
      <c r="Z538" s="959"/>
      <c r="AA538" s="959"/>
      <c r="AB538" s="959"/>
      <c r="AC538" s="959"/>
      <c r="AD538" s="959"/>
      <c r="AE538" s="959"/>
      <c r="AF538" s="959"/>
      <c r="AG538" s="959"/>
      <c r="AH538" s="959"/>
      <c r="AI538" s="959"/>
      <c r="AJ538" s="959"/>
      <c r="AK538" s="959"/>
      <c r="AL538" s="95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0" t="s">
        <v>497</v>
      </c>
      <c r="C544" s="1461"/>
      <c r="D544" s="1461"/>
      <c r="E544" s="1461"/>
      <c r="F544" s="1461"/>
      <c r="G544" s="1461"/>
      <c r="H544" s="1461"/>
      <c r="I544" s="1461"/>
      <c r="J544" s="1461"/>
      <c r="K544" s="1461"/>
      <c r="L544" s="1461"/>
      <c r="M544" s="1461"/>
      <c r="N544" s="1461"/>
      <c r="O544" s="1462"/>
      <c r="P544" s="1460" t="s">
        <v>346</v>
      </c>
      <c r="Q544" s="1461"/>
      <c r="R544" s="1461"/>
      <c r="S544" s="1461"/>
      <c r="T544" s="1462"/>
      <c r="U544" s="1460" t="s">
        <v>498</v>
      </c>
      <c r="V544" s="1461"/>
      <c r="W544" s="1461"/>
      <c r="X544" s="1461"/>
      <c r="Y544" s="1462"/>
      <c r="Z544" s="1518" t="s">
        <v>1424</v>
      </c>
      <c r="AA544" s="1519"/>
      <c r="AB544" s="1519"/>
      <c r="AC544" s="1519"/>
      <c r="AD544" s="1520"/>
      <c r="AE544" s="1460" t="s">
        <v>499</v>
      </c>
      <c r="AF544" s="1461"/>
      <c r="AG544" s="1461"/>
      <c r="AH544" s="1461"/>
      <c r="AI544" s="1461"/>
      <c r="AJ544" s="1461"/>
      <c r="AK544" s="146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5" t="s">
        <v>1744</v>
      </c>
      <c r="D545" s="1102"/>
      <c r="E545" s="1102"/>
      <c r="F545" s="1102"/>
      <c r="G545" s="1102"/>
      <c r="H545" s="1102"/>
      <c r="I545" s="1102"/>
      <c r="J545" s="1102"/>
      <c r="K545" s="1102"/>
      <c r="L545" s="1102"/>
      <c r="M545" s="1102"/>
      <c r="N545" s="1102"/>
      <c r="O545" s="1228"/>
      <c r="P545" s="1225">
        <v>26</v>
      </c>
      <c r="Q545" s="1226"/>
      <c r="R545" s="1226"/>
      <c r="S545" s="1226"/>
      <c r="T545" s="1227"/>
      <c r="U545" s="1427">
        <v>3.5000000000000003E-2</v>
      </c>
      <c r="V545" s="1428"/>
      <c r="W545" s="1428"/>
      <c r="X545" s="1428"/>
      <c r="Y545" s="1429"/>
      <c r="Z545" s="1223" t="s">
        <v>1781</v>
      </c>
      <c r="AA545" s="1223"/>
      <c r="AB545" s="1223"/>
      <c r="AC545" s="1223"/>
      <c r="AD545" s="1224"/>
      <c r="AE545" s="1142">
        <v>15761456</v>
      </c>
      <c r="AF545" s="1143"/>
      <c r="AG545" s="1143"/>
      <c r="AH545" s="1143"/>
      <c r="AI545" s="1143"/>
      <c r="AJ545" s="1143"/>
      <c r="AK545" s="114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5" t="s">
        <v>1749</v>
      </c>
      <c r="D546" s="1102"/>
      <c r="E546" s="1102"/>
      <c r="F546" s="1102"/>
      <c r="G546" s="1102"/>
      <c r="H546" s="1102"/>
      <c r="I546" s="1102"/>
      <c r="J546" s="1102"/>
      <c r="K546" s="1102"/>
      <c r="L546" s="1102"/>
      <c r="M546" s="1102"/>
      <c r="N546" s="1102"/>
      <c r="O546" s="1228"/>
      <c r="P546" s="1225"/>
      <c r="Q546" s="1226"/>
      <c r="R546" s="1226"/>
      <c r="S546" s="1226"/>
      <c r="T546" s="1227"/>
      <c r="U546" s="1427"/>
      <c r="V546" s="1428"/>
      <c r="W546" s="1428"/>
      <c r="X546" s="1428"/>
      <c r="Y546" s="1429"/>
      <c r="Z546" s="1223" t="s">
        <v>641</v>
      </c>
      <c r="AA546" s="1223"/>
      <c r="AB546" s="1223"/>
      <c r="AC546" s="1223"/>
      <c r="AD546" s="1224"/>
      <c r="AE546" s="1142">
        <v>965394</v>
      </c>
      <c r="AF546" s="1143"/>
      <c r="AG546" s="1143"/>
      <c r="AH546" s="1143"/>
      <c r="AI546" s="1143"/>
      <c r="AJ546" s="1143"/>
      <c r="AK546" s="114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5" t="s">
        <v>1741</v>
      </c>
      <c r="D547" s="1102"/>
      <c r="E547" s="1102"/>
      <c r="F547" s="1102"/>
      <c r="G547" s="1102"/>
      <c r="H547" s="1102"/>
      <c r="I547" s="1102"/>
      <c r="J547" s="1102"/>
      <c r="K547" s="1102"/>
      <c r="L547" s="1102"/>
      <c r="M547" s="1102"/>
      <c r="N547" s="1102"/>
      <c r="O547" s="1228"/>
      <c r="P547" s="1225">
        <v>26</v>
      </c>
      <c r="Q547" s="1226"/>
      <c r="R547" s="1226"/>
      <c r="S547" s="1226"/>
      <c r="T547" s="1227"/>
      <c r="U547" s="1427">
        <v>0.03</v>
      </c>
      <c r="V547" s="1428"/>
      <c r="W547" s="1428"/>
      <c r="X547" s="1428"/>
      <c r="Y547" s="1429"/>
      <c r="Z547" s="1223" t="s">
        <v>1740</v>
      </c>
      <c r="AA547" s="1223"/>
      <c r="AB547" s="1223"/>
      <c r="AC547" s="1223"/>
      <c r="AD547" s="1224"/>
      <c r="AE547" s="1142">
        <f>11880000-1044863-2000</f>
        <v>10833137</v>
      </c>
      <c r="AF547" s="1143"/>
      <c r="AG547" s="1143"/>
      <c r="AH547" s="1143"/>
      <c r="AI547" s="1143"/>
      <c r="AJ547" s="1143"/>
      <c r="AK547" s="114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25"/>
      <c r="D548" s="1102"/>
      <c r="E548" s="1102"/>
      <c r="F548" s="1102"/>
      <c r="G548" s="1102"/>
      <c r="H548" s="1102"/>
      <c r="I548" s="1102"/>
      <c r="J548" s="1102"/>
      <c r="K548" s="1102"/>
      <c r="L548" s="1102"/>
      <c r="M548" s="1102"/>
      <c r="N548" s="1102"/>
      <c r="O548" s="1228"/>
      <c r="P548" s="1225"/>
      <c r="Q548" s="1226"/>
      <c r="R548" s="1226"/>
      <c r="S548" s="1226"/>
      <c r="T548" s="1227"/>
      <c r="U548" s="1427"/>
      <c r="V548" s="1428"/>
      <c r="W548" s="1428"/>
      <c r="X548" s="1428"/>
      <c r="Y548" s="1429"/>
      <c r="Z548" s="1223" t="s">
        <v>1425</v>
      </c>
      <c r="AA548" s="1223"/>
      <c r="AB548" s="1223"/>
      <c r="AC548" s="1223"/>
      <c r="AD548" s="1224"/>
      <c r="AE548" s="1142"/>
      <c r="AF548" s="1143"/>
      <c r="AG548" s="1143"/>
      <c r="AH548" s="1143"/>
      <c r="AI548" s="1143"/>
      <c r="AJ548" s="1143"/>
      <c r="AK548" s="114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02"/>
      <c r="D549" s="1102"/>
      <c r="E549" s="1102"/>
      <c r="F549" s="1102"/>
      <c r="G549" s="1102"/>
      <c r="H549" s="1102"/>
      <c r="I549" s="1102"/>
      <c r="J549" s="1102"/>
      <c r="K549" s="1102"/>
      <c r="L549" s="1102"/>
      <c r="M549" s="1102"/>
      <c r="N549" s="1102"/>
      <c r="O549" s="1228"/>
      <c r="P549" s="1225"/>
      <c r="Q549" s="1226"/>
      <c r="R549" s="1226"/>
      <c r="S549" s="1226"/>
      <c r="T549" s="1227"/>
      <c r="U549" s="1427"/>
      <c r="V549" s="1428"/>
      <c r="W549" s="1428"/>
      <c r="X549" s="1428"/>
      <c r="Y549" s="1429"/>
      <c r="Z549" s="1223" t="s">
        <v>1425</v>
      </c>
      <c r="AA549" s="1223"/>
      <c r="AB549" s="1223"/>
      <c r="AC549" s="1223"/>
      <c r="AD549" s="1224"/>
      <c r="AE549" s="1142"/>
      <c r="AF549" s="1143"/>
      <c r="AG549" s="1143"/>
      <c r="AH549" s="1143"/>
      <c r="AI549" s="1143"/>
      <c r="AJ549" s="1143"/>
      <c r="AK549" s="114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02"/>
      <c r="D550" s="1102"/>
      <c r="E550" s="1102"/>
      <c r="F550" s="1102"/>
      <c r="G550" s="1102"/>
      <c r="H550" s="1102"/>
      <c r="I550" s="1102"/>
      <c r="J550" s="1102"/>
      <c r="K550" s="1102"/>
      <c r="L550" s="1102"/>
      <c r="M550" s="1102"/>
      <c r="N550" s="1102"/>
      <c r="O550" s="1228"/>
      <c r="P550" s="1225"/>
      <c r="Q550" s="1226"/>
      <c r="R550" s="1226"/>
      <c r="S550" s="1226"/>
      <c r="T550" s="1227"/>
      <c r="U550" s="1427"/>
      <c r="V550" s="1428"/>
      <c r="W550" s="1428"/>
      <c r="X550" s="1428"/>
      <c r="Y550" s="1429"/>
      <c r="Z550" s="1223" t="s">
        <v>1425</v>
      </c>
      <c r="AA550" s="1223"/>
      <c r="AB550" s="1223"/>
      <c r="AC550" s="1223"/>
      <c r="AD550" s="1224"/>
      <c r="AE550" s="1142"/>
      <c r="AF550" s="1143"/>
      <c r="AG550" s="1143"/>
      <c r="AH550" s="1143"/>
      <c r="AI550" s="1143"/>
      <c r="AJ550" s="1143"/>
      <c r="AK550" s="1144"/>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02"/>
      <c r="D551" s="1102"/>
      <c r="E551" s="1102"/>
      <c r="F551" s="1102"/>
      <c r="G551" s="1102"/>
      <c r="H551" s="1102"/>
      <c r="I551" s="1102"/>
      <c r="J551" s="1102"/>
      <c r="K551" s="1102"/>
      <c r="L551" s="1102"/>
      <c r="M551" s="1102"/>
      <c r="N551" s="1102"/>
      <c r="O551" s="1228"/>
      <c r="P551" s="1225"/>
      <c r="Q551" s="1226"/>
      <c r="R551" s="1226"/>
      <c r="S551" s="1226"/>
      <c r="T551" s="1227"/>
      <c r="U551" s="1427"/>
      <c r="V551" s="1428"/>
      <c r="W551" s="1428"/>
      <c r="X551" s="1428"/>
      <c r="Y551" s="1429"/>
      <c r="Z551" s="1223" t="s">
        <v>1425</v>
      </c>
      <c r="AA551" s="1223"/>
      <c r="AB551" s="1223"/>
      <c r="AC551" s="1223"/>
      <c r="AD551" s="1224"/>
      <c r="AE551" s="1142"/>
      <c r="AF551" s="1143"/>
      <c r="AG551" s="1143"/>
      <c r="AH551" s="1143"/>
      <c r="AI551" s="1143"/>
      <c r="AJ551" s="1143"/>
      <c r="AK551" s="1144"/>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02"/>
      <c r="D552" s="1102"/>
      <c r="E552" s="1102"/>
      <c r="F552" s="1102"/>
      <c r="G552" s="1102"/>
      <c r="H552" s="1102"/>
      <c r="I552" s="1102"/>
      <c r="J552" s="1102"/>
      <c r="K552" s="1102"/>
      <c r="L552" s="1102"/>
      <c r="M552" s="1102"/>
      <c r="N552" s="1102"/>
      <c r="O552" s="1228"/>
      <c r="P552" s="1225"/>
      <c r="Q552" s="1226"/>
      <c r="R552" s="1226"/>
      <c r="S552" s="1226"/>
      <c r="T552" s="1227"/>
      <c r="U552" s="1427"/>
      <c r="V552" s="1428"/>
      <c r="W552" s="1428"/>
      <c r="X552" s="1428"/>
      <c r="Y552" s="1429"/>
      <c r="Z552" s="1223" t="s">
        <v>1425</v>
      </c>
      <c r="AA552" s="1223"/>
      <c r="AB552" s="1223"/>
      <c r="AC552" s="1223"/>
      <c r="AD552" s="1224"/>
      <c r="AE552" s="1142"/>
      <c r="AF552" s="1143"/>
      <c r="AG552" s="1143"/>
      <c r="AH552" s="1143"/>
      <c r="AI552" s="1143"/>
      <c r="AJ552" s="1143"/>
      <c r="AK552" s="114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02"/>
      <c r="D553" s="1102"/>
      <c r="E553" s="1102"/>
      <c r="F553" s="1102"/>
      <c r="G553" s="1102"/>
      <c r="H553" s="1102"/>
      <c r="I553" s="1102"/>
      <c r="J553" s="1102"/>
      <c r="K553" s="1102"/>
      <c r="L553" s="1102"/>
      <c r="M553" s="1102"/>
      <c r="N553" s="1102"/>
      <c r="O553" s="1228"/>
      <c r="P553" s="1225"/>
      <c r="Q553" s="1226"/>
      <c r="R553" s="1226"/>
      <c r="S553" s="1226"/>
      <c r="T553" s="1227"/>
      <c r="U553" s="1427"/>
      <c r="V553" s="1428"/>
      <c r="W553" s="1428"/>
      <c r="X553" s="1428"/>
      <c r="Y553" s="1429"/>
      <c r="Z553" s="1223" t="s">
        <v>1425</v>
      </c>
      <c r="AA553" s="1223"/>
      <c r="AB553" s="1223"/>
      <c r="AC553" s="1223"/>
      <c r="AD553" s="1224"/>
      <c r="AE553" s="1142"/>
      <c r="AF553" s="1143"/>
      <c r="AG553" s="1143"/>
      <c r="AH553" s="1143"/>
      <c r="AI553" s="1143"/>
      <c r="AJ553" s="1143"/>
      <c r="AK553" s="114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02"/>
      <c r="D554" s="1102"/>
      <c r="E554" s="1102"/>
      <c r="F554" s="1102"/>
      <c r="G554" s="1102"/>
      <c r="H554" s="1102"/>
      <c r="I554" s="1102"/>
      <c r="J554" s="1102"/>
      <c r="K554" s="1102"/>
      <c r="L554" s="1102"/>
      <c r="M554" s="1102"/>
      <c r="N554" s="1102"/>
      <c r="O554" s="1228"/>
      <c r="P554" s="1225"/>
      <c r="Q554" s="1226"/>
      <c r="R554" s="1226"/>
      <c r="S554" s="1226"/>
      <c r="T554" s="1227"/>
      <c r="U554" s="1427"/>
      <c r="V554" s="1428"/>
      <c r="W554" s="1428"/>
      <c r="X554" s="1428"/>
      <c r="Y554" s="1429"/>
      <c r="Z554" s="1223" t="s">
        <v>1425</v>
      </c>
      <c r="AA554" s="1223"/>
      <c r="AB554" s="1223"/>
      <c r="AC554" s="1223"/>
      <c r="AD554" s="1224"/>
      <c r="AE554" s="1142"/>
      <c r="AF554" s="1143"/>
      <c r="AG554" s="1143"/>
      <c r="AH554" s="1143"/>
      <c r="AI554" s="1143"/>
      <c r="AJ554" s="1143"/>
      <c r="AK554" s="114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2"/>
      <c r="D555" s="1102"/>
      <c r="E555" s="1102"/>
      <c r="F555" s="1102"/>
      <c r="G555" s="1102"/>
      <c r="H555" s="1102"/>
      <c r="I555" s="1102"/>
      <c r="J555" s="1102"/>
      <c r="K555" s="1102"/>
      <c r="L555" s="1102"/>
      <c r="M555" s="1102"/>
      <c r="N555" s="1102"/>
      <c r="O555" s="1228"/>
      <c r="P555" s="1225"/>
      <c r="Q555" s="1226"/>
      <c r="R555" s="1226"/>
      <c r="S555" s="1226"/>
      <c r="T555" s="1227"/>
      <c r="U555" s="1427"/>
      <c r="V555" s="1428"/>
      <c r="W555" s="1428"/>
      <c r="X555" s="1428"/>
      <c r="Y555" s="1429"/>
      <c r="Z555" s="1223" t="s">
        <v>1425</v>
      </c>
      <c r="AA555" s="1223"/>
      <c r="AB555" s="1223"/>
      <c r="AC555" s="1223"/>
      <c r="AD555" s="1224"/>
      <c r="AE555" s="1142"/>
      <c r="AF555" s="1143"/>
      <c r="AG555" s="1143"/>
      <c r="AH555" s="1143"/>
      <c r="AI555" s="1143"/>
      <c r="AJ555" s="1143"/>
      <c r="AK555" s="114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2"/>
      <c r="D556" s="1102"/>
      <c r="E556" s="1102"/>
      <c r="F556" s="1102"/>
      <c r="G556" s="1102"/>
      <c r="H556" s="1102"/>
      <c r="I556" s="1102"/>
      <c r="J556" s="1102"/>
      <c r="K556" s="1102"/>
      <c r="L556" s="1102"/>
      <c r="M556" s="1102"/>
      <c r="N556" s="1102"/>
      <c r="O556" s="1228"/>
      <c r="P556" s="1225"/>
      <c r="Q556" s="1226"/>
      <c r="R556" s="1226"/>
      <c r="S556" s="1226"/>
      <c r="T556" s="1227"/>
      <c r="U556" s="1427"/>
      <c r="V556" s="1428"/>
      <c r="W556" s="1428"/>
      <c r="X556" s="1428"/>
      <c r="Y556" s="1429"/>
      <c r="Z556" s="1223" t="s">
        <v>1425</v>
      </c>
      <c r="AA556" s="1223"/>
      <c r="AB556" s="1223"/>
      <c r="AC556" s="1223"/>
      <c r="AD556" s="1224"/>
      <c r="AE556" s="1142"/>
      <c r="AF556" s="1143"/>
      <c r="AG556" s="1143"/>
      <c r="AH556" s="1143"/>
      <c r="AI556" s="1143"/>
      <c r="AJ556" s="1143"/>
      <c r="AK556" s="114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5" t="s">
        <v>134</v>
      </c>
      <c r="C557" s="1166"/>
      <c r="D557" s="1166"/>
      <c r="E557" s="1166"/>
      <c r="F557" s="1166"/>
      <c r="G557" s="1166"/>
      <c r="H557" s="1166"/>
      <c r="I557" s="1166"/>
      <c r="J557" s="1166"/>
      <c r="K557" s="1166"/>
      <c r="L557" s="1166"/>
      <c r="M557" s="1166"/>
      <c r="N557" s="1166"/>
      <c r="O557" s="1166"/>
      <c r="P557" s="1166"/>
      <c r="Q557" s="1166"/>
      <c r="R557" s="1166"/>
      <c r="S557" s="1166"/>
      <c r="T557" s="1166"/>
      <c r="U557" s="1166"/>
      <c r="V557" s="1166"/>
      <c r="W557" s="1166"/>
      <c r="X557" s="1166"/>
      <c r="Y557" s="1166"/>
      <c r="Z557" s="1166"/>
      <c r="AA557" s="1166"/>
      <c r="AB557" s="1166"/>
      <c r="AC557" s="1166"/>
      <c r="AD557" s="1167"/>
      <c r="AE557" s="1209">
        <f>SUM(AE545:AK556)</f>
        <v>27559987</v>
      </c>
      <c r="AF557" s="1210"/>
      <c r="AG557" s="1210"/>
      <c r="AH557" s="1210"/>
      <c r="AI557" s="1210"/>
      <c r="AJ557" s="1210"/>
      <c r="AK557" s="1211"/>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00" t="str">
        <f>C545</f>
        <v>Construction Lender - Banner Bank</v>
      </c>
      <c r="H559" s="1100"/>
      <c r="I559" s="1100"/>
      <c r="J559" s="1100"/>
      <c r="K559" s="1100"/>
      <c r="L559" s="1100"/>
      <c r="M559" s="1100"/>
      <c r="N559" s="1100"/>
      <c r="O559" s="1100"/>
      <c r="P559" s="1100"/>
      <c r="Q559" s="1100"/>
      <c r="R559" s="1100"/>
      <c r="S559" s="14"/>
      <c r="T559" s="87" t="s">
        <v>120</v>
      </c>
      <c r="U559" s="12" t="s">
        <v>509</v>
      </c>
      <c r="Z559" s="1100" t="str">
        <f>C546</f>
        <v>Tax Credit Equity - WNC</v>
      </c>
      <c r="AA559" s="1100"/>
      <c r="AB559" s="1100"/>
      <c r="AC559" s="1100"/>
      <c r="AD559" s="1100"/>
      <c r="AE559" s="1100"/>
      <c r="AF559" s="1100"/>
      <c r="AG559" s="1100"/>
      <c r="AH559" s="1100"/>
      <c r="AI559" s="1100"/>
      <c r="AJ559" s="1100"/>
      <c r="AK559" s="1100"/>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8" t="s">
        <v>1745</v>
      </c>
      <c r="H560" s="1098"/>
      <c r="I560" s="1098"/>
      <c r="J560" s="1098"/>
      <c r="K560" s="1098"/>
      <c r="L560" s="1098"/>
      <c r="M560" s="1098"/>
      <c r="N560" s="1098"/>
      <c r="O560" s="1098"/>
      <c r="P560" s="1098"/>
      <c r="Q560" s="1098"/>
      <c r="R560" s="1098"/>
      <c r="S560" s="14"/>
      <c r="T560" s="35"/>
      <c r="U560" s="12" t="s">
        <v>92</v>
      </c>
      <c r="Z560" s="1098" t="s">
        <v>1709</v>
      </c>
      <c r="AA560" s="1098"/>
      <c r="AB560" s="1098"/>
      <c r="AC560" s="1098"/>
      <c r="AD560" s="1098"/>
      <c r="AE560" s="1098"/>
      <c r="AF560" s="1098"/>
      <c r="AG560" s="1098"/>
      <c r="AH560" s="1098"/>
      <c r="AI560" s="1098"/>
      <c r="AJ560" s="1098"/>
      <c r="AK560" s="109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8" t="s">
        <v>1746</v>
      </c>
      <c r="H561" s="1098"/>
      <c r="I561" s="1098"/>
      <c r="J561" s="1098"/>
      <c r="K561" s="1098"/>
      <c r="L561" s="1098"/>
      <c r="M561" s="1098"/>
      <c r="N561" s="1098"/>
      <c r="O561" s="1098"/>
      <c r="P561" s="1098"/>
      <c r="Q561" s="1098"/>
      <c r="R561" s="1098"/>
      <c r="S561" s="88"/>
      <c r="T561" s="35"/>
      <c r="U561" s="12" t="s">
        <v>630</v>
      </c>
      <c r="Z561" s="1119" t="s">
        <v>1710</v>
      </c>
      <c r="AA561" s="1119"/>
      <c r="AB561" s="1119"/>
      <c r="AC561" s="1119"/>
      <c r="AD561" s="1119"/>
      <c r="AE561" s="1119"/>
      <c r="AF561" s="1119"/>
      <c r="AG561" s="1119"/>
      <c r="AH561" s="1119"/>
      <c r="AI561" s="1119"/>
      <c r="AJ561" s="1119"/>
      <c r="AK561" s="1119"/>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8" t="s">
        <v>1747</v>
      </c>
      <c r="H562" s="1098"/>
      <c r="I562" s="1098"/>
      <c r="J562" s="1098"/>
      <c r="K562" s="1098"/>
      <c r="L562" s="1098"/>
      <c r="M562" s="1098"/>
      <c r="N562" s="1098"/>
      <c r="O562" s="1098"/>
      <c r="P562" s="1098"/>
      <c r="Q562" s="1098"/>
      <c r="R562" s="1098"/>
      <c r="S562" s="14"/>
      <c r="T562" s="35"/>
      <c r="U562" s="12" t="s">
        <v>19</v>
      </c>
      <c r="Z562" s="1125" t="s">
        <v>1713</v>
      </c>
      <c r="AA562" s="1119"/>
      <c r="AB562" s="1119"/>
      <c r="AC562" s="1119"/>
      <c r="AD562" s="1119"/>
      <c r="AE562" s="1119"/>
      <c r="AF562" s="1119"/>
      <c r="AG562" s="1119"/>
      <c r="AH562" s="1119"/>
      <c r="AI562" s="1119"/>
      <c r="AJ562" s="1119"/>
      <c r="AK562" s="1119"/>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17" t="s">
        <v>1748</v>
      </c>
      <c r="H563" s="1101"/>
      <c r="I563" s="1101"/>
      <c r="J563" s="1101"/>
      <c r="K563" s="1101"/>
      <c r="L563" s="1101"/>
      <c r="O563" s="140" t="s">
        <v>220</v>
      </c>
      <c r="P563" s="1102"/>
      <c r="Q563" s="1102"/>
      <c r="R563" s="1102"/>
      <c r="S563" s="16"/>
      <c r="T563" s="35"/>
      <c r="U563" s="12" t="s">
        <v>338</v>
      </c>
      <c r="Z563" s="1120" t="s">
        <v>1711</v>
      </c>
      <c r="AA563" s="1121"/>
      <c r="AB563" s="1121"/>
      <c r="AC563" s="1121"/>
      <c r="AD563" s="1121"/>
      <c r="AE563" s="1121"/>
      <c r="AH563" s="140" t="s">
        <v>220</v>
      </c>
      <c r="AI563" s="1102"/>
      <c r="AJ563" s="1102"/>
      <c r="AK563" s="110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6" t="s">
        <v>1739</v>
      </c>
      <c r="I564" s="1098"/>
      <c r="J564" s="1098"/>
      <c r="K564" s="1098"/>
      <c r="L564" s="1098"/>
      <c r="M564" s="1098"/>
      <c r="N564" s="1098"/>
      <c r="O564" s="1098"/>
      <c r="P564" s="1098"/>
      <c r="Q564" s="1098"/>
      <c r="R564" s="1098"/>
      <c r="S564" s="14"/>
      <c r="T564" s="35"/>
      <c r="U564" s="12" t="s">
        <v>20</v>
      </c>
      <c r="AA564" s="1096" t="s">
        <v>1750</v>
      </c>
      <c r="AB564" s="1098"/>
      <c r="AC564" s="1098"/>
      <c r="AD564" s="1098"/>
      <c r="AE564" s="1098"/>
      <c r="AF564" s="1098"/>
      <c r="AG564" s="1098"/>
      <c r="AH564" s="1098"/>
      <c r="AI564" s="1098"/>
      <c r="AJ564" s="1098"/>
      <c r="AK564" s="109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23"/>
      <c r="N565" s="1523"/>
      <c r="O565" s="1523"/>
      <c r="P565" s="1523"/>
      <c r="Q565" s="1523"/>
      <c r="R565" s="1523"/>
      <c r="S565" s="14"/>
      <c r="T565" s="35"/>
      <c r="U565" s="530" t="s">
        <v>1426</v>
      </c>
      <c r="V565" s="743"/>
      <c r="W565" s="743"/>
      <c r="X565" s="743"/>
      <c r="Y565" s="743"/>
      <c r="Z565" s="743"/>
      <c r="AA565" s="14"/>
      <c r="AB565" s="14"/>
      <c r="AC565" s="14"/>
      <c r="AD565" s="14"/>
      <c r="AE565" s="14"/>
      <c r="AF565" s="1523"/>
      <c r="AG565" s="1523"/>
      <c r="AH565" s="1523"/>
      <c r="AI565" s="1523"/>
      <c r="AJ565" s="1523"/>
      <c r="AK565" s="1523"/>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9" t="s">
        <v>591</v>
      </c>
      <c r="O566" s="1099"/>
      <c r="T566" s="35"/>
      <c r="U566" s="12" t="s">
        <v>22</v>
      </c>
      <c r="AG566" s="1099" t="s">
        <v>591</v>
      </c>
      <c r="AH566" s="1099"/>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00" t="str">
        <f>C547</f>
        <v>HHH Funds (HCIDLA)</v>
      </c>
      <c r="H568" s="1100"/>
      <c r="I568" s="1100"/>
      <c r="J568" s="1100"/>
      <c r="K568" s="1100"/>
      <c r="L568" s="1100"/>
      <c r="M568" s="1100"/>
      <c r="N568" s="1100"/>
      <c r="O568" s="1100"/>
      <c r="P568" s="1100"/>
      <c r="Q568" s="1100"/>
      <c r="R568" s="1100"/>
      <c r="T568" s="87" t="s">
        <v>631</v>
      </c>
      <c r="U568" s="12" t="s">
        <v>509</v>
      </c>
      <c r="Z568" s="1100">
        <f>C548</f>
        <v>0</v>
      </c>
      <c r="AA568" s="1100"/>
      <c r="AB568" s="1100"/>
      <c r="AC568" s="1100"/>
      <c r="AD568" s="1100"/>
      <c r="AE568" s="1100"/>
      <c r="AF568" s="1100"/>
      <c r="AG568" s="1100"/>
      <c r="AH568" s="1100"/>
      <c r="AI568" s="1100"/>
      <c r="AJ568" s="1100"/>
      <c r="AK568" s="110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8" t="s">
        <v>1751</v>
      </c>
      <c r="H569" s="1098"/>
      <c r="I569" s="1098"/>
      <c r="J569" s="1098"/>
      <c r="K569" s="1098"/>
      <c r="L569" s="1098"/>
      <c r="M569" s="1098"/>
      <c r="N569" s="1098"/>
      <c r="O569" s="1098"/>
      <c r="P569" s="1098"/>
      <c r="Q569" s="1098"/>
      <c r="R569" s="1098"/>
      <c r="T569" s="35"/>
      <c r="U569" s="12" t="s">
        <v>92</v>
      </c>
      <c r="Z569" s="1096"/>
      <c r="AA569" s="1098"/>
      <c r="AB569" s="1098"/>
      <c r="AC569" s="1098"/>
      <c r="AD569" s="1098"/>
      <c r="AE569" s="1098"/>
      <c r="AF569" s="1098"/>
      <c r="AG569" s="1098"/>
      <c r="AH569" s="1098"/>
      <c r="AI569" s="1098"/>
      <c r="AJ569" s="1098"/>
      <c r="AK569" s="109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19" t="s">
        <v>1693</v>
      </c>
      <c r="H570" s="1119"/>
      <c r="I570" s="1119"/>
      <c r="J570" s="1119"/>
      <c r="K570" s="1119"/>
      <c r="L570" s="1119"/>
      <c r="M570" s="1119"/>
      <c r="N570" s="1119"/>
      <c r="O570" s="1119"/>
      <c r="P570" s="1119"/>
      <c r="Q570" s="1119"/>
      <c r="R570" s="1119"/>
      <c r="T570" s="35"/>
      <c r="U570" s="12" t="s">
        <v>630</v>
      </c>
      <c r="Z570" s="1125"/>
      <c r="AA570" s="1119"/>
      <c r="AB570" s="1119"/>
      <c r="AC570" s="1119"/>
      <c r="AD570" s="1119"/>
      <c r="AE570" s="1119"/>
      <c r="AF570" s="1119"/>
      <c r="AG570" s="1119"/>
      <c r="AH570" s="1119"/>
      <c r="AI570" s="1119"/>
      <c r="AJ570" s="1119"/>
      <c r="AK570" s="111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5" t="s">
        <v>1694</v>
      </c>
      <c r="H571" s="1119"/>
      <c r="I571" s="1119"/>
      <c r="J571" s="1119"/>
      <c r="K571" s="1119"/>
      <c r="L571" s="1119"/>
      <c r="M571" s="1119"/>
      <c r="N571" s="1119"/>
      <c r="O571" s="1119"/>
      <c r="P571" s="1119"/>
      <c r="Q571" s="1119"/>
      <c r="R571" s="1119"/>
      <c r="T571" s="35"/>
      <c r="U571" s="12" t="s">
        <v>19</v>
      </c>
      <c r="Z571" s="1125"/>
      <c r="AA571" s="1119"/>
      <c r="AB571" s="1119"/>
      <c r="AC571" s="1119"/>
      <c r="AD571" s="1119"/>
      <c r="AE571" s="1119"/>
      <c r="AF571" s="1119"/>
      <c r="AG571" s="1119"/>
      <c r="AH571" s="1119"/>
      <c r="AI571" s="1119"/>
      <c r="AJ571" s="1119"/>
      <c r="AK571" s="111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17">
        <v>2138088958</v>
      </c>
      <c r="H572" s="1217"/>
      <c r="I572" s="1217"/>
      <c r="J572" s="1217"/>
      <c r="K572" s="1217"/>
      <c r="L572" s="1217"/>
      <c r="O572" s="140" t="s">
        <v>220</v>
      </c>
      <c r="P572" s="1102"/>
      <c r="Q572" s="1102"/>
      <c r="R572" s="1102"/>
      <c r="T572" s="35"/>
      <c r="U572" s="12" t="s">
        <v>338</v>
      </c>
      <c r="Z572" s="1217"/>
      <c r="AA572" s="1101"/>
      <c r="AB572" s="1101"/>
      <c r="AC572" s="1101"/>
      <c r="AD572" s="1101"/>
      <c r="AE572" s="1101"/>
      <c r="AH572" s="140" t="s">
        <v>220</v>
      </c>
      <c r="AI572" s="1102"/>
      <c r="AJ572" s="1102"/>
      <c r="AK572" s="110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8" t="s">
        <v>1739</v>
      </c>
      <c r="I573" s="1098"/>
      <c r="J573" s="1098"/>
      <c r="K573" s="1098"/>
      <c r="L573" s="1098"/>
      <c r="M573" s="1098"/>
      <c r="N573" s="1098"/>
      <c r="O573" s="1098"/>
      <c r="P573" s="1098"/>
      <c r="Q573" s="1098"/>
      <c r="R573" s="1098"/>
      <c r="T573" s="35"/>
      <c r="U573" s="12" t="s">
        <v>20</v>
      </c>
      <c r="AA573" s="1096"/>
      <c r="AB573" s="1098"/>
      <c r="AC573" s="1098"/>
      <c r="AD573" s="1098"/>
      <c r="AE573" s="1098"/>
      <c r="AF573" s="1098"/>
      <c r="AG573" s="1098"/>
      <c r="AH573" s="1098"/>
      <c r="AI573" s="1098"/>
      <c r="AJ573" s="1098"/>
      <c r="AK573" s="109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9" t="s">
        <v>591</v>
      </c>
      <c r="O574" s="1099"/>
      <c r="T574" s="35"/>
      <c r="U574" s="12" t="s">
        <v>22</v>
      </c>
      <c r="AG574" s="1099"/>
      <c r="AH574" s="1099"/>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00">
        <f>C549</f>
        <v>0</v>
      </c>
      <c r="H576" s="1100"/>
      <c r="I576" s="1100"/>
      <c r="J576" s="1100"/>
      <c r="K576" s="1100"/>
      <c r="L576" s="1100"/>
      <c r="M576" s="1100"/>
      <c r="N576" s="1100"/>
      <c r="O576" s="1100"/>
      <c r="P576" s="1100"/>
      <c r="Q576" s="1100"/>
      <c r="R576" s="1100"/>
      <c r="T576" s="87" t="s">
        <v>634</v>
      </c>
      <c r="U576" s="12" t="s">
        <v>509</v>
      </c>
      <c r="Z576" s="1100">
        <f>C550</f>
        <v>0</v>
      </c>
      <c r="AA576" s="1100"/>
      <c r="AB576" s="1100"/>
      <c r="AC576" s="1100"/>
      <c r="AD576" s="1100"/>
      <c r="AE576" s="1100"/>
      <c r="AF576" s="1100"/>
      <c r="AG576" s="1100"/>
      <c r="AH576" s="1100"/>
      <c r="AI576" s="1100"/>
      <c r="AJ576" s="1100"/>
      <c r="AK576" s="110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8"/>
      <c r="H577" s="1098"/>
      <c r="I577" s="1098"/>
      <c r="J577" s="1098"/>
      <c r="K577" s="1098"/>
      <c r="L577" s="1098"/>
      <c r="M577" s="1098"/>
      <c r="N577" s="1098"/>
      <c r="O577" s="1098"/>
      <c r="P577" s="1098"/>
      <c r="Q577" s="1098"/>
      <c r="R577" s="1098"/>
      <c r="T577" s="35"/>
      <c r="U577" s="12" t="s">
        <v>92</v>
      </c>
      <c r="Z577" s="1098"/>
      <c r="AA577" s="1098"/>
      <c r="AB577" s="1098"/>
      <c r="AC577" s="1098"/>
      <c r="AD577" s="1098"/>
      <c r="AE577" s="1098"/>
      <c r="AF577" s="1098"/>
      <c r="AG577" s="1098"/>
      <c r="AH577" s="1098"/>
      <c r="AI577" s="1098"/>
      <c r="AJ577" s="1098"/>
      <c r="AK577" s="109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8"/>
      <c r="H578" s="1098"/>
      <c r="I578" s="1098"/>
      <c r="J578" s="1098"/>
      <c r="K578" s="1098"/>
      <c r="L578" s="1098"/>
      <c r="M578" s="1098"/>
      <c r="N578" s="1098"/>
      <c r="O578" s="1098"/>
      <c r="P578" s="1098"/>
      <c r="Q578" s="1098"/>
      <c r="R578" s="1098"/>
      <c r="T578" s="35"/>
      <c r="U578" s="12" t="s">
        <v>630</v>
      </c>
      <c r="Z578" s="1119"/>
      <c r="AA578" s="1119"/>
      <c r="AB578" s="1119"/>
      <c r="AC578" s="1119"/>
      <c r="AD578" s="1119"/>
      <c r="AE578" s="1119"/>
      <c r="AF578" s="1119"/>
      <c r="AG578" s="1119"/>
      <c r="AH578" s="1119"/>
      <c r="AI578" s="1119"/>
      <c r="AJ578" s="1119"/>
      <c r="AK578" s="111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8"/>
      <c r="H579" s="1098"/>
      <c r="I579" s="1098"/>
      <c r="J579" s="1098"/>
      <c r="K579" s="1098"/>
      <c r="L579" s="1098"/>
      <c r="M579" s="1098"/>
      <c r="N579" s="1098"/>
      <c r="O579" s="1098"/>
      <c r="P579" s="1098"/>
      <c r="Q579" s="1098"/>
      <c r="R579" s="1098"/>
      <c r="T579" s="35"/>
      <c r="U579" s="12" t="s">
        <v>19</v>
      </c>
      <c r="Z579" s="1119"/>
      <c r="AA579" s="1119"/>
      <c r="AB579" s="1119"/>
      <c r="AC579" s="1119"/>
      <c r="AD579" s="1119"/>
      <c r="AE579" s="1119"/>
      <c r="AF579" s="1119"/>
      <c r="AG579" s="1119"/>
      <c r="AH579" s="1119"/>
      <c r="AI579" s="1119"/>
      <c r="AJ579" s="1119"/>
      <c r="AK579" s="111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1"/>
      <c r="H580" s="1101"/>
      <c r="I580" s="1101"/>
      <c r="J580" s="1101"/>
      <c r="K580" s="1101"/>
      <c r="L580" s="1101"/>
      <c r="O580" s="140" t="s">
        <v>220</v>
      </c>
      <c r="P580" s="1102"/>
      <c r="Q580" s="1102"/>
      <c r="R580" s="1102"/>
      <c r="T580" s="35"/>
      <c r="U580" s="12" t="s">
        <v>338</v>
      </c>
      <c r="Z580" s="1101"/>
      <c r="AA580" s="1101"/>
      <c r="AB580" s="1101"/>
      <c r="AC580" s="1101"/>
      <c r="AD580" s="1101"/>
      <c r="AE580" s="1101"/>
      <c r="AH580" s="140" t="s">
        <v>220</v>
      </c>
      <c r="AI580" s="1102"/>
      <c r="AJ580" s="1102"/>
      <c r="AK580" s="1102"/>
    </row>
    <row r="581" spans="1:112" ht="12.75">
      <c r="A581" s="35"/>
      <c r="B581" s="12" t="s">
        <v>20</v>
      </c>
      <c r="H581" s="1098"/>
      <c r="I581" s="1098"/>
      <c r="J581" s="1098"/>
      <c r="K581" s="1098"/>
      <c r="L581" s="1098"/>
      <c r="M581" s="1098"/>
      <c r="N581" s="1098"/>
      <c r="O581" s="1098"/>
      <c r="P581" s="1098"/>
      <c r="Q581" s="1098"/>
      <c r="R581" s="1098"/>
      <c r="T581" s="35"/>
      <c r="U581" s="12" t="s">
        <v>20</v>
      </c>
      <c r="AA581" s="1098"/>
      <c r="AB581" s="1098"/>
      <c r="AC581" s="1098"/>
      <c r="AD581" s="1098"/>
      <c r="AE581" s="1098"/>
      <c r="AF581" s="1098"/>
      <c r="AG581" s="1098"/>
      <c r="AH581" s="1098"/>
      <c r="AI581" s="1098"/>
      <c r="AJ581" s="1098"/>
      <c r="AK581" s="109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9" t="s">
        <v>722</v>
      </c>
      <c r="O582" s="1099"/>
      <c r="T582" s="35"/>
      <c r="U582" s="12" t="s">
        <v>22</v>
      </c>
      <c r="AG582" s="1099" t="s">
        <v>722</v>
      </c>
      <c r="AH582" s="1099"/>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00">
        <f>C551</f>
        <v>0</v>
      </c>
      <c r="H584" s="1100"/>
      <c r="I584" s="1100"/>
      <c r="J584" s="1100"/>
      <c r="K584" s="1100"/>
      <c r="L584" s="1100"/>
      <c r="M584" s="1100"/>
      <c r="N584" s="1100"/>
      <c r="O584" s="1100"/>
      <c r="P584" s="1100"/>
      <c r="Q584" s="1100"/>
      <c r="R584" s="1100"/>
      <c r="T584" s="87" t="s">
        <v>501</v>
      </c>
      <c r="U584" s="12" t="s">
        <v>509</v>
      </c>
      <c r="Z584" s="1100">
        <f>C552</f>
        <v>0</v>
      </c>
      <c r="AA584" s="1100"/>
      <c r="AB584" s="1100"/>
      <c r="AC584" s="1100"/>
      <c r="AD584" s="1100"/>
      <c r="AE584" s="1100"/>
      <c r="AF584" s="1100"/>
      <c r="AG584" s="1100"/>
      <c r="AH584" s="1100"/>
      <c r="AI584" s="1100"/>
      <c r="AJ584" s="1100"/>
      <c r="AK584" s="110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8"/>
      <c r="H585" s="1098"/>
      <c r="I585" s="1098"/>
      <c r="J585" s="1098"/>
      <c r="K585" s="1098"/>
      <c r="L585" s="1098"/>
      <c r="M585" s="1098"/>
      <c r="N585" s="1098"/>
      <c r="O585" s="1098"/>
      <c r="P585" s="1098"/>
      <c r="Q585" s="1098"/>
      <c r="R585" s="1098"/>
      <c r="T585" s="35"/>
      <c r="U585" s="12" t="s">
        <v>92</v>
      </c>
      <c r="Z585" s="1098"/>
      <c r="AA585" s="1098"/>
      <c r="AB585" s="1098"/>
      <c r="AC585" s="1098"/>
      <c r="AD585" s="1098"/>
      <c r="AE585" s="1098"/>
      <c r="AF585" s="1098"/>
      <c r="AG585" s="1098"/>
      <c r="AH585" s="1098"/>
      <c r="AI585" s="1098"/>
      <c r="AJ585" s="1098"/>
      <c r="AK585" s="109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8"/>
      <c r="H586" s="1098"/>
      <c r="I586" s="1098"/>
      <c r="J586" s="1098"/>
      <c r="K586" s="1098"/>
      <c r="L586" s="1098"/>
      <c r="M586" s="1098"/>
      <c r="N586" s="1098"/>
      <c r="O586" s="1098"/>
      <c r="P586" s="1098"/>
      <c r="Q586" s="1098"/>
      <c r="R586" s="1098"/>
      <c r="S586" s="12"/>
      <c r="T586" s="35"/>
      <c r="U586" s="12" t="s">
        <v>630</v>
      </c>
      <c r="V586" s="12"/>
      <c r="W586" s="12"/>
      <c r="X586" s="12"/>
      <c r="Y586" s="12"/>
      <c r="Z586" s="1119"/>
      <c r="AA586" s="1119"/>
      <c r="AB586" s="1119"/>
      <c r="AC586" s="1119"/>
      <c r="AD586" s="1119"/>
      <c r="AE586" s="1119"/>
      <c r="AF586" s="1119"/>
      <c r="AG586" s="1119"/>
      <c r="AH586" s="1119"/>
      <c r="AI586" s="1119"/>
      <c r="AJ586" s="1119"/>
      <c r="AK586" s="1119"/>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8"/>
      <c r="H587" s="1098"/>
      <c r="I587" s="1098"/>
      <c r="J587" s="1098"/>
      <c r="K587" s="1098"/>
      <c r="L587" s="1098"/>
      <c r="M587" s="1098"/>
      <c r="N587" s="1098"/>
      <c r="O587" s="1098"/>
      <c r="P587" s="1098"/>
      <c r="Q587" s="1098"/>
      <c r="R587" s="1098"/>
      <c r="S587" s="12"/>
      <c r="T587" s="35"/>
      <c r="U587" s="12" t="s">
        <v>19</v>
      </c>
      <c r="V587" s="12"/>
      <c r="W587" s="12"/>
      <c r="X587" s="12"/>
      <c r="Y587" s="12"/>
      <c r="Z587" s="1119"/>
      <c r="AA587" s="1119"/>
      <c r="AB587" s="1119"/>
      <c r="AC587" s="1119"/>
      <c r="AD587" s="1119"/>
      <c r="AE587" s="1119"/>
      <c r="AF587" s="1119"/>
      <c r="AG587" s="1119"/>
      <c r="AH587" s="1119"/>
      <c r="AI587" s="1119"/>
      <c r="AJ587" s="1119"/>
      <c r="AK587" s="1119"/>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1"/>
      <c r="H588" s="1101"/>
      <c r="I588" s="1101"/>
      <c r="J588" s="1101"/>
      <c r="K588" s="1101"/>
      <c r="L588" s="1101"/>
      <c r="M588" s="12"/>
      <c r="N588" s="12"/>
      <c r="O588" s="140" t="s">
        <v>220</v>
      </c>
      <c r="P588" s="1102"/>
      <c r="Q588" s="1102"/>
      <c r="R588" s="1102"/>
      <c r="S588" s="12"/>
      <c r="T588" s="35"/>
      <c r="U588" s="12" t="s">
        <v>338</v>
      </c>
      <c r="V588" s="12"/>
      <c r="W588" s="12"/>
      <c r="X588" s="12"/>
      <c r="Y588" s="12"/>
      <c r="Z588" s="1101"/>
      <c r="AA588" s="1101"/>
      <c r="AB588" s="1101"/>
      <c r="AC588" s="1101"/>
      <c r="AD588" s="1101"/>
      <c r="AE588" s="1101"/>
      <c r="AF588" s="12"/>
      <c r="AG588" s="12"/>
      <c r="AH588" s="140" t="s">
        <v>220</v>
      </c>
      <c r="AI588" s="1102"/>
      <c r="AJ588" s="1102"/>
      <c r="AK588" s="1102"/>
      <c r="AL588" s="12"/>
      <c r="AM588" s="7" t="s">
        <v>347</v>
      </c>
      <c r="AN588" s="58"/>
      <c r="AO588" s="58"/>
      <c r="AP588" s="58"/>
      <c r="AQ588" s="58"/>
      <c r="AR588" s="193" t="s">
        <v>520</v>
      </c>
      <c r="AS588" s="194"/>
      <c r="AT588" s="1134"/>
      <c r="AU588" s="1136"/>
      <c r="AV588" s="193" t="s">
        <v>521</v>
      </c>
      <c r="AW588" s="194"/>
      <c r="AX588" s="1134"/>
      <c r="AY588" s="1136"/>
      <c r="AZ588" s="58"/>
      <c r="BA588" s="1218" t="s">
        <v>683</v>
      </c>
      <c r="BB588" s="1219"/>
      <c r="BC588" s="1219"/>
      <c r="BD588" s="1219"/>
      <c r="BE588" s="1220"/>
      <c r="BF588" s="1201" t="s">
        <v>348</v>
      </c>
      <c r="BG588" s="1201"/>
      <c r="BH588" s="1201"/>
      <c r="BI588" s="1201"/>
      <c r="BJ588" s="1201"/>
      <c r="BK588" s="1201" t="s">
        <v>170</v>
      </c>
      <c r="BL588" s="1201"/>
      <c r="BM588" s="1201"/>
      <c r="BN588" s="1201"/>
      <c r="BO588" s="1201"/>
      <c r="BP588" s="1201" t="s">
        <v>171</v>
      </c>
      <c r="BQ588" s="1201"/>
      <c r="BR588" s="1201"/>
      <c r="BS588" s="1201"/>
      <c r="BT588" s="1201"/>
      <c r="BU588" s="1201" t="s">
        <v>506</v>
      </c>
      <c r="BV588" s="1201"/>
      <c r="BW588" s="1201"/>
      <c r="BX588" s="1201"/>
      <c r="BY588" s="1201"/>
      <c r="BZ588" s="1201" t="s">
        <v>33</v>
      </c>
      <c r="CA588" s="1201"/>
      <c r="CB588" s="1201"/>
      <c r="CC588" s="1201"/>
      <c r="CD588" s="1201"/>
      <c r="CE588" s="1201" t="s">
        <v>683</v>
      </c>
      <c r="CF588" s="1201"/>
      <c r="CG588" s="1201"/>
      <c r="CH588" s="1201"/>
      <c r="CI588" s="1201"/>
      <c r="CJ588" s="1201" t="s">
        <v>348</v>
      </c>
      <c r="CK588" s="1201"/>
      <c r="CL588" s="1201"/>
      <c r="CM588" s="1201"/>
      <c r="CN588" s="1201"/>
      <c r="CO588" s="1201" t="s">
        <v>170</v>
      </c>
      <c r="CP588" s="1201"/>
      <c r="CQ588" s="1201"/>
      <c r="CR588" s="1201"/>
      <c r="CS588" s="1201"/>
      <c r="CT588" s="1201" t="s">
        <v>171</v>
      </c>
      <c r="CU588" s="1201"/>
      <c r="CV588" s="1201"/>
      <c r="CW588" s="1201"/>
      <c r="CX588" s="1201"/>
      <c r="CY588" s="1201" t="s">
        <v>506</v>
      </c>
      <c r="CZ588" s="1201"/>
      <c r="DA588" s="1201"/>
      <c r="DB588" s="1201"/>
      <c r="DC588" s="1201"/>
      <c r="DD588" s="1201" t="s">
        <v>33</v>
      </c>
      <c r="DE588" s="1201"/>
      <c r="DF588" s="1201"/>
      <c r="DG588" s="1201"/>
      <c r="DH588" s="1201"/>
    </row>
    <row r="589" spans="1:112" s="7" customFormat="1" ht="12.75">
      <c r="A589" s="35"/>
      <c r="B589" s="12" t="s">
        <v>20</v>
      </c>
      <c r="C589" s="12"/>
      <c r="D589" s="12"/>
      <c r="E589" s="12"/>
      <c r="F589" s="12"/>
      <c r="G589" s="12"/>
      <c r="H589" s="1098"/>
      <c r="I589" s="1098"/>
      <c r="J589" s="1098"/>
      <c r="K589" s="1098"/>
      <c r="L589" s="1098"/>
      <c r="M589" s="1098"/>
      <c r="N589" s="1098"/>
      <c r="O589" s="1098"/>
      <c r="P589" s="1098"/>
      <c r="Q589" s="1098"/>
      <c r="R589" s="1098"/>
      <c r="S589" s="12"/>
      <c r="T589" s="35"/>
      <c r="U589" s="12" t="s">
        <v>20</v>
      </c>
      <c r="V589" s="12"/>
      <c r="W589" s="12"/>
      <c r="X589" s="12"/>
      <c r="Y589" s="12"/>
      <c r="Z589" s="12"/>
      <c r="AA589" s="1098"/>
      <c r="AB589" s="1098"/>
      <c r="AC589" s="1098"/>
      <c r="AD589" s="1098"/>
      <c r="AE589" s="1098"/>
      <c r="AF589" s="1098"/>
      <c r="AG589" s="1098"/>
      <c r="AH589" s="1098"/>
      <c r="AI589" s="1098"/>
      <c r="AJ589" s="1098"/>
      <c r="AK589" s="1098"/>
      <c r="AL589" s="12"/>
      <c r="AM589" s="7" t="s">
        <v>348</v>
      </c>
      <c r="AN589" s="58"/>
      <c r="AO589" s="58"/>
      <c r="AP589" s="58"/>
      <c r="AQ589" s="58"/>
      <c r="AR589" s="1521">
        <f t="shared" ref="AR589:AR613" si="0">IF(AND(AD709&lt;=0.5,AD709&gt;=0.36),1,0)</f>
        <v>1</v>
      </c>
      <c r="AS589" s="1522"/>
      <c r="AT589" s="1134">
        <f t="shared" ref="AT589:AT613" si="1">IF(AR589=1,G709,0)</f>
        <v>8</v>
      </c>
      <c r="AU589" s="1136"/>
      <c r="AV589" s="1521">
        <f t="shared" ref="AV589:AV613" si="2">IF(AND(AD709&lt;=0.35,AD709&gt;0),1,0)</f>
        <v>0</v>
      </c>
      <c r="AW589" s="1522"/>
      <c r="AX589" s="1134">
        <f t="shared" ref="AX589:AX613" si="3">IF(AV589=1,G709,0)</f>
        <v>0</v>
      </c>
      <c r="AY589" s="1136"/>
      <c r="AZ589" s="58"/>
      <c r="BA589" s="1134">
        <f t="shared" ref="BA589:BA613" si="4">IF(B709="SRO/Studio",G709,0)</f>
        <v>8</v>
      </c>
      <c r="BB589" s="1135"/>
      <c r="BC589" s="1135"/>
      <c r="BD589" s="1135"/>
      <c r="BE589" s="1136"/>
      <c r="BF589" s="1198">
        <f t="shared" ref="BF589:BF613" si="5">IF(B709="1 Bedroom",G709,0)</f>
        <v>0</v>
      </c>
      <c r="BG589" s="1198"/>
      <c r="BH589" s="1198"/>
      <c r="BI589" s="1198"/>
      <c r="BJ589" s="1198"/>
      <c r="BK589" s="1198">
        <f t="shared" ref="BK589:BK613" si="6">IF(B709="2 Bedrooms",G709,0)</f>
        <v>0</v>
      </c>
      <c r="BL589" s="1198"/>
      <c r="BM589" s="1198"/>
      <c r="BN589" s="1198"/>
      <c r="BO589" s="1198"/>
      <c r="BP589" s="1198">
        <f t="shared" ref="BP589:BP613" si="7">IF(B709="3 Bedrooms",G709,0)</f>
        <v>0</v>
      </c>
      <c r="BQ589" s="1198"/>
      <c r="BR589" s="1198"/>
      <c r="BS589" s="1198"/>
      <c r="BT589" s="1198"/>
      <c r="BU589" s="1198">
        <f t="shared" ref="BU589:BU613" si="8">IF(B709="4 Bedrooms",G709,0)</f>
        <v>0</v>
      </c>
      <c r="BV589" s="1198"/>
      <c r="BW589" s="1198"/>
      <c r="BX589" s="1198"/>
      <c r="BY589" s="1198"/>
      <c r="BZ589" s="1198">
        <f t="shared" ref="BZ589:BZ613" si="9">IF(B709="5 Bedrooms",G709,0)</f>
        <v>0</v>
      </c>
      <c r="CA589" s="1198"/>
      <c r="CB589" s="1198"/>
      <c r="CC589" s="1198"/>
      <c r="CD589" s="1198"/>
      <c r="CE589" s="1208">
        <f t="shared" ref="CE589:CE613" si="10">IF(AND(B709="SRO/Studio",AD709&lt;=0.3),G709,0)</f>
        <v>0</v>
      </c>
      <c r="CF589" s="1208"/>
      <c r="CG589" s="1208"/>
      <c r="CH589" s="1208"/>
      <c r="CI589" s="1208"/>
      <c r="CJ589" s="1208">
        <f t="shared" ref="CJ589:CJ613" si="11">IF(AND(B709="1 Bedroom",AD709&lt;=0.3),G709,0)</f>
        <v>0</v>
      </c>
      <c r="CK589" s="1208"/>
      <c r="CL589" s="1208"/>
      <c r="CM589" s="1208"/>
      <c r="CN589" s="1208"/>
      <c r="CO589" s="1208">
        <f t="shared" ref="CO589:CO613" si="12">IF(AND(B709="2 Bedrooms",AD709&lt;=0.3),G709,0)</f>
        <v>0</v>
      </c>
      <c r="CP589" s="1208"/>
      <c r="CQ589" s="1208"/>
      <c r="CR589" s="1208"/>
      <c r="CS589" s="1208"/>
      <c r="CT589" s="1208">
        <f t="shared" ref="CT589:CT613" si="13">IF(AND(B709="3 Bedrooms",AD709&lt;=0.3),G709,0)</f>
        <v>0</v>
      </c>
      <c r="CU589" s="1208"/>
      <c r="CV589" s="1208"/>
      <c r="CW589" s="1208"/>
      <c r="CX589" s="1208"/>
      <c r="CY589" s="1208">
        <f t="shared" ref="CY589:CY613" si="14">IF(AND(B709="4 Bedrooms",AD709&lt;=0.3),G709,0)</f>
        <v>0</v>
      </c>
      <c r="CZ589" s="1208"/>
      <c r="DA589" s="1208"/>
      <c r="DB589" s="1208"/>
      <c r="DC589" s="1208"/>
      <c r="DD589" s="1208">
        <f t="shared" ref="DD589:DD613" si="15">IF(AND(B709="5 Bedrooms",AD709&lt;=0.3),G709,0)</f>
        <v>0</v>
      </c>
      <c r="DE589" s="1208"/>
      <c r="DF589" s="1208"/>
      <c r="DG589" s="1208"/>
      <c r="DH589" s="1208"/>
    </row>
    <row r="590" spans="1:112" s="7" customFormat="1" ht="12.75">
      <c r="A590" s="35"/>
      <c r="B590" s="12" t="s">
        <v>22</v>
      </c>
      <c r="C590" s="12"/>
      <c r="D590" s="12"/>
      <c r="E590" s="12"/>
      <c r="F590" s="12"/>
      <c r="G590" s="12"/>
      <c r="H590" s="12"/>
      <c r="I590" s="12"/>
      <c r="J590" s="12"/>
      <c r="K590" s="12"/>
      <c r="L590" s="12"/>
      <c r="M590" s="12"/>
      <c r="N590" s="1099" t="s">
        <v>722</v>
      </c>
      <c r="O590" s="1099"/>
      <c r="P590" s="12"/>
      <c r="Q590" s="12"/>
      <c r="R590" s="12"/>
      <c r="S590" s="12"/>
      <c r="T590" s="35"/>
      <c r="U590" s="12" t="s">
        <v>22</v>
      </c>
      <c r="V590" s="12"/>
      <c r="W590" s="12"/>
      <c r="X590" s="12"/>
      <c r="Y590" s="12"/>
      <c r="Z590" s="12"/>
      <c r="AA590" s="12"/>
      <c r="AB590" s="12"/>
      <c r="AC590" s="12"/>
      <c r="AD590" s="12"/>
      <c r="AE590" s="12"/>
      <c r="AF590" s="12"/>
      <c r="AG590" s="1099" t="s">
        <v>722</v>
      </c>
      <c r="AH590" s="1099"/>
      <c r="AI590" s="12"/>
      <c r="AJ590" s="12"/>
      <c r="AK590" s="12"/>
      <c r="AL590" s="12"/>
      <c r="AM590" s="7" t="s">
        <v>170</v>
      </c>
      <c r="AN590" s="58"/>
      <c r="AO590" s="58"/>
      <c r="AP590" s="58"/>
      <c r="AQ590" s="58"/>
      <c r="AR590" s="1521">
        <f t="shared" si="0"/>
        <v>1</v>
      </c>
      <c r="AS590" s="1522"/>
      <c r="AT590" s="1134">
        <f t="shared" si="1"/>
        <v>27</v>
      </c>
      <c r="AU590" s="1136"/>
      <c r="AV590" s="1521">
        <f t="shared" si="2"/>
        <v>0</v>
      </c>
      <c r="AW590" s="1522"/>
      <c r="AX590" s="1134">
        <f t="shared" si="3"/>
        <v>0</v>
      </c>
      <c r="AY590" s="1136"/>
      <c r="AZ590" s="58"/>
      <c r="BA590" s="1134">
        <f t="shared" si="4"/>
        <v>27</v>
      </c>
      <c r="BB590" s="1135"/>
      <c r="BC590" s="1135"/>
      <c r="BD590" s="1135"/>
      <c r="BE590" s="1136"/>
      <c r="BF590" s="1198">
        <f t="shared" si="5"/>
        <v>0</v>
      </c>
      <c r="BG590" s="1198"/>
      <c r="BH590" s="1198"/>
      <c r="BI590" s="1198"/>
      <c r="BJ590" s="1198"/>
      <c r="BK590" s="1198">
        <f t="shared" si="6"/>
        <v>0</v>
      </c>
      <c r="BL590" s="1198"/>
      <c r="BM590" s="1198"/>
      <c r="BN590" s="1198"/>
      <c r="BO590" s="1198"/>
      <c r="BP590" s="1198">
        <f t="shared" si="7"/>
        <v>0</v>
      </c>
      <c r="BQ590" s="1198"/>
      <c r="BR590" s="1198"/>
      <c r="BS590" s="1198"/>
      <c r="BT590" s="1198"/>
      <c r="BU590" s="1198">
        <f t="shared" si="8"/>
        <v>0</v>
      </c>
      <c r="BV590" s="1198"/>
      <c r="BW590" s="1198"/>
      <c r="BX590" s="1198"/>
      <c r="BY590" s="1198"/>
      <c r="BZ590" s="1198">
        <f t="shared" si="9"/>
        <v>0</v>
      </c>
      <c r="CA590" s="1198"/>
      <c r="CB590" s="1198"/>
      <c r="CC590" s="1198"/>
      <c r="CD590" s="1198"/>
      <c r="CE590" s="1208">
        <f t="shared" si="10"/>
        <v>0</v>
      </c>
      <c r="CF590" s="1208"/>
      <c r="CG590" s="1208"/>
      <c r="CH590" s="1208"/>
      <c r="CI590" s="1208"/>
      <c r="CJ590" s="1208">
        <f t="shared" si="11"/>
        <v>0</v>
      </c>
      <c r="CK590" s="1208"/>
      <c r="CL590" s="1208"/>
      <c r="CM590" s="1208"/>
      <c r="CN590" s="1208"/>
      <c r="CO590" s="1208">
        <f t="shared" si="12"/>
        <v>0</v>
      </c>
      <c r="CP590" s="1208"/>
      <c r="CQ590" s="1208"/>
      <c r="CR590" s="1208"/>
      <c r="CS590" s="1208"/>
      <c r="CT590" s="1208">
        <f t="shared" si="13"/>
        <v>0</v>
      </c>
      <c r="CU590" s="1208"/>
      <c r="CV590" s="1208"/>
      <c r="CW590" s="1208"/>
      <c r="CX590" s="1208"/>
      <c r="CY590" s="1208">
        <f t="shared" si="14"/>
        <v>0</v>
      </c>
      <c r="CZ590" s="1208"/>
      <c r="DA590" s="1208"/>
      <c r="DB590" s="1208"/>
      <c r="DC590" s="1208"/>
      <c r="DD590" s="1208">
        <f t="shared" si="15"/>
        <v>0</v>
      </c>
      <c r="DE590" s="1208"/>
      <c r="DF590" s="1208"/>
      <c r="DG590" s="1208"/>
      <c r="DH590" s="1208"/>
    </row>
    <row r="591" spans="1:112" ht="12.75">
      <c r="A591" s="35"/>
      <c r="T591" s="35"/>
      <c r="AM591" s="7" t="s">
        <v>171</v>
      </c>
      <c r="AN591" s="58"/>
      <c r="AO591" s="58"/>
      <c r="AP591" s="58"/>
      <c r="AQ591" s="58"/>
      <c r="AR591" s="1521">
        <f t="shared" si="0"/>
        <v>1</v>
      </c>
      <c r="AS591" s="1522"/>
      <c r="AT591" s="1134">
        <f t="shared" si="1"/>
        <v>15</v>
      </c>
      <c r="AU591" s="1136"/>
      <c r="AV591" s="1521">
        <f t="shared" si="2"/>
        <v>0</v>
      </c>
      <c r="AW591" s="1522"/>
      <c r="AX591" s="1134">
        <f t="shared" si="3"/>
        <v>0</v>
      </c>
      <c r="AY591" s="1136"/>
      <c r="AZ591" s="58"/>
      <c r="BA591" s="1134">
        <f t="shared" si="4"/>
        <v>0</v>
      </c>
      <c r="BB591" s="1135"/>
      <c r="BC591" s="1135"/>
      <c r="BD591" s="1135"/>
      <c r="BE591" s="1136"/>
      <c r="BF591" s="1198">
        <f t="shared" si="5"/>
        <v>15</v>
      </c>
      <c r="BG591" s="1198"/>
      <c r="BH591" s="1198"/>
      <c r="BI591" s="1198"/>
      <c r="BJ591" s="1198"/>
      <c r="BK591" s="1198">
        <f t="shared" si="6"/>
        <v>0</v>
      </c>
      <c r="BL591" s="1198"/>
      <c r="BM591" s="1198"/>
      <c r="BN591" s="1198"/>
      <c r="BO591" s="1198"/>
      <c r="BP591" s="1198">
        <f t="shared" si="7"/>
        <v>0</v>
      </c>
      <c r="BQ591" s="1198"/>
      <c r="BR591" s="1198"/>
      <c r="BS591" s="1198"/>
      <c r="BT591" s="1198"/>
      <c r="BU591" s="1198">
        <f t="shared" si="8"/>
        <v>0</v>
      </c>
      <c r="BV591" s="1198"/>
      <c r="BW591" s="1198"/>
      <c r="BX591" s="1198"/>
      <c r="BY591" s="1198"/>
      <c r="BZ591" s="1198">
        <f t="shared" si="9"/>
        <v>0</v>
      </c>
      <c r="CA591" s="1198"/>
      <c r="CB591" s="1198"/>
      <c r="CC591" s="1198"/>
      <c r="CD591" s="1198"/>
      <c r="CE591" s="1208">
        <f t="shared" si="10"/>
        <v>0</v>
      </c>
      <c r="CF591" s="1208"/>
      <c r="CG591" s="1208"/>
      <c r="CH591" s="1208"/>
      <c r="CI591" s="1208"/>
      <c r="CJ591" s="1208">
        <f t="shared" si="11"/>
        <v>0</v>
      </c>
      <c r="CK591" s="1208"/>
      <c r="CL591" s="1208"/>
      <c r="CM591" s="1208"/>
      <c r="CN591" s="1208"/>
      <c r="CO591" s="1208">
        <f t="shared" si="12"/>
        <v>0</v>
      </c>
      <c r="CP591" s="1208"/>
      <c r="CQ591" s="1208"/>
      <c r="CR591" s="1208"/>
      <c r="CS591" s="1208"/>
      <c r="CT591" s="1208">
        <f t="shared" si="13"/>
        <v>0</v>
      </c>
      <c r="CU591" s="1208"/>
      <c r="CV591" s="1208"/>
      <c r="CW591" s="1208"/>
      <c r="CX591" s="1208"/>
      <c r="CY591" s="1208">
        <f t="shared" si="14"/>
        <v>0</v>
      </c>
      <c r="CZ591" s="1208"/>
      <c r="DA591" s="1208"/>
      <c r="DB591" s="1208"/>
      <c r="DC591" s="1208"/>
      <c r="DD591" s="1208">
        <f t="shared" si="15"/>
        <v>0</v>
      </c>
      <c r="DE591" s="1208"/>
      <c r="DF591" s="1208"/>
      <c r="DG591" s="1208"/>
      <c r="DH591" s="1208"/>
    </row>
    <row r="592" spans="1:112" ht="12.75">
      <c r="A592" s="87" t="s">
        <v>507</v>
      </c>
      <c r="B592" s="12" t="s">
        <v>509</v>
      </c>
      <c r="G592" s="1100">
        <f>C553</f>
        <v>0</v>
      </c>
      <c r="H592" s="1100"/>
      <c r="I592" s="1100"/>
      <c r="J592" s="1100"/>
      <c r="K592" s="1100"/>
      <c r="L592" s="1100"/>
      <c r="M592" s="1100"/>
      <c r="N592" s="1100"/>
      <c r="O592" s="1100"/>
      <c r="P592" s="1100"/>
      <c r="Q592" s="1100"/>
      <c r="R592" s="1100"/>
      <c r="T592" s="87" t="s">
        <v>696</v>
      </c>
      <c r="U592" s="12" t="s">
        <v>509</v>
      </c>
      <c r="Z592" s="1100">
        <f>C554</f>
        <v>0</v>
      </c>
      <c r="AA592" s="1100"/>
      <c r="AB592" s="1100"/>
      <c r="AC592" s="1100"/>
      <c r="AD592" s="1100"/>
      <c r="AE592" s="1100"/>
      <c r="AF592" s="1100"/>
      <c r="AG592" s="1100"/>
      <c r="AH592" s="1100"/>
      <c r="AI592" s="1100"/>
      <c r="AJ592" s="1100"/>
      <c r="AK592" s="1100"/>
      <c r="AM592" s="7" t="s">
        <v>172</v>
      </c>
      <c r="AN592" s="58"/>
      <c r="AO592" s="58"/>
      <c r="AP592" s="58"/>
      <c r="AQ592" s="58"/>
      <c r="AR592" s="1521">
        <f t="shared" si="0"/>
        <v>1</v>
      </c>
      <c r="AS592" s="1522"/>
      <c r="AT592" s="1134">
        <f t="shared" si="1"/>
        <v>4</v>
      </c>
      <c r="AU592" s="1136"/>
      <c r="AV592" s="1521">
        <f t="shared" si="2"/>
        <v>0</v>
      </c>
      <c r="AW592" s="1522"/>
      <c r="AX592" s="1134">
        <f t="shared" si="3"/>
        <v>0</v>
      </c>
      <c r="AY592" s="1136"/>
      <c r="AZ592" s="58"/>
      <c r="BA592" s="1134">
        <f t="shared" si="4"/>
        <v>0</v>
      </c>
      <c r="BB592" s="1135"/>
      <c r="BC592" s="1135"/>
      <c r="BD592" s="1135"/>
      <c r="BE592" s="1136"/>
      <c r="BF592" s="1198">
        <f t="shared" si="5"/>
        <v>4</v>
      </c>
      <c r="BG592" s="1198"/>
      <c r="BH592" s="1198"/>
      <c r="BI592" s="1198"/>
      <c r="BJ592" s="1198"/>
      <c r="BK592" s="1198">
        <f t="shared" si="6"/>
        <v>0</v>
      </c>
      <c r="BL592" s="1198"/>
      <c r="BM592" s="1198"/>
      <c r="BN592" s="1198"/>
      <c r="BO592" s="1198"/>
      <c r="BP592" s="1198">
        <f t="shared" si="7"/>
        <v>0</v>
      </c>
      <c r="BQ592" s="1198"/>
      <c r="BR592" s="1198"/>
      <c r="BS592" s="1198"/>
      <c r="BT592" s="1198"/>
      <c r="BU592" s="1198">
        <f t="shared" si="8"/>
        <v>0</v>
      </c>
      <c r="BV592" s="1198"/>
      <c r="BW592" s="1198"/>
      <c r="BX592" s="1198"/>
      <c r="BY592" s="1198"/>
      <c r="BZ592" s="1198">
        <f t="shared" si="9"/>
        <v>0</v>
      </c>
      <c r="CA592" s="1198"/>
      <c r="CB592" s="1198"/>
      <c r="CC592" s="1198"/>
      <c r="CD592" s="1198"/>
      <c r="CE592" s="1208">
        <f t="shared" si="10"/>
        <v>0</v>
      </c>
      <c r="CF592" s="1208"/>
      <c r="CG592" s="1208"/>
      <c r="CH592" s="1208"/>
      <c r="CI592" s="1208"/>
      <c r="CJ592" s="1208">
        <f t="shared" si="11"/>
        <v>0</v>
      </c>
      <c r="CK592" s="1208"/>
      <c r="CL592" s="1208"/>
      <c r="CM592" s="1208"/>
      <c r="CN592" s="1208"/>
      <c r="CO592" s="1208">
        <f t="shared" si="12"/>
        <v>0</v>
      </c>
      <c r="CP592" s="1208"/>
      <c r="CQ592" s="1208"/>
      <c r="CR592" s="1208"/>
      <c r="CS592" s="1208"/>
      <c r="CT592" s="1208">
        <f t="shared" si="13"/>
        <v>0</v>
      </c>
      <c r="CU592" s="1208"/>
      <c r="CV592" s="1208"/>
      <c r="CW592" s="1208"/>
      <c r="CX592" s="1208"/>
      <c r="CY592" s="1208">
        <f t="shared" si="14"/>
        <v>0</v>
      </c>
      <c r="CZ592" s="1208"/>
      <c r="DA592" s="1208"/>
      <c r="DB592" s="1208"/>
      <c r="DC592" s="1208"/>
      <c r="DD592" s="1208">
        <f t="shared" si="15"/>
        <v>0</v>
      </c>
      <c r="DE592" s="1208"/>
      <c r="DF592" s="1208"/>
      <c r="DG592" s="1208"/>
      <c r="DH592" s="1208"/>
    </row>
    <row r="593" spans="1:112" ht="12.75">
      <c r="A593" s="35"/>
      <c r="B593" s="12" t="s">
        <v>92</v>
      </c>
      <c r="G593" s="1098"/>
      <c r="H593" s="1098"/>
      <c r="I593" s="1098"/>
      <c r="J593" s="1098"/>
      <c r="K593" s="1098"/>
      <c r="L593" s="1098"/>
      <c r="M593" s="1098"/>
      <c r="N593" s="1098"/>
      <c r="O593" s="1098"/>
      <c r="P593" s="1098"/>
      <c r="Q593" s="1098"/>
      <c r="R593" s="1098"/>
      <c r="T593" s="35"/>
      <c r="U593" s="12" t="s">
        <v>92</v>
      </c>
      <c r="Z593" s="1098"/>
      <c r="AA593" s="1098"/>
      <c r="AB593" s="1098"/>
      <c r="AC593" s="1098"/>
      <c r="AD593" s="1098"/>
      <c r="AE593" s="1098"/>
      <c r="AF593" s="1098"/>
      <c r="AG593" s="1098"/>
      <c r="AH593" s="1098"/>
      <c r="AI593" s="1098"/>
      <c r="AJ593" s="1098"/>
      <c r="AK593" s="1098"/>
      <c r="AM593" s="7" t="s">
        <v>33</v>
      </c>
      <c r="AN593" s="58"/>
      <c r="AO593" s="58"/>
      <c r="AP593" s="58"/>
      <c r="AQ593" s="58"/>
      <c r="AR593" s="1521">
        <f t="shared" si="0"/>
        <v>0</v>
      </c>
      <c r="AS593" s="1522"/>
      <c r="AT593" s="1134">
        <f t="shared" si="1"/>
        <v>0</v>
      </c>
      <c r="AU593" s="1136"/>
      <c r="AV593" s="1521">
        <f t="shared" si="2"/>
        <v>0</v>
      </c>
      <c r="AW593" s="1522"/>
      <c r="AX593" s="1134">
        <f t="shared" si="3"/>
        <v>0</v>
      </c>
      <c r="AY593" s="1136"/>
      <c r="AZ593" s="58"/>
      <c r="BA593" s="1134">
        <f t="shared" si="4"/>
        <v>0</v>
      </c>
      <c r="BB593" s="1135"/>
      <c r="BC593" s="1135"/>
      <c r="BD593" s="1135"/>
      <c r="BE593" s="1136"/>
      <c r="BF593" s="1198">
        <f t="shared" si="5"/>
        <v>0</v>
      </c>
      <c r="BG593" s="1198"/>
      <c r="BH593" s="1198"/>
      <c r="BI593" s="1198"/>
      <c r="BJ593" s="1198"/>
      <c r="BK593" s="1198">
        <f t="shared" si="6"/>
        <v>0</v>
      </c>
      <c r="BL593" s="1198"/>
      <c r="BM593" s="1198"/>
      <c r="BN593" s="1198"/>
      <c r="BO593" s="1198"/>
      <c r="BP593" s="1198">
        <f t="shared" si="7"/>
        <v>0</v>
      </c>
      <c r="BQ593" s="1198"/>
      <c r="BR593" s="1198"/>
      <c r="BS593" s="1198"/>
      <c r="BT593" s="1198"/>
      <c r="BU593" s="1198">
        <f t="shared" si="8"/>
        <v>0</v>
      </c>
      <c r="BV593" s="1198"/>
      <c r="BW593" s="1198"/>
      <c r="BX593" s="1198"/>
      <c r="BY593" s="1198"/>
      <c r="BZ593" s="1198">
        <f t="shared" si="9"/>
        <v>0</v>
      </c>
      <c r="CA593" s="1198"/>
      <c r="CB593" s="1198"/>
      <c r="CC593" s="1198"/>
      <c r="CD593" s="1198"/>
      <c r="CE593" s="1208">
        <f t="shared" si="10"/>
        <v>0</v>
      </c>
      <c r="CF593" s="1208"/>
      <c r="CG593" s="1208"/>
      <c r="CH593" s="1208"/>
      <c r="CI593" s="1208"/>
      <c r="CJ593" s="1208">
        <f t="shared" si="11"/>
        <v>0</v>
      </c>
      <c r="CK593" s="1208"/>
      <c r="CL593" s="1208"/>
      <c r="CM593" s="1208"/>
      <c r="CN593" s="1208"/>
      <c r="CO593" s="1208">
        <f t="shared" si="12"/>
        <v>0</v>
      </c>
      <c r="CP593" s="1208"/>
      <c r="CQ593" s="1208"/>
      <c r="CR593" s="1208"/>
      <c r="CS593" s="1208"/>
      <c r="CT593" s="1208">
        <f t="shared" si="13"/>
        <v>0</v>
      </c>
      <c r="CU593" s="1208"/>
      <c r="CV593" s="1208"/>
      <c r="CW593" s="1208"/>
      <c r="CX593" s="1208"/>
      <c r="CY593" s="1208">
        <f t="shared" si="14"/>
        <v>0</v>
      </c>
      <c r="CZ593" s="1208"/>
      <c r="DA593" s="1208"/>
      <c r="DB593" s="1208"/>
      <c r="DC593" s="1208"/>
      <c r="DD593" s="1208">
        <f t="shared" si="15"/>
        <v>0</v>
      </c>
      <c r="DE593" s="1208"/>
      <c r="DF593" s="1208"/>
      <c r="DG593" s="1208"/>
      <c r="DH593" s="1208"/>
    </row>
    <row r="594" spans="1:112" ht="12.75">
      <c r="A594" s="35"/>
      <c r="B594" s="12" t="s">
        <v>630</v>
      </c>
      <c r="G594" s="1098"/>
      <c r="H594" s="1098"/>
      <c r="I594" s="1098"/>
      <c r="J594" s="1098"/>
      <c r="K594" s="1098"/>
      <c r="L594" s="1098"/>
      <c r="M594" s="1098"/>
      <c r="N594" s="1098"/>
      <c r="O594" s="1098"/>
      <c r="P594" s="1098"/>
      <c r="Q594" s="1098"/>
      <c r="R594" s="1098"/>
      <c r="T594" s="35"/>
      <c r="U594" s="12" t="s">
        <v>630</v>
      </c>
      <c r="Z594" s="1119"/>
      <c r="AA594" s="1119"/>
      <c r="AB594" s="1119"/>
      <c r="AC594" s="1119"/>
      <c r="AD594" s="1119"/>
      <c r="AE594" s="1119"/>
      <c r="AF594" s="1119"/>
      <c r="AG594" s="1119"/>
      <c r="AH594" s="1119"/>
      <c r="AI594" s="1119"/>
      <c r="AJ594" s="1119"/>
      <c r="AK594" s="1119"/>
      <c r="AM594" s="58"/>
      <c r="AN594" s="58"/>
      <c r="AO594" s="58"/>
      <c r="AP594" s="58"/>
      <c r="AQ594" s="58"/>
      <c r="AR594" s="1521">
        <f t="shared" si="0"/>
        <v>0</v>
      </c>
      <c r="AS594" s="1522"/>
      <c r="AT594" s="1134">
        <f t="shared" si="1"/>
        <v>0</v>
      </c>
      <c r="AU594" s="1136"/>
      <c r="AV594" s="1521">
        <f t="shared" si="2"/>
        <v>0</v>
      </c>
      <c r="AW594" s="1522"/>
      <c r="AX594" s="1134">
        <f t="shared" si="3"/>
        <v>0</v>
      </c>
      <c r="AY594" s="1136"/>
      <c r="AZ594" s="58"/>
      <c r="BA594" s="1134">
        <f t="shared" si="4"/>
        <v>0</v>
      </c>
      <c r="BB594" s="1135"/>
      <c r="BC594" s="1135"/>
      <c r="BD594" s="1135"/>
      <c r="BE594" s="1136"/>
      <c r="BF594" s="1198">
        <f t="shared" si="5"/>
        <v>0</v>
      </c>
      <c r="BG594" s="1198"/>
      <c r="BH594" s="1198"/>
      <c r="BI594" s="1198"/>
      <c r="BJ594" s="1198"/>
      <c r="BK594" s="1198">
        <f t="shared" si="6"/>
        <v>0</v>
      </c>
      <c r="BL594" s="1198"/>
      <c r="BM594" s="1198"/>
      <c r="BN594" s="1198"/>
      <c r="BO594" s="1198"/>
      <c r="BP594" s="1198">
        <f t="shared" si="7"/>
        <v>0</v>
      </c>
      <c r="BQ594" s="1198"/>
      <c r="BR594" s="1198"/>
      <c r="BS594" s="1198"/>
      <c r="BT594" s="1198"/>
      <c r="BU594" s="1198">
        <f t="shared" si="8"/>
        <v>0</v>
      </c>
      <c r="BV594" s="1198"/>
      <c r="BW594" s="1198"/>
      <c r="BX594" s="1198"/>
      <c r="BY594" s="1198"/>
      <c r="BZ594" s="1198">
        <f t="shared" si="9"/>
        <v>0</v>
      </c>
      <c r="CA594" s="1198"/>
      <c r="CB594" s="1198"/>
      <c r="CC594" s="1198"/>
      <c r="CD594" s="1198"/>
      <c r="CE594" s="1208">
        <f t="shared" si="10"/>
        <v>0</v>
      </c>
      <c r="CF594" s="1208"/>
      <c r="CG594" s="1208"/>
      <c r="CH594" s="1208"/>
      <c r="CI594" s="1208"/>
      <c r="CJ594" s="1208">
        <f t="shared" si="11"/>
        <v>0</v>
      </c>
      <c r="CK594" s="1208"/>
      <c r="CL594" s="1208"/>
      <c r="CM594" s="1208"/>
      <c r="CN594" s="1208"/>
      <c r="CO594" s="1208">
        <f t="shared" si="12"/>
        <v>0</v>
      </c>
      <c r="CP594" s="1208"/>
      <c r="CQ594" s="1208"/>
      <c r="CR594" s="1208"/>
      <c r="CS594" s="1208"/>
      <c r="CT594" s="1208">
        <f t="shared" si="13"/>
        <v>0</v>
      </c>
      <c r="CU594" s="1208"/>
      <c r="CV594" s="1208"/>
      <c r="CW594" s="1208"/>
      <c r="CX594" s="1208"/>
      <c r="CY594" s="1208">
        <f t="shared" si="14"/>
        <v>0</v>
      </c>
      <c r="CZ594" s="1208"/>
      <c r="DA594" s="1208"/>
      <c r="DB594" s="1208"/>
      <c r="DC594" s="1208"/>
      <c r="DD594" s="1208">
        <f t="shared" si="15"/>
        <v>0</v>
      </c>
      <c r="DE594" s="1208"/>
      <c r="DF594" s="1208"/>
      <c r="DG594" s="1208"/>
      <c r="DH594" s="1208"/>
    </row>
    <row r="595" spans="1:112" ht="12.75">
      <c r="A595" s="35"/>
      <c r="B595" s="12" t="s">
        <v>19</v>
      </c>
      <c r="G595" s="1098"/>
      <c r="H595" s="1098"/>
      <c r="I595" s="1098"/>
      <c r="J595" s="1098"/>
      <c r="K595" s="1098"/>
      <c r="L595" s="1098"/>
      <c r="M595" s="1098"/>
      <c r="N595" s="1098"/>
      <c r="O595" s="1098"/>
      <c r="P595" s="1098"/>
      <c r="Q595" s="1098"/>
      <c r="R595" s="1098"/>
      <c r="T595" s="35"/>
      <c r="U595" s="12" t="s">
        <v>19</v>
      </c>
      <c r="Z595" s="1119"/>
      <c r="AA595" s="1119"/>
      <c r="AB595" s="1119"/>
      <c r="AC595" s="1119"/>
      <c r="AD595" s="1119"/>
      <c r="AE595" s="1119"/>
      <c r="AF595" s="1119"/>
      <c r="AG595" s="1119"/>
      <c r="AH595" s="1119"/>
      <c r="AI595" s="1119"/>
      <c r="AJ595" s="1119"/>
      <c r="AK595" s="1119"/>
      <c r="AM595" s="58"/>
      <c r="AN595" s="58"/>
      <c r="AO595" s="58"/>
      <c r="AP595" s="58"/>
      <c r="AQ595" s="58"/>
      <c r="AR595" s="1521">
        <f t="shared" si="0"/>
        <v>0</v>
      </c>
      <c r="AS595" s="1522"/>
      <c r="AT595" s="1134">
        <f t="shared" si="1"/>
        <v>0</v>
      </c>
      <c r="AU595" s="1136"/>
      <c r="AV595" s="1521">
        <f t="shared" si="2"/>
        <v>0</v>
      </c>
      <c r="AW595" s="1522"/>
      <c r="AX595" s="1134">
        <f t="shared" si="3"/>
        <v>0</v>
      </c>
      <c r="AY595" s="1136"/>
      <c r="AZ595" s="58"/>
      <c r="BA595" s="1134">
        <f t="shared" si="4"/>
        <v>0</v>
      </c>
      <c r="BB595" s="1135"/>
      <c r="BC595" s="1135"/>
      <c r="BD595" s="1135"/>
      <c r="BE595" s="1136"/>
      <c r="BF595" s="1198">
        <f t="shared" si="5"/>
        <v>0</v>
      </c>
      <c r="BG595" s="1198"/>
      <c r="BH595" s="1198"/>
      <c r="BI595" s="1198"/>
      <c r="BJ595" s="1198"/>
      <c r="BK595" s="1198">
        <f t="shared" si="6"/>
        <v>0</v>
      </c>
      <c r="BL595" s="1198"/>
      <c r="BM595" s="1198"/>
      <c r="BN595" s="1198"/>
      <c r="BO595" s="1198"/>
      <c r="BP595" s="1198">
        <f t="shared" si="7"/>
        <v>0</v>
      </c>
      <c r="BQ595" s="1198"/>
      <c r="BR595" s="1198"/>
      <c r="BS595" s="1198"/>
      <c r="BT595" s="1198"/>
      <c r="BU595" s="1198">
        <f t="shared" si="8"/>
        <v>0</v>
      </c>
      <c r="BV595" s="1198"/>
      <c r="BW595" s="1198"/>
      <c r="BX595" s="1198"/>
      <c r="BY595" s="1198"/>
      <c r="BZ595" s="1198">
        <f t="shared" si="9"/>
        <v>0</v>
      </c>
      <c r="CA595" s="1198"/>
      <c r="CB595" s="1198"/>
      <c r="CC595" s="1198"/>
      <c r="CD595" s="1198"/>
      <c r="CE595" s="1208">
        <f t="shared" si="10"/>
        <v>0</v>
      </c>
      <c r="CF595" s="1208"/>
      <c r="CG595" s="1208"/>
      <c r="CH595" s="1208"/>
      <c r="CI595" s="1208"/>
      <c r="CJ595" s="1208">
        <f t="shared" si="11"/>
        <v>0</v>
      </c>
      <c r="CK595" s="1208"/>
      <c r="CL595" s="1208"/>
      <c r="CM595" s="1208"/>
      <c r="CN595" s="1208"/>
      <c r="CO595" s="1208">
        <f t="shared" si="12"/>
        <v>0</v>
      </c>
      <c r="CP595" s="1208"/>
      <c r="CQ595" s="1208"/>
      <c r="CR595" s="1208"/>
      <c r="CS595" s="1208"/>
      <c r="CT595" s="1208">
        <f t="shared" si="13"/>
        <v>0</v>
      </c>
      <c r="CU595" s="1208"/>
      <c r="CV595" s="1208"/>
      <c r="CW595" s="1208"/>
      <c r="CX595" s="1208"/>
      <c r="CY595" s="1208">
        <f t="shared" si="14"/>
        <v>0</v>
      </c>
      <c r="CZ595" s="1208"/>
      <c r="DA595" s="1208"/>
      <c r="DB595" s="1208"/>
      <c r="DC595" s="1208"/>
      <c r="DD595" s="1208">
        <f t="shared" si="15"/>
        <v>0</v>
      </c>
      <c r="DE595" s="1208"/>
      <c r="DF595" s="1208"/>
      <c r="DG595" s="1208"/>
      <c r="DH595" s="1208"/>
    </row>
    <row r="596" spans="1:112" ht="12.75">
      <c r="A596" s="35"/>
      <c r="B596" s="12" t="s">
        <v>338</v>
      </c>
      <c r="G596" s="1101"/>
      <c r="H596" s="1101"/>
      <c r="I596" s="1101"/>
      <c r="J596" s="1101"/>
      <c r="K596" s="1101"/>
      <c r="L596" s="1101"/>
      <c r="O596" s="140" t="s">
        <v>220</v>
      </c>
      <c r="P596" s="1102"/>
      <c r="Q596" s="1102"/>
      <c r="R596" s="1102"/>
      <c r="T596" s="35"/>
      <c r="U596" s="12" t="s">
        <v>338</v>
      </c>
      <c r="Z596" s="1101"/>
      <c r="AA596" s="1101"/>
      <c r="AB596" s="1101"/>
      <c r="AC596" s="1101"/>
      <c r="AD596" s="1101"/>
      <c r="AE596" s="1101"/>
      <c r="AH596" s="140" t="s">
        <v>220</v>
      </c>
      <c r="AI596" s="1102"/>
      <c r="AJ596" s="1102"/>
      <c r="AK596" s="1102"/>
      <c r="AM596" s="58"/>
      <c r="AN596" s="58"/>
      <c r="AO596" s="58"/>
      <c r="AP596" s="58"/>
      <c r="AQ596" s="58"/>
      <c r="AR596" s="1521">
        <f t="shared" si="0"/>
        <v>0</v>
      </c>
      <c r="AS596" s="1522"/>
      <c r="AT596" s="1134">
        <f t="shared" si="1"/>
        <v>0</v>
      </c>
      <c r="AU596" s="1136"/>
      <c r="AV596" s="1521">
        <f t="shared" si="2"/>
        <v>0</v>
      </c>
      <c r="AW596" s="1522"/>
      <c r="AX596" s="1134">
        <f t="shared" si="3"/>
        <v>0</v>
      </c>
      <c r="AY596" s="1136"/>
      <c r="AZ596" s="58"/>
      <c r="BA596" s="1134">
        <f t="shared" si="4"/>
        <v>0</v>
      </c>
      <c r="BB596" s="1135"/>
      <c r="BC596" s="1135"/>
      <c r="BD596" s="1135"/>
      <c r="BE596" s="1136"/>
      <c r="BF596" s="1198">
        <f t="shared" si="5"/>
        <v>0</v>
      </c>
      <c r="BG596" s="1198"/>
      <c r="BH596" s="1198"/>
      <c r="BI596" s="1198"/>
      <c r="BJ596" s="1198"/>
      <c r="BK596" s="1198">
        <f t="shared" si="6"/>
        <v>0</v>
      </c>
      <c r="BL596" s="1198"/>
      <c r="BM596" s="1198"/>
      <c r="BN596" s="1198"/>
      <c r="BO596" s="1198"/>
      <c r="BP596" s="1198">
        <f t="shared" si="7"/>
        <v>0</v>
      </c>
      <c r="BQ596" s="1198"/>
      <c r="BR596" s="1198"/>
      <c r="BS596" s="1198"/>
      <c r="BT596" s="1198"/>
      <c r="BU596" s="1198">
        <f t="shared" si="8"/>
        <v>0</v>
      </c>
      <c r="BV596" s="1198"/>
      <c r="BW596" s="1198"/>
      <c r="BX596" s="1198"/>
      <c r="BY596" s="1198"/>
      <c r="BZ596" s="1198">
        <f t="shared" si="9"/>
        <v>0</v>
      </c>
      <c r="CA596" s="1198"/>
      <c r="CB596" s="1198"/>
      <c r="CC596" s="1198"/>
      <c r="CD596" s="1198"/>
      <c r="CE596" s="1208">
        <f t="shared" si="10"/>
        <v>0</v>
      </c>
      <c r="CF596" s="1208"/>
      <c r="CG596" s="1208"/>
      <c r="CH596" s="1208"/>
      <c r="CI596" s="1208"/>
      <c r="CJ596" s="1208">
        <f t="shared" si="11"/>
        <v>0</v>
      </c>
      <c r="CK596" s="1208"/>
      <c r="CL596" s="1208"/>
      <c r="CM596" s="1208"/>
      <c r="CN596" s="1208"/>
      <c r="CO596" s="1208">
        <f t="shared" si="12"/>
        <v>0</v>
      </c>
      <c r="CP596" s="1208"/>
      <c r="CQ596" s="1208"/>
      <c r="CR596" s="1208"/>
      <c r="CS596" s="1208"/>
      <c r="CT596" s="1208">
        <f t="shared" si="13"/>
        <v>0</v>
      </c>
      <c r="CU596" s="1208"/>
      <c r="CV596" s="1208"/>
      <c r="CW596" s="1208"/>
      <c r="CX596" s="1208"/>
      <c r="CY596" s="1208">
        <f t="shared" si="14"/>
        <v>0</v>
      </c>
      <c r="CZ596" s="1208"/>
      <c r="DA596" s="1208"/>
      <c r="DB596" s="1208"/>
      <c r="DC596" s="1208"/>
      <c r="DD596" s="1208">
        <f t="shared" si="15"/>
        <v>0</v>
      </c>
      <c r="DE596" s="1208"/>
      <c r="DF596" s="1208"/>
      <c r="DG596" s="1208"/>
      <c r="DH596" s="1208"/>
    </row>
    <row r="597" spans="1:112" s="7" customFormat="1" ht="12.75">
      <c r="A597" s="35"/>
      <c r="B597" s="12" t="s">
        <v>20</v>
      </c>
      <c r="C597" s="12"/>
      <c r="D597" s="12"/>
      <c r="E597" s="12"/>
      <c r="F597" s="12"/>
      <c r="G597" s="12"/>
      <c r="H597" s="1098"/>
      <c r="I597" s="1098"/>
      <c r="J597" s="1098"/>
      <c r="K597" s="1098"/>
      <c r="L597" s="1098"/>
      <c r="M597" s="1098"/>
      <c r="N597" s="1098"/>
      <c r="O597" s="1098"/>
      <c r="P597" s="1098"/>
      <c r="Q597" s="1098"/>
      <c r="R597" s="1098"/>
      <c r="S597" s="12"/>
      <c r="T597" s="35"/>
      <c r="U597" s="12" t="s">
        <v>20</v>
      </c>
      <c r="V597" s="12"/>
      <c r="W597" s="12"/>
      <c r="X597" s="12"/>
      <c r="Y597" s="12"/>
      <c r="Z597" s="12"/>
      <c r="AA597" s="1098"/>
      <c r="AB597" s="1098"/>
      <c r="AC597" s="1098"/>
      <c r="AD597" s="1098"/>
      <c r="AE597" s="1098"/>
      <c r="AF597" s="1098"/>
      <c r="AG597" s="1098"/>
      <c r="AH597" s="1098"/>
      <c r="AI597" s="1098"/>
      <c r="AJ597" s="1098"/>
      <c r="AK597" s="1098"/>
      <c r="AL597" s="12"/>
      <c r="AM597" s="58"/>
      <c r="AN597" s="58"/>
      <c r="AO597" s="58"/>
      <c r="AP597" s="58"/>
      <c r="AQ597" s="58"/>
      <c r="AR597" s="1521">
        <f t="shared" si="0"/>
        <v>0</v>
      </c>
      <c r="AS597" s="1522"/>
      <c r="AT597" s="1134">
        <f t="shared" si="1"/>
        <v>0</v>
      </c>
      <c r="AU597" s="1136"/>
      <c r="AV597" s="1521">
        <f t="shared" si="2"/>
        <v>0</v>
      </c>
      <c r="AW597" s="1522"/>
      <c r="AX597" s="1134">
        <f t="shared" si="3"/>
        <v>0</v>
      </c>
      <c r="AY597" s="1136"/>
      <c r="AZ597" s="58"/>
      <c r="BA597" s="1134">
        <f t="shared" si="4"/>
        <v>0</v>
      </c>
      <c r="BB597" s="1135"/>
      <c r="BC597" s="1135"/>
      <c r="BD597" s="1135"/>
      <c r="BE597" s="1136"/>
      <c r="BF597" s="1198">
        <f t="shared" si="5"/>
        <v>0</v>
      </c>
      <c r="BG597" s="1198"/>
      <c r="BH597" s="1198"/>
      <c r="BI597" s="1198"/>
      <c r="BJ597" s="1198"/>
      <c r="BK597" s="1198">
        <f t="shared" si="6"/>
        <v>0</v>
      </c>
      <c r="BL597" s="1198"/>
      <c r="BM597" s="1198"/>
      <c r="BN597" s="1198"/>
      <c r="BO597" s="1198"/>
      <c r="BP597" s="1198">
        <f t="shared" si="7"/>
        <v>0</v>
      </c>
      <c r="BQ597" s="1198"/>
      <c r="BR597" s="1198"/>
      <c r="BS597" s="1198"/>
      <c r="BT597" s="1198"/>
      <c r="BU597" s="1198">
        <f t="shared" si="8"/>
        <v>0</v>
      </c>
      <c r="BV597" s="1198"/>
      <c r="BW597" s="1198"/>
      <c r="BX597" s="1198"/>
      <c r="BY597" s="1198"/>
      <c r="BZ597" s="1198">
        <f t="shared" si="9"/>
        <v>0</v>
      </c>
      <c r="CA597" s="1198"/>
      <c r="CB597" s="1198"/>
      <c r="CC597" s="1198"/>
      <c r="CD597" s="1198"/>
      <c r="CE597" s="1208">
        <f t="shared" si="10"/>
        <v>0</v>
      </c>
      <c r="CF597" s="1208"/>
      <c r="CG597" s="1208"/>
      <c r="CH597" s="1208"/>
      <c r="CI597" s="1208"/>
      <c r="CJ597" s="1208">
        <f t="shared" si="11"/>
        <v>0</v>
      </c>
      <c r="CK597" s="1208"/>
      <c r="CL597" s="1208"/>
      <c r="CM597" s="1208"/>
      <c r="CN597" s="1208"/>
      <c r="CO597" s="1208">
        <f t="shared" si="12"/>
        <v>0</v>
      </c>
      <c r="CP597" s="1208"/>
      <c r="CQ597" s="1208"/>
      <c r="CR597" s="1208"/>
      <c r="CS597" s="1208"/>
      <c r="CT597" s="1208">
        <f t="shared" si="13"/>
        <v>0</v>
      </c>
      <c r="CU597" s="1208"/>
      <c r="CV597" s="1208"/>
      <c r="CW597" s="1208"/>
      <c r="CX597" s="1208"/>
      <c r="CY597" s="1208">
        <f t="shared" si="14"/>
        <v>0</v>
      </c>
      <c r="CZ597" s="1208"/>
      <c r="DA597" s="1208"/>
      <c r="DB597" s="1208"/>
      <c r="DC597" s="1208"/>
      <c r="DD597" s="1208">
        <f t="shared" si="15"/>
        <v>0</v>
      </c>
      <c r="DE597" s="1208"/>
      <c r="DF597" s="1208"/>
      <c r="DG597" s="1208"/>
      <c r="DH597" s="1208"/>
    </row>
    <row r="598" spans="1:112" s="7" customFormat="1" ht="12.75">
      <c r="A598" s="35"/>
      <c r="B598" s="12" t="s">
        <v>22</v>
      </c>
      <c r="C598" s="12"/>
      <c r="D598" s="12"/>
      <c r="E598" s="12"/>
      <c r="F598" s="12"/>
      <c r="G598" s="12"/>
      <c r="H598" s="12"/>
      <c r="I598" s="12"/>
      <c r="J598" s="12"/>
      <c r="K598" s="12"/>
      <c r="L598" s="12"/>
      <c r="M598" s="12"/>
      <c r="N598" s="1099" t="s">
        <v>722</v>
      </c>
      <c r="O598" s="1099"/>
      <c r="P598" s="12"/>
      <c r="Q598" s="12"/>
      <c r="R598" s="12"/>
      <c r="S598" s="12"/>
      <c r="T598" s="35"/>
      <c r="U598" s="12" t="s">
        <v>22</v>
      </c>
      <c r="V598" s="12"/>
      <c r="W598" s="12"/>
      <c r="X598" s="12"/>
      <c r="Y598" s="12"/>
      <c r="Z598" s="12"/>
      <c r="AA598" s="12"/>
      <c r="AB598" s="12"/>
      <c r="AC598" s="12"/>
      <c r="AD598" s="12"/>
      <c r="AE598" s="12"/>
      <c r="AF598" s="12"/>
      <c r="AG598" s="1099" t="s">
        <v>722</v>
      </c>
      <c r="AH598" s="1099"/>
      <c r="AI598" s="12"/>
      <c r="AJ598" s="12"/>
      <c r="AK598" s="12"/>
      <c r="AL598" s="12"/>
      <c r="AM598" s="58"/>
      <c r="AN598" s="58"/>
      <c r="AO598" s="58"/>
      <c r="AP598" s="58"/>
      <c r="AQ598" s="58"/>
      <c r="AR598" s="1521">
        <f t="shared" si="0"/>
        <v>0</v>
      </c>
      <c r="AS598" s="1522"/>
      <c r="AT598" s="1134">
        <f t="shared" si="1"/>
        <v>0</v>
      </c>
      <c r="AU598" s="1136"/>
      <c r="AV598" s="1521">
        <f t="shared" si="2"/>
        <v>0</v>
      </c>
      <c r="AW598" s="1522"/>
      <c r="AX598" s="1134">
        <f t="shared" si="3"/>
        <v>0</v>
      </c>
      <c r="AY598" s="1136"/>
      <c r="AZ598" s="58"/>
      <c r="BA598" s="1134">
        <f t="shared" si="4"/>
        <v>0</v>
      </c>
      <c r="BB598" s="1135"/>
      <c r="BC598" s="1135"/>
      <c r="BD598" s="1135"/>
      <c r="BE598" s="1136"/>
      <c r="BF598" s="1198">
        <f t="shared" si="5"/>
        <v>0</v>
      </c>
      <c r="BG598" s="1198"/>
      <c r="BH598" s="1198"/>
      <c r="BI598" s="1198"/>
      <c r="BJ598" s="1198"/>
      <c r="BK598" s="1198">
        <f t="shared" si="6"/>
        <v>0</v>
      </c>
      <c r="BL598" s="1198"/>
      <c r="BM598" s="1198"/>
      <c r="BN598" s="1198"/>
      <c r="BO598" s="1198"/>
      <c r="BP598" s="1198">
        <f t="shared" si="7"/>
        <v>0</v>
      </c>
      <c r="BQ598" s="1198"/>
      <c r="BR598" s="1198"/>
      <c r="BS598" s="1198"/>
      <c r="BT598" s="1198"/>
      <c r="BU598" s="1198">
        <f t="shared" si="8"/>
        <v>0</v>
      </c>
      <c r="BV598" s="1198"/>
      <c r="BW598" s="1198"/>
      <c r="BX598" s="1198"/>
      <c r="BY598" s="1198"/>
      <c r="BZ598" s="1198">
        <f t="shared" si="9"/>
        <v>0</v>
      </c>
      <c r="CA598" s="1198"/>
      <c r="CB598" s="1198"/>
      <c r="CC598" s="1198"/>
      <c r="CD598" s="1198"/>
      <c r="CE598" s="1208">
        <f t="shared" si="10"/>
        <v>0</v>
      </c>
      <c r="CF598" s="1208"/>
      <c r="CG598" s="1208"/>
      <c r="CH598" s="1208"/>
      <c r="CI598" s="1208"/>
      <c r="CJ598" s="1208">
        <f t="shared" si="11"/>
        <v>0</v>
      </c>
      <c r="CK598" s="1208"/>
      <c r="CL598" s="1208"/>
      <c r="CM598" s="1208"/>
      <c r="CN598" s="1208"/>
      <c r="CO598" s="1208">
        <f t="shared" si="12"/>
        <v>0</v>
      </c>
      <c r="CP598" s="1208"/>
      <c r="CQ598" s="1208"/>
      <c r="CR598" s="1208"/>
      <c r="CS598" s="1208"/>
      <c r="CT598" s="1208">
        <f t="shared" si="13"/>
        <v>0</v>
      </c>
      <c r="CU598" s="1208"/>
      <c r="CV598" s="1208"/>
      <c r="CW598" s="1208"/>
      <c r="CX598" s="1208"/>
      <c r="CY598" s="1208">
        <f t="shared" si="14"/>
        <v>0</v>
      </c>
      <c r="CZ598" s="1208"/>
      <c r="DA598" s="1208"/>
      <c r="DB598" s="1208"/>
      <c r="DC598" s="1208"/>
      <c r="DD598" s="1208">
        <f t="shared" si="15"/>
        <v>0</v>
      </c>
      <c r="DE598" s="1208"/>
      <c r="DF598" s="1208"/>
      <c r="DG598" s="1208"/>
      <c r="DH598" s="120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1">
        <f t="shared" si="0"/>
        <v>0</v>
      </c>
      <c r="AS599" s="1522"/>
      <c r="AT599" s="1134">
        <f t="shared" si="1"/>
        <v>0</v>
      </c>
      <c r="AU599" s="1136"/>
      <c r="AV599" s="1521">
        <f t="shared" si="2"/>
        <v>0</v>
      </c>
      <c r="AW599" s="1522"/>
      <c r="AX599" s="1134">
        <f t="shared" si="3"/>
        <v>0</v>
      </c>
      <c r="AY599" s="1136"/>
      <c r="AZ599" s="58"/>
      <c r="BA599" s="1134">
        <f t="shared" si="4"/>
        <v>0</v>
      </c>
      <c r="BB599" s="1135"/>
      <c r="BC599" s="1135"/>
      <c r="BD599" s="1135"/>
      <c r="BE599" s="1136"/>
      <c r="BF599" s="1198">
        <f t="shared" si="5"/>
        <v>0</v>
      </c>
      <c r="BG599" s="1198"/>
      <c r="BH599" s="1198"/>
      <c r="BI599" s="1198"/>
      <c r="BJ599" s="1198"/>
      <c r="BK599" s="1198">
        <f t="shared" si="6"/>
        <v>0</v>
      </c>
      <c r="BL599" s="1198"/>
      <c r="BM599" s="1198"/>
      <c r="BN599" s="1198"/>
      <c r="BO599" s="1198"/>
      <c r="BP599" s="1198">
        <f t="shared" si="7"/>
        <v>0</v>
      </c>
      <c r="BQ599" s="1198"/>
      <c r="BR599" s="1198"/>
      <c r="BS599" s="1198"/>
      <c r="BT599" s="1198"/>
      <c r="BU599" s="1198">
        <f t="shared" si="8"/>
        <v>0</v>
      </c>
      <c r="BV599" s="1198"/>
      <c r="BW599" s="1198"/>
      <c r="BX599" s="1198"/>
      <c r="BY599" s="1198"/>
      <c r="BZ599" s="1198">
        <f t="shared" si="9"/>
        <v>0</v>
      </c>
      <c r="CA599" s="1198"/>
      <c r="CB599" s="1198"/>
      <c r="CC599" s="1198"/>
      <c r="CD599" s="1198"/>
      <c r="CE599" s="1208">
        <f t="shared" si="10"/>
        <v>0</v>
      </c>
      <c r="CF599" s="1208"/>
      <c r="CG599" s="1208"/>
      <c r="CH599" s="1208"/>
      <c r="CI599" s="1208"/>
      <c r="CJ599" s="1208">
        <f t="shared" si="11"/>
        <v>0</v>
      </c>
      <c r="CK599" s="1208"/>
      <c r="CL599" s="1208"/>
      <c r="CM599" s="1208"/>
      <c r="CN599" s="1208"/>
      <c r="CO599" s="1208">
        <f t="shared" si="12"/>
        <v>0</v>
      </c>
      <c r="CP599" s="1208"/>
      <c r="CQ599" s="1208"/>
      <c r="CR599" s="1208"/>
      <c r="CS599" s="1208"/>
      <c r="CT599" s="1208">
        <f t="shared" si="13"/>
        <v>0</v>
      </c>
      <c r="CU599" s="1208"/>
      <c r="CV599" s="1208"/>
      <c r="CW599" s="1208"/>
      <c r="CX599" s="1208"/>
      <c r="CY599" s="1208">
        <f t="shared" si="14"/>
        <v>0</v>
      </c>
      <c r="CZ599" s="1208"/>
      <c r="DA599" s="1208"/>
      <c r="DB599" s="1208"/>
      <c r="DC599" s="1208"/>
      <c r="DD599" s="1208">
        <f t="shared" si="15"/>
        <v>0</v>
      </c>
      <c r="DE599" s="1208"/>
      <c r="DF599" s="1208"/>
      <c r="DG599" s="1208"/>
      <c r="DH599" s="1208"/>
    </row>
    <row r="600" spans="1:112" ht="12.75">
      <c r="A600" s="87" t="s">
        <v>386</v>
      </c>
      <c r="B600" s="12" t="s">
        <v>509</v>
      </c>
      <c r="G600" s="1100">
        <f>C555</f>
        <v>0</v>
      </c>
      <c r="H600" s="1100"/>
      <c r="I600" s="1100"/>
      <c r="J600" s="1100"/>
      <c r="K600" s="1100"/>
      <c r="L600" s="1100"/>
      <c r="M600" s="1100"/>
      <c r="N600" s="1100"/>
      <c r="O600" s="1100"/>
      <c r="P600" s="1100"/>
      <c r="Q600" s="1100"/>
      <c r="R600" s="1100"/>
      <c r="T600" s="87" t="s">
        <v>387</v>
      </c>
      <c r="U600" s="12" t="s">
        <v>509</v>
      </c>
      <c r="Z600" s="1100">
        <f>C556</f>
        <v>0</v>
      </c>
      <c r="AA600" s="1100"/>
      <c r="AB600" s="1100"/>
      <c r="AC600" s="1100"/>
      <c r="AD600" s="1100"/>
      <c r="AE600" s="1100"/>
      <c r="AF600" s="1100"/>
      <c r="AG600" s="1100"/>
      <c r="AH600" s="1100"/>
      <c r="AI600" s="1100"/>
      <c r="AJ600" s="1100"/>
      <c r="AK600" s="1100"/>
      <c r="AM600" s="58"/>
      <c r="AN600" s="58"/>
      <c r="AO600" s="58"/>
      <c r="AP600" s="58"/>
      <c r="AQ600" s="58"/>
      <c r="AR600" s="1521">
        <f t="shared" si="0"/>
        <v>0</v>
      </c>
      <c r="AS600" s="1522"/>
      <c r="AT600" s="1134">
        <f t="shared" si="1"/>
        <v>0</v>
      </c>
      <c r="AU600" s="1136"/>
      <c r="AV600" s="1521">
        <f t="shared" si="2"/>
        <v>0</v>
      </c>
      <c r="AW600" s="1522"/>
      <c r="AX600" s="1134">
        <f t="shared" si="3"/>
        <v>0</v>
      </c>
      <c r="AY600" s="1136"/>
      <c r="AZ600" s="58"/>
      <c r="BA600" s="1134">
        <f t="shared" si="4"/>
        <v>0</v>
      </c>
      <c r="BB600" s="1135"/>
      <c r="BC600" s="1135"/>
      <c r="BD600" s="1135"/>
      <c r="BE600" s="1136"/>
      <c r="BF600" s="1198">
        <f t="shared" si="5"/>
        <v>0</v>
      </c>
      <c r="BG600" s="1198"/>
      <c r="BH600" s="1198"/>
      <c r="BI600" s="1198"/>
      <c r="BJ600" s="1198"/>
      <c r="BK600" s="1198">
        <f t="shared" si="6"/>
        <v>0</v>
      </c>
      <c r="BL600" s="1198"/>
      <c r="BM600" s="1198"/>
      <c r="BN600" s="1198"/>
      <c r="BO600" s="1198"/>
      <c r="BP600" s="1198">
        <f t="shared" si="7"/>
        <v>0</v>
      </c>
      <c r="BQ600" s="1198"/>
      <c r="BR600" s="1198"/>
      <c r="BS600" s="1198"/>
      <c r="BT600" s="1198"/>
      <c r="BU600" s="1198">
        <f t="shared" si="8"/>
        <v>0</v>
      </c>
      <c r="BV600" s="1198"/>
      <c r="BW600" s="1198"/>
      <c r="BX600" s="1198"/>
      <c r="BY600" s="1198"/>
      <c r="BZ600" s="1198">
        <f t="shared" si="9"/>
        <v>0</v>
      </c>
      <c r="CA600" s="1198"/>
      <c r="CB600" s="1198"/>
      <c r="CC600" s="1198"/>
      <c r="CD600" s="1198"/>
      <c r="CE600" s="1208">
        <f t="shared" si="10"/>
        <v>0</v>
      </c>
      <c r="CF600" s="1208"/>
      <c r="CG600" s="1208"/>
      <c r="CH600" s="1208"/>
      <c r="CI600" s="1208"/>
      <c r="CJ600" s="1208">
        <f t="shared" si="11"/>
        <v>0</v>
      </c>
      <c r="CK600" s="1208"/>
      <c r="CL600" s="1208"/>
      <c r="CM600" s="1208"/>
      <c r="CN600" s="1208"/>
      <c r="CO600" s="1208">
        <f t="shared" si="12"/>
        <v>0</v>
      </c>
      <c r="CP600" s="1208"/>
      <c r="CQ600" s="1208"/>
      <c r="CR600" s="1208"/>
      <c r="CS600" s="1208"/>
      <c r="CT600" s="1208">
        <f t="shared" si="13"/>
        <v>0</v>
      </c>
      <c r="CU600" s="1208"/>
      <c r="CV600" s="1208"/>
      <c r="CW600" s="1208"/>
      <c r="CX600" s="1208"/>
      <c r="CY600" s="1208">
        <f t="shared" si="14"/>
        <v>0</v>
      </c>
      <c r="CZ600" s="1208"/>
      <c r="DA600" s="1208"/>
      <c r="DB600" s="1208"/>
      <c r="DC600" s="1208"/>
      <c r="DD600" s="1208">
        <f t="shared" si="15"/>
        <v>0</v>
      </c>
      <c r="DE600" s="1208"/>
      <c r="DF600" s="1208"/>
      <c r="DG600" s="1208"/>
      <c r="DH600" s="1208"/>
    </row>
    <row r="601" spans="1:112" ht="12.75">
      <c r="B601" s="12" t="s">
        <v>92</v>
      </c>
      <c r="G601" s="1098"/>
      <c r="H601" s="1098"/>
      <c r="I601" s="1098"/>
      <c r="J601" s="1098"/>
      <c r="K601" s="1098"/>
      <c r="L601" s="1098"/>
      <c r="M601" s="1098"/>
      <c r="N601" s="1098"/>
      <c r="O601" s="1098"/>
      <c r="P601" s="1098"/>
      <c r="Q601" s="1098"/>
      <c r="R601" s="1098"/>
      <c r="U601" s="12" t="s">
        <v>92</v>
      </c>
      <c r="Z601" s="1098"/>
      <c r="AA601" s="1098"/>
      <c r="AB601" s="1098"/>
      <c r="AC601" s="1098"/>
      <c r="AD601" s="1098"/>
      <c r="AE601" s="1098"/>
      <c r="AF601" s="1098"/>
      <c r="AG601" s="1098"/>
      <c r="AH601" s="1098"/>
      <c r="AI601" s="1098"/>
      <c r="AJ601" s="1098"/>
      <c r="AK601" s="1098"/>
      <c r="AM601" s="58"/>
      <c r="AN601" s="58"/>
      <c r="AO601" s="58"/>
      <c r="AP601" s="58"/>
      <c r="AQ601" s="58"/>
      <c r="AR601" s="1521">
        <f t="shared" si="0"/>
        <v>0</v>
      </c>
      <c r="AS601" s="1522"/>
      <c r="AT601" s="1134">
        <f t="shared" si="1"/>
        <v>0</v>
      </c>
      <c r="AU601" s="1136"/>
      <c r="AV601" s="1521">
        <f t="shared" si="2"/>
        <v>0</v>
      </c>
      <c r="AW601" s="1522"/>
      <c r="AX601" s="1134">
        <f t="shared" si="3"/>
        <v>0</v>
      </c>
      <c r="AY601" s="1136"/>
      <c r="AZ601" s="58"/>
      <c r="BA601" s="1134">
        <f t="shared" si="4"/>
        <v>0</v>
      </c>
      <c r="BB601" s="1135"/>
      <c r="BC601" s="1135"/>
      <c r="BD601" s="1135"/>
      <c r="BE601" s="1136"/>
      <c r="BF601" s="1198">
        <f t="shared" si="5"/>
        <v>0</v>
      </c>
      <c r="BG601" s="1198"/>
      <c r="BH601" s="1198"/>
      <c r="BI601" s="1198"/>
      <c r="BJ601" s="1198"/>
      <c r="BK601" s="1198">
        <f t="shared" si="6"/>
        <v>0</v>
      </c>
      <c r="BL601" s="1198"/>
      <c r="BM601" s="1198"/>
      <c r="BN601" s="1198"/>
      <c r="BO601" s="1198"/>
      <c r="BP601" s="1198">
        <f t="shared" si="7"/>
        <v>0</v>
      </c>
      <c r="BQ601" s="1198"/>
      <c r="BR601" s="1198"/>
      <c r="BS601" s="1198"/>
      <c r="BT601" s="1198"/>
      <c r="BU601" s="1198">
        <f t="shared" si="8"/>
        <v>0</v>
      </c>
      <c r="BV601" s="1198"/>
      <c r="BW601" s="1198"/>
      <c r="BX601" s="1198"/>
      <c r="BY601" s="1198"/>
      <c r="BZ601" s="1198">
        <f t="shared" si="9"/>
        <v>0</v>
      </c>
      <c r="CA601" s="1198"/>
      <c r="CB601" s="1198"/>
      <c r="CC601" s="1198"/>
      <c r="CD601" s="1198"/>
      <c r="CE601" s="1208">
        <f t="shared" si="10"/>
        <v>0</v>
      </c>
      <c r="CF601" s="1208"/>
      <c r="CG601" s="1208"/>
      <c r="CH601" s="1208"/>
      <c r="CI601" s="1208"/>
      <c r="CJ601" s="1208">
        <f t="shared" si="11"/>
        <v>0</v>
      </c>
      <c r="CK601" s="1208"/>
      <c r="CL601" s="1208"/>
      <c r="CM601" s="1208"/>
      <c r="CN601" s="1208"/>
      <c r="CO601" s="1208">
        <f t="shared" si="12"/>
        <v>0</v>
      </c>
      <c r="CP601" s="1208"/>
      <c r="CQ601" s="1208"/>
      <c r="CR601" s="1208"/>
      <c r="CS601" s="1208"/>
      <c r="CT601" s="1208">
        <f t="shared" si="13"/>
        <v>0</v>
      </c>
      <c r="CU601" s="1208"/>
      <c r="CV601" s="1208"/>
      <c r="CW601" s="1208"/>
      <c r="CX601" s="1208"/>
      <c r="CY601" s="1208">
        <f t="shared" si="14"/>
        <v>0</v>
      </c>
      <c r="CZ601" s="1208"/>
      <c r="DA601" s="1208"/>
      <c r="DB601" s="1208"/>
      <c r="DC601" s="1208"/>
      <c r="DD601" s="1208">
        <f t="shared" si="15"/>
        <v>0</v>
      </c>
      <c r="DE601" s="1208"/>
      <c r="DF601" s="1208"/>
      <c r="DG601" s="1208"/>
      <c r="DH601" s="1208"/>
    </row>
    <row r="602" spans="1:112" ht="12.75">
      <c r="B602" s="12" t="s">
        <v>630</v>
      </c>
      <c r="G602" s="1098"/>
      <c r="H602" s="1098"/>
      <c r="I602" s="1098"/>
      <c r="J602" s="1098"/>
      <c r="K602" s="1098"/>
      <c r="L602" s="1098"/>
      <c r="M602" s="1098"/>
      <c r="N602" s="1098"/>
      <c r="O602" s="1098"/>
      <c r="P602" s="1098"/>
      <c r="Q602" s="1098"/>
      <c r="R602" s="1098"/>
      <c r="U602" s="12" t="s">
        <v>630</v>
      </c>
      <c r="Z602" s="1119"/>
      <c r="AA602" s="1119"/>
      <c r="AB602" s="1119"/>
      <c r="AC602" s="1119"/>
      <c r="AD602" s="1119"/>
      <c r="AE602" s="1119"/>
      <c r="AF602" s="1119"/>
      <c r="AG602" s="1119"/>
      <c r="AH602" s="1119"/>
      <c r="AI602" s="1119"/>
      <c r="AJ602" s="1119"/>
      <c r="AK602" s="1119"/>
      <c r="AM602" s="58"/>
      <c r="AN602" s="58"/>
      <c r="AO602" s="58"/>
      <c r="AP602" s="58"/>
      <c r="AQ602" s="58"/>
      <c r="AR602" s="1521">
        <f t="shared" si="0"/>
        <v>0</v>
      </c>
      <c r="AS602" s="1522"/>
      <c r="AT602" s="1134">
        <f t="shared" si="1"/>
        <v>0</v>
      </c>
      <c r="AU602" s="1136"/>
      <c r="AV602" s="1521">
        <f t="shared" si="2"/>
        <v>0</v>
      </c>
      <c r="AW602" s="1522"/>
      <c r="AX602" s="1134">
        <f t="shared" si="3"/>
        <v>0</v>
      </c>
      <c r="AY602" s="1136"/>
      <c r="AZ602" s="58"/>
      <c r="BA602" s="1134">
        <f t="shared" si="4"/>
        <v>0</v>
      </c>
      <c r="BB602" s="1135"/>
      <c r="BC602" s="1135"/>
      <c r="BD602" s="1135"/>
      <c r="BE602" s="1136"/>
      <c r="BF602" s="1198">
        <f t="shared" si="5"/>
        <v>0</v>
      </c>
      <c r="BG602" s="1198"/>
      <c r="BH602" s="1198"/>
      <c r="BI602" s="1198"/>
      <c r="BJ602" s="1198"/>
      <c r="BK602" s="1198">
        <f t="shared" si="6"/>
        <v>0</v>
      </c>
      <c r="BL602" s="1198"/>
      <c r="BM602" s="1198"/>
      <c r="BN602" s="1198"/>
      <c r="BO602" s="1198"/>
      <c r="BP602" s="1198">
        <f t="shared" si="7"/>
        <v>0</v>
      </c>
      <c r="BQ602" s="1198"/>
      <c r="BR602" s="1198"/>
      <c r="BS602" s="1198"/>
      <c r="BT602" s="1198"/>
      <c r="BU602" s="1198">
        <f t="shared" si="8"/>
        <v>0</v>
      </c>
      <c r="BV602" s="1198"/>
      <c r="BW602" s="1198"/>
      <c r="BX602" s="1198"/>
      <c r="BY602" s="1198"/>
      <c r="BZ602" s="1198">
        <f t="shared" si="9"/>
        <v>0</v>
      </c>
      <c r="CA602" s="1198"/>
      <c r="CB602" s="1198"/>
      <c r="CC602" s="1198"/>
      <c r="CD602" s="1198"/>
      <c r="CE602" s="1208">
        <f t="shared" si="10"/>
        <v>0</v>
      </c>
      <c r="CF602" s="1208"/>
      <c r="CG602" s="1208"/>
      <c r="CH602" s="1208"/>
      <c r="CI602" s="1208"/>
      <c r="CJ602" s="1208">
        <f t="shared" si="11"/>
        <v>0</v>
      </c>
      <c r="CK602" s="1208"/>
      <c r="CL602" s="1208"/>
      <c r="CM602" s="1208"/>
      <c r="CN602" s="1208"/>
      <c r="CO602" s="1208">
        <f t="shared" si="12"/>
        <v>0</v>
      </c>
      <c r="CP602" s="1208"/>
      <c r="CQ602" s="1208"/>
      <c r="CR602" s="1208"/>
      <c r="CS602" s="1208"/>
      <c r="CT602" s="1208">
        <f t="shared" si="13"/>
        <v>0</v>
      </c>
      <c r="CU602" s="1208"/>
      <c r="CV602" s="1208"/>
      <c r="CW602" s="1208"/>
      <c r="CX602" s="1208"/>
      <c r="CY602" s="1208">
        <f t="shared" si="14"/>
        <v>0</v>
      </c>
      <c r="CZ602" s="1208"/>
      <c r="DA602" s="1208"/>
      <c r="DB602" s="1208"/>
      <c r="DC602" s="1208"/>
      <c r="DD602" s="1208">
        <f t="shared" si="15"/>
        <v>0</v>
      </c>
      <c r="DE602" s="1208"/>
      <c r="DF602" s="1208"/>
      <c r="DG602" s="1208"/>
      <c r="DH602" s="1208"/>
    </row>
    <row r="603" spans="1:112" ht="12.75">
      <c r="B603" s="12" t="s">
        <v>19</v>
      </c>
      <c r="G603" s="1098"/>
      <c r="H603" s="1098"/>
      <c r="I603" s="1098"/>
      <c r="J603" s="1098"/>
      <c r="K603" s="1098"/>
      <c r="L603" s="1098"/>
      <c r="M603" s="1098"/>
      <c r="N603" s="1098"/>
      <c r="O603" s="1098"/>
      <c r="P603" s="1098"/>
      <c r="Q603" s="1098"/>
      <c r="R603" s="1098"/>
      <c r="U603" s="12" t="s">
        <v>19</v>
      </c>
      <c r="Z603" s="1119"/>
      <c r="AA603" s="1119"/>
      <c r="AB603" s="1119"/>
      <c r="AC603" s="1119"/>
      <c r="AD603" s="1119"/>
      <c r="AE603" s="1119"/>
      <c r="AF603" s="1119"/>
      <c r="AG603" s="1119"/>
      <c r="AH603" s="1119"/>
      <c r="AI603" s="1119"/>
      <c r="AJ603" s="1119"/>
      <c r="AK603" s="1119"/>
      <c r="AM603" s="58"/>
      <c r="AN603" s="58"/>
      <c r="AO603" s="58"/>
      <c r="AP603" s="58"/>
      <c r="AQ603" s="58"/>
      <c r="AR603" s="1521">
        <f t="shared" si="0"/>
        <v>0</v>
      </c>
      <c r="AS603" s="1522"/>
      <c r="AT603" s="1134">
        <f t="shared" si="1"/>
        <v>0</v>
      </c>
      <c r="AU603" s="1136"/>
      <c r="AV603" s="1521">
        <f t="shared" si="2"/>
        <v>0</v>
      </c>
      <c r="AW603" s="1522"/>
      <c r="AX603" s="1134">
        <f t="shared" si="3"/>
        <v>0</v>
      </c>
      <c r="AY603" s="1136"/>
      <c r="AZ603" s="58"/>
      <c r="BA603" s="1134">
        <f t="shared" si="4"/>
        <v>0</v>
      </c>
      <c r="BB603" s="1135"/>
      <c r="BC603" s="1135"/>
      <c r="BD603" s="1135"/>
      <c r="BE603" s="1136"/>
      <c r="BF603" s="1198">
        <f t="shared" si="5"/>
        <v>0</v>
      </c>
      <c r="BG603" s="1198"/>
      <c r="BH603" s="1198"/>
      <c r="BI603" s="1198"/>
      <c r="BJ603" s="1198"/>
      <c r="BK603" s="1198">
        <f t="shared" si="6"/>
        <v>0</v>
      </c>
      <c r="BL603" s="1198"/>
      <c r="BM603" s="1198"/>
      <c r="BN603" s="1198"/>
      <c r="BO603" s="1198"/>
      <c r="BP603" s="1198">
        <f t="shared" si="7"/>
        <v>0</v>
      </c>
      <c r="BQ603" s="1198"/>
      <c r="BR603" s="1198"/>
      <c r="BS603" s="1198"/>
      <c r="BT603" s="1198"/>
      <c r="BU603" s="1198">
        <f t="shared" si="8"/>
        <v>0</v>
      </c>
      <c r="BV603" s="1198"/>
      <c r="BW603" s="1198"/>
      <c r="BX603" s="1198"/>
      <c r="BY603" s="1198"/>
      <c r="BZ603" s="1198">
        <f t="shared" si="9"/>
        <v>0</v>
      </c>
      <c r="CA603" s="1198"/>
      <c r="CB603" s="1198"/>
      <c r="CC603" s="1198"/>
      <c r="CD603" s="1198"/>
      <c r="CE603" s="1208">
        <f t="shared" si="10"/>
        <v>0</v>
      </c>
      <c r="CF603" s="1208"/>
      <c r="CG603" s="1208"/>
      <c r="CH603" s="1208"/>
      <c r="CI603" s="1208"/>
      <c r="CJ603" s="1208">
        <f t="shared" si="11"/>
        <v>0</v>
      </c>
      <c r="CK603" s="1208"/>
      <c r="CL603" s="1208"/>
      <c r="CM603" s="1208"/>
      <c r="CN603" s="1208"/>
      <c r="CO603" s="1208">
        <f t="shared" si="12"/>
        <v>0</v>
      </c>
      <c r="CP603" s="1208"/>
      <c r="CQ603" s="1208"/>
      <c r="CR603" s="1208"/>
      <c r="CS603" s="1208"/>
      <c r="CT603" s="1208">
        <f t="shared" si="13"/>
        <v>0</v>
      </c>
      <c r="CU603" s="1208"/>
      <c r="CV603" s="1208"/>
      <c r="CW603" s="1208"/>
      <c r="CX603" s="1208"/>
      <c r="CY603" s="1208">
        <f t="shared" si="14"/>
        <v>0</v>
      </c>
      <c r="CZ603" s="1208"/>
      <c r="DA603" s="1208"/>
      <c r="DB603" s="1208"/>
      <c r="DC603" s="1208"/>
      <c r="DD603" s="1208">
        <f t="shared" si="15"/>
        <v>0</v>
      </c>
      <c r="DE603" s="1208"/>
      <c r="DF603" s="1208"/>
      <c r="DG603" s="1208"/>
      <c r="DH603" s="1208"/>
    </row>
    <row r="604" spans="1:112" ht="12.75">
      <c r="B604" s="12" t="s">
        <v>338</v>
      </c>
      <c r="G604" s="1101"/>
      <c r="H604" s="1101"/>
      <c r="I604" s="1101"/>
      <c r="J604" s="1101"/>
      <c r="K604" s="1101"/>
      <c r="L604" s="1101"/>
      <c r="O604" s="140" t="s">
        <v>220</v>
      </c>
      <c r="P604" s="1102"/>
      <c r="Q604" s="1102"/>
      <c r="R604" s="1102"/>
      <c r="U604" s="12" t="s">
        <v>338</v>
      </c>
      <c r="Z604" s="1101"/>
      <c r="AA604" s="1101"/>
      <c r="AB604" s="1101"/>
      <c r="AC604" s="1101"/>
      <c r="AD604" s="1101"/>
      <c r="AE604" s="1101"/>
      <c r="AH604" s="140" t="s">
        <v>220</v>
      </c>
      <c r="AI604" s="1102"/>
      <c r="AJ604" s="1102"/>
      <c r="AK604" s="1102"/>
      <c r="AM604" s="58"/>
      <c r="AN604" s="58"/>
      <c r="AO604" s="58"/>
      <c r="AP604" s="58"/>
      <c r="AQ604" s="58"/>
      <c r="AR604" s="1521">
        <f t="shared" si="0"/>
        <v>0</v>
      </c>
      <c r="AS604" s="1522"/>
      <c r="AT604" s="1134">
        <f t="shared" si="1"/>
        <v>0</v>
      </c>
      <c r="AU604" s="1136"/>
      <c r="AV604" s="1521">
        <f t="shared" si="2"/>
        <v>0</v>
      </c>
      <c r="AW604" s="1522"/>
      <c r="AX604" s="1134">
        <f t="shared" si="3"/>
        <v>0</v>
      </c>
      <c r="AY604" s="1136"/>
      <c r="AZ604" s="58"/>
      <c r="BA604" s="1134">
        <f t="shared" si="4"/>
        <v>0</v>
      </c>
      <c r="BB604" s="1135"/>
      <c r="BC604" s="1135"/>
      <c r="BD604" s="1135"/>
      <c r="BE604" s="1136"/>
      <c r="BF604" s="1198">
        <f t="shared" si="5"/>
        <v>0</v>
      </c>
      <c r="BG604" s="1198"/>
      <c r="BH604" s="1198"/>
      <c r="BI604" s="1198"/>
      <c r="BJ604" s="1198"/>
      <c r="BK604" s="1198">
        <f t="shared" si="6"/>
        <v>0</v>
      </c>
      <c r="BL604" s="1198"/>
      <c r="BM604" s="1198"/>
      <c r="BN604" s="1198"/>
      <c r="BO604" s="1198"/>
      <c r="BP604" s="1198">
        <f t="shared" si="7"/>
        <v>0</v>
      </c>
      <c r="BQ604" s="1198"/>
      <c r="BR604" s="1198"/>
      <c r="BS604" s="1198"/>
      <c r="BT604" s="1198"/>
      <c r="BU604" s="1198">
        <f t="shared" si="8"/>
        <v>0</v>
      </c>
      <c r="BV604" s="1198"/>
      <c r="BW604" s="1198"/>
      <c r="BX604" s="1198"/>
      <c r="BY604" s="1198"/>
      <c r="BZ604" s="1198">
        <f t="shared" si="9"/>
        <v>0</v>
      </c>
      <c r="CA604" s="1198"/>
      <c r="CB604" s="1198"/>
      <c r="CC604" s="1198"/>
      <c r="CD604" s="1198"/>
      <c r="CE604" s="1208">
        <f t="shared" si="10"/>
        <v>0</v>
      </c>
      <c r="CF604" s="1208"/>
      <c r="CG604" s="1208"/>
      <c r="CH604" s="1208"/>
      <c r="CI604" s="1208"/>
      <c r="CJ604" s="1208">
        <f t="shared" si="11"/>
        <v>0</v>
      </c>
      <c r="CK604" s="1208"/>
      <c r="CL604" s="1208"/>
      <c r="CM604" s="1208"/>
      <c r="CN604" s="1208"/>
      <c r="CO604" s="1208">
        <f t="shared" si="12"/>
        <v>0</v>
      </c>
      <c r="CP604" s="1208"/>
      <c r="CQ604" s="1208"/>
      <c r="CR604" s="1208"/>
      <c r="CS604" s="1208"/>
      <c r="CT604" s="1208">
        <f t="shared" si="13"/>
        <v>0</v>
      </c>
      <c r="CU604" s="1208"/>
      <c r="CV604" s="1208"/>
      <c r="CW604" s="1208"/>
      <c r="CX604" s="1208"/>
      <c r="CY604" s="1208">
        <f t="shared" si="14"/>
        <v>0</v>
      </c>
      <c r="CZ604" s="1208"/>
      <c r="DA604" s="1208"/>
      <c r="DB604" s="1208"/>
      <c r="DC604" s="1208"/>
      <c r="DD604" s="1208">
        <f t="shared" si="15"/>
        <v>0</v>
      </c>
      <c r="DE604" s="1208"/>
      <c r="DF604" s="1208"/>
      <c r="DG604" s="1208"/>
      <c r="DH604" s="1208"/>
    </row>
    <row r="605" spans="1:112" ht="12.75">
      <c r="B605" s="12" t="s">
        <v>20</v>
      </c>
      <c r="H605" s="1098"/>
      <c r="I605" s="1098"/>
      <c r="J605" s="1098"/>
      <c r="K605" s="1098"/>
      <c r="L605" s="1098"/>
      <c r="M605" s="1098"/>
      <c r="N605" s="1098"/>
      <c r="O605" s="1098"/>
      <c r="P605" s="1098"/>
      <c r="Q605" s="1098"/>
      <c r="R605" s="1098"/>
      <c r="U605" s="12" t="s">
        <v>20</v>
      </c>
      <c r="AA605" s="1098"/>
      <c r="AB605" s="1098"/>
      <c r="AC605" s="1098"/>
      <c r="AD605" s="1098"/>
      <c r="AE605" s="1098"/>
      <c r="AF605" s="1098"/>
      <c r="AG605" s="1098"/>
      <c r="AH605" s="1098"/>
      <c r="AI605" s="1098"/>
      <c r="AJ605" s="1098"/>
      <c r="AK605" s="1098"/>
      <c r="AM605" s="58"/>
      <c r="AN605" s="58"/>
      <c r="AO605" s="58"/>
      <c r="AP605" s="58"/>
      <c r="AQ605" s="58"/>
      <c r="AR605" s="1521">
        <f t="shared" si="0"/>
        <v>0</v>
      </c>
      <c r="AS605" s="1522"/>
      <c r="AT605" s="1134">
        <f t="shared" si="1"/>
        <v>0</v>
      </c>
      <c r="AU605" s="1136"/>
      <c r="AV605" s="1521">
        <f t="shared" si="2"/>
        <v>0</v>
      </c>
      <c r="AW605" s="1522"/>
      <c r="AX605" s="1134">
        <f t="shared" si="3"/>
        <v>0</v>
      </c>
      <c r="AY605" s="1136"/>
      <c r="AZ605" s="58"/>
      <c r="BA605" s="1134">
        <f t="shared" si="4"/>
        <v>0</v>
      </c>
      <c r="BB605" s="1135"/>
      <c r="BC605" s="1135"/>
      <c r="BD605" s="1135"/>
      <c r="BE605" s="1136"/>
      <c r="BF605" s="1198">
        <f t="shared" si="5"/>
        <v>0</v>
      </c>
      <c r="BG605" s="1198"/>
      <c r="BH605" s="1198"/>
      <c r="BI605" s="1198"/>
      <c r="BJ605" s="1198"/>
      <c r="BK605" s="1198">
        <f t="shared" si="6"/>
        <v>0</v>
      </c>
      <c r="BL605" s="1198"/>
      <c r="BM605" s="1198"/>
      <c r="BN605" s="1198"/>
      <c r="BO605" s="1198"/>
      <c r="BP605" s="1198">
        <f t="shared" si="7"/>
        <v>0</v>
      </c>
      <c r="BQ605" s="1198"/>
      <c r="BR605" s="1198"/>
      <c r="BS605" s="1198"/>
      <c r="BT605" s="1198"/>
      <c r="BU605" s="1198">
        <f t="shared" si="8"/>
        <v>0</v>
      </c>
      <c r="BV605" s="1198"/>
      <c r="BW605" s="1198"/>
      <c r="BX605" s="1198"/>
      <c r="BY605" s="1198"/>
      <c r="BZ605" s="1198">
        <f t="shared" si="9"/>
        <v>0</v>
      </c>
      <c r="CA605" s="1198"/>
      <c r="CB605" s="1198"/>
      <c r="CC605" s="1198"/>
      <c r="CD605" s="1198"/>
      <c r="CE605" s="1208">
        <f t="shared" si="10"/>
        <v>0</v>
      </c>
      <c r="CF605" s="1208"/>
      <c r="CG605" s="1208"/>
      <c r="CH605" s="1208"/>
      <c r="CI605" s="1208"/>
      <c r="CJ605" s="1208">
        <f t="shared" si="11"/>
        <v>0</v>
      </c>
      <c r="CK605" s="1208"/>
      <c r="CL605" s="1208"/>
      <c r="CM605" s="1208"/>
      <c r="CN605" s="1208"/>
      <c r="CO605" s="1208">
        <f t="shared" si="12"/>
        <v>0</v>
      </c>
      <c r="CP605" s="1208"/>
      <c r="CQ605" s="1208"/>
      <c r="CR605" s="1208"/>
      <c r="CS605" s="1208"/>
      <c r="CT605" s="1208">
        <f t="shared" si="13"/>
        <v>0</v>
      </c>
      <c r="CU605" s="1208"/>
      <c r="CV605" s="1208"/>
      <c r="CW605" s="1208"/>
      <c r="CX605" s="1208"/>
      <c r="CY605" s="1208">
        <f t="shared" si="14"/>
        <v>0</v>
      </c>
      <c r="CZ605" s="1208"/>
      <c r="DA605" s="1208"/>
      <c r="DB605" s="1208"/>
      <c r="DC605" s="1208"/>
      <c r="DD605" s="1208">
        <f t="shared" si="15"/>
        <v>0</v>
      </c>
      <c r="DE605" s="1208"/>
      <c r="DF605" s="1208"/>
      <c r="DG605" s="1208"/>
      <c r="DH605" s="1208"/>
    </row>
    <row r="606" spans="1:112" ht="12.75">
      <c r="B606" s="12" t="s">
        <v>22</v>
      </c>
      <c r="N606" s="1099" t="s">
        <v>722</v>
      </c>
      <c r="O606" s="1099"/>
      <c r="U606" s="12" t="s">
        <v>22</v>
      </c>
      <c r="AG606" s="1099" t="s">
        <v>722</v>
      </c>
      <c r="AH606" s="1099"/>
      <c r="AM606" s="58"/>
      <c r="AN606" s="58"/>
      <c r="AO606" s="58"/>
      <c r="AP606" s="58"/>
      <c r="AQ606" s="58"/>
      <c r="AR606" s="1521">
        <f t="shared" si="0"/>
        <v>0</v>
      </c>
      <c r="AS606" s="1522"/>
      <c r="AT606" s="1134">
        <f t="shared" si="1"/>
        <v>0</v>
      </c>
      <c r="AU606" s="1136"/>
      <c r="AV606" s="1521">
        <f t="shared" si="2"/>
        <v>0</v>
      </c>
      <c r="AW606" s="1522"/>
      <c r="AX606" s="1134">
        <f t="shared" si="3"/>
        <v>0</v>
      </c>
      <c r="AY606" s="1136"/>
      <c r="AZ606" s="58"/>
      <c r="BA606" s="1134">
        <f t="shared" si="4"/>
        <v>0</v>
      </c>
      <c r="BB606" s="1135"/>
      <c r="BC606" s="1135"/>
      <c r="BD606" s="1135"/>
      <c r="BE606" s="1136"/>
      <c r="BF606" s="1198">
        <f t="shared" si="5"/>
        <v>0</v>
      </c>
      <c r="BG606" s="1198"/>
      <c r="BH606" s="1198"/>
      <c r="BI606" s="1198"/>
      <c r="BJ606" s="1198"/>
      <c r="BK606" s="1198">
        <f t="shared" si="6"/>
        <v>0</v>
      </c>
      <c r="BL606" s="1198"/>
      <c r="BM606" s="1198"/>
      <c r="BN606" s="1198"/>
      <c r="BO606" s="1198"/>
      <c r="BP606" s="1198">
        <f t="shared" si="7"/>
        <v>0</v>
      </c>
      <c r="BQ606" s="1198"/>
      <c r="BR606" s="1198"/>
      <c r="BS606" s="1198"/>
      <c r="BT606" s="1198"/>
      <c r="BU606" s="1198">
        <f t="shared" si="8"/>
        <v>0</v>
      </c>
      <c r="BV606" s="1198"/>
      <c r="BW606" s="1198"/>
      <c r="BX606" s="1198"/>
      <c r="BY606" s="1198"/>
      <c r="BZ606" s="1198">
        <f t="shared" si="9"/>
        <v>0</v>
      </c>
      <c r="CA606" s="1198"/>
      <c r="CB606" s="1198"/>
      <c r="CC606" s="1198"/>
      <c r="CD606" s="1198"/>
      <c r="CE606" s="1208">
        <f t="shared" si="10"/>
        <v>0</v>
      </c>
      <c r="CF606" s="1208"/>
      <c r="CG606" s="1208"/>
      <c r="CH606" s="1208"/>
      <c r="CI606" s="1208"/>
      <c r="CJ606" s="1208">
        <f t="shared" si="11"/>
        <v>0</v>
      </c>
      <c r="CK606" s="1208"/>
      <c r="CL606" s="1208"/>
      <c r="CM606" s="1208"/>
      <c r="CN606" s="1208"/>
      <c r="CO606" s="1208">
        <f t="shared" si="12"/>
        <v>0</v>
      </c>
      <c r="CP606" s="1208"/>
      <c r="CQ606" s="1208"/>
      <c r="CR606" s="1208"/>
      <c r="CS606" s="1208"/>
      <c r="CT606" s="1208">
        <f t="shared" si="13"/>
        <v>0</v>
      </c>
      <c r="CU606" s="1208"/>
      <c r="CV606" s="1208"/>
      <c r="CW606" s="1208"/>
      <c r="CX606" s="1208"/>
      <c r="CY606" s="1208">
        <f t="shared" si="14"/>
        <v>0</v>
      </c>
      <c r="CZ606" s="1208"/>
      <c r="DA606" s="1208"/>
      <c r="DB606" s="1208"/>
      <c r="DC606" s="1208"/>
      <c r="DD606" s="1208">
        <f t="shared" si="15"/>
        <v>0</v>
      </c>
      <c r="DE606" s="1208"/>
      <c r="DF606" s="1208"/>
      <c r="DG606" s="1208"/>
      <c r="DH606" s="1208"/>
    </row>
    <row r="607" spans="1:112" ht="12.75">
      <c r="AM607" s="58"/>
      <c r="AN607" s="58"/>
      <c r="AO607" s="58"/>
      <c r="AP607" s="58"/>
      <c r="AQ607" s="58"/>
      <c r="AR607" s="1521">
        <f t="shared" si="0"/>
        <v>0</v>
      </c>
      <c r="AS607" s="1522"/>
      <c r="AT607" s="1134">
        <f t="shared" si="1"/>
        <v>0</v>
      </c>
      <c r="AU607" s="1136"/>
      <c r="AV607" s="1521">
        <f t="shared" si="2"/>
        <v>0</v>
      </c>
      <c r="AW607" s="1522"/>
      <c r="AX607" s="1134">
        <f t="shared" si="3"/>
        <v>0</v>
      </c>
      <c r="AY607" s="1136"/>
      <c r="AZ607" s="58"/>
      <c r="BA607" s="1134">
        <f t="shared" si="4"/>
        <v>0</v>
      </c>
      <c r="BB607" s="1135"/>
      <c r="BC607" s="1135"/>
      <c r="BD607" s="1135"/>
      <c r="BE607" s="1136"/>
      <c r="BF607" s="1198">
        <f t="shared" si="5"/>
        <v>0</v>
      </c>
      <c r="BG607" s="1198"/>
      <c r="BH607" s="1198"/>
      <c r="BI607" s="1198"/>
      <c r="BJ607" s="1198"/>
      <c r="BK607" s="1198">
        <f t="shared" si="6"/>
        <v>0</v>
      </c>
      <c r="BL607" s="1198"/>
      <c r="BM607" s="1198"/>
      <c r="BN607" s="1198"/>
      <c r="BO607" s="1198"/>
      <c r="BP607" s="1198">
        <f t="shared" si="7"/>
        <v>0</v>
      </c>
      <c r="BQ607" s="1198"/>
      <c r="BR607" s="1198"/>
      <c r="BS607" s="1198"/>
      <c r="BT607" s="1198"/>
      <c r="BU607" s="1198">
        <f t="shared" si="8"/>
        <v>0</v>
      </c>
      <c r="BV607" s="1198"/>
      <c r="BW607" s="1198"/>
      <c r="BX607" s="1198"/>
      <c r="BY607" s="1198"/>
      <c r="BZ607" s="1198">
        <f t="shared" si="9"/>
        <v>0</v>
      </c>
      <c r="CA607" s="1198"/>
      <c r="CB607" s="1198"/>
      <c r="CC607" s="1198"/>
      <c r="CD607" s="1198"/>
      <c r="CE607" s="1208">
        <f t="shared" si="10"/>
        <v>0</v>
      </c>
      <c r="CF607" s="1208"/>
      <c r="CG607" s="1208"/>
      <c r="CH607" s="1208"/>
      <c r="CI607" s="1208"/>
      <c r="CJ607" s="1208">
        <f t="shared" si="11"/>
        <v>0</v>
      </c>
      <c r="CK607" s="1208"/>
      <c r="CL607" s="1208"/>
      <c r="CM607" s="1208"/>
      <c r="CN607" s="1208"/>
      <c r="CO607" s="1208">
        <f t="shared" si="12"/>
        <v>0</v>
      </c>
      <c r="CP607" s="1208"/>
      <c r="CQ607" s="1208"/>
      <c r="CR607" s="1208"/>
      <c r="CS607" s="1208"/>
      <c r="CT607" s="1208">
        <f t="shared" si="13"/>
        <v>0</v>
      </c>
      <c r="CU607" s="1208"/>
      <c r="CV607" s="1208"/>
      <c r="CW607" s="1208"/>
      <c r="CX607" s="1208"/>
      <c r="CY607" s="1208">
        <f t="shared" si="14"/>
        <v>0</v>
      </c>
      <c r="CZ607" s="1208"/>
      <c r="DA607" s="1208"/>
      <c r="DB607" s="1208"/>
      <c r="DC607" s="1208"/>
      <c r="DD607" s="1208">
        <f t="shared" si="15"/>
        <v>0</v>
      </c>
      <c r="DE607" s="1208"/>
      <c r="DF607" s="1208"/>
      <c r="DG607" s="1208"/>
      <c r="DH607" s="1208"/>
    </row>
    <row r="608" spans="1:112" ht="12.75">
      <c r="A608" s="1112" t="s">
        <v>590</v>
      </c>
      <c r="B608" s="1112"/>
      <c r="C608" s="1112"/>
      <c r="D608" s="1112"/>
      <c r="E608" s="1112"/>
      <c r="F608" s="1112"/>
      <c r="G608" s="1112"/>
      <c r="H608" s="1112"/>
      <c r="I608" s="1112"/>
      <c r="J608" s="1112"/>
      <c r="K608" s="1112"/>
      <c r="L608" s="1112"/>
      <c r="M608" s="1112"/>
      <c r="N608" s="1112"/>
      <c r="O608" s="1112"/>
      <c r="P608" s="1112"/>
      <c r="Q608" s="1112"/>
      <c r="R608" s="1112"/>
      <c r="S608" s="1112"/>
      <c r="T608" s="1112"/>
      <c r="U608" s="1112"/>
      <c r="V608" s="1112"/>
      <c r="W608" s="1112"/>
      <c r="X608" s="1112"/>
      <c r="Y608" s="1112"/>
      <c r="Z608" s="1112"/>
      <c r="AA608" s="1112"/>
      <c r="AB608" s="1112"/>
      <c r="AC608" s="1112"/>
      <c r="AD608" s="1112"/>
      <c r="AE608" s="1112"/>
      <c r="AF608" s="1112"/>
      <c r="AG608" s="1112"/>
      <c r="AH608" s="1112"/>
      <c r="AI608" s="1112"/>
      <c r="AJ608" s="1112"/>
      <c r="AK608" s="1112"/>
      <c r="AL608" s="1112"/>
      <c r="AM608" s="58"/>
      <c r="AN608" s="58"/>
      <c r="AO608" s="58"/>
      <c r="AP608" s="58"/>
      <c r="AQ608" s="58"/>
      <c r="AR608" s="1521">
        <f t="shared" si="0"/>
        <v>0</v>
      </c>
      <c r="AS608" s="1522"/>
      <c r="AT608" s="1134">
        <f t="shared" si="1"/>
        <v>0</v>
      </c>
      <c r="AU608" s="1136"/>
      <c r="AV608" s="1521">
        <f t="shared" si="2"/>
        <v>0</v>
      </c>
      <c r="AW608" s="1522"/>
      <c r="AX608" s="1134">
        <f t="shared" si="3"/>
        <v>0</v>
      </c>
      <c r="AY608" s="1136"/>
      <c r="AZ608" s="58"/>
      <c r="BA608" s="1134">
        <f t="shared" si="4"/>
        <v>0</v>
      </c>
      <c r="BB608" s="1135"/>
      <c r="BC608" s="1135"/>
      <c r="BD608" s="1135"/>
      <c r="BE608" s="1136"/>
      <c r="BF608" s="1198">
        <f t="shared" si="5"/>
        <v>0</v>
      </c>
      <c r="BG608" s="1198"/>
      <c r="BH608" s="1198"/>
      <c r="BI608" s="1198"/>
      <c r="BJ608" s="1198"/>
      <c r="BK608" s="1198">
        <f t="shared" si="6"/>
        <v>0</v>
      </c>
      <c r="BL608" s="1198"/>
      <c r="BM608" s="1198"/>
      <c r="BN608" s="1198"/>
      <c r="BO608" s="1198"/>
      <c r="BP608" s="1198">
        <f t="shared" si="7"/>
        <v>0</v>
      </c>
      <c r="BQ608" s="1198"/>
      <c r="BR608" s="1198"/>
      <c r="BS608" s="1198"/>
      <c r="BT608" s="1198"/>
      <c r="BU608" s="1198">
        <f t="shared" si="8"/>
        <v>0</v>
      </c>
      <c r="BV608" s="1198"/>
      <c r="BW608" s="1198"/>
      <c r="BX608" s="1198"/>
      <c r="BY608" s="1198"/>
      <c r="BZ608" s="1198">
        <f t="shared" si="9"/>
        <v>0</v>
      </c>
      <c r="CA608" s="1198"/>
      <c r="CB608" s="1198"/>
      <c r="CC608" s="1198"/>
      <c r="CD608" s="1198"/>
      <c r="CE608" s="1208">
        <f t="shared" si="10"/>
        <v>0</v>
      </c>
      <c r="CF608" s="1208"/>
      <c r="CG608" s="1208"/>
      <c r="CH608" s="1208"/>
      <c r="CI608" s="1208"/>
      <c r="CJ608" s="1208">
        <f t="shared" si="11"/>
        <v>0</v>
      </c>
      <c r="CK608" s="1208"/>
      <c r="CL608" s="1208"/>
      <c r="CM608" s="1208"/>
      <c r="CN608" s="1208"/>
      <c r="CO608" s="1208">
        <f t="shared" si="12"/>
        <v>0</v>
      </c>
      <c r="CP608" s="1208"/>
      <c r="CQ608" s="1208"/>
      <c r="CR608" s="1208"/>
      <c r="CS608" s="1208"/>
      <c r="CT608" s="1208">
        <f t="shared" si="13"/>
        <v>0</v>
      </c>
      <c r="CU608" s="1208"/>
      <c r="CV608" s="1208"/>
      <c r="CW608" s="1208"/>
      <c r="CX608" s="1208"/>
      <c r="CY608" s="1208">
        <f t="shared" si="14"/>
        <v>0</v>
      </c>
      <c r="CZ608" s="1208"/>
      <c r="DA608" s="1208"/>
      <c r="DB608" s="1208"/>
      <c r="DC608" s="1208"/>
      <c r="DD608" s="1208">
        <f t="shared" si="15"/>
        <v>0</v>
      </c>
      <c r="DE608" s="1208"/>
      <c r="DF608" s="1208"/>
      <c r="DG608" s="1208"/>
      <c r="DH608" s="1208"/>
    </row>
    <row r="609" spans="1:112" ht="13.5" thickBot="1">
      <c r="A609" s="959"/>
      <c r="B609" s="959"/>
      <c r="C609" s="959"/>
      <c r="D609" s="959"/>
      <c r="E609" s="959"/>
      <c r="F609" s="959"/>
      <c r="G609" s="959"/>
      <c r="H609" s="959"/>
      <c r="I609" s="959"/>
      <c r="J609" s="959"/>
      <c r="K609" s="959"/>
      <c r="L609" s="959"/>
      <c r="M609" s="959"/>
      <c r="N609" s="959"/>
      <c r="O609" s="959"/>
      <c r="P609" s="959"/>
      <c r="Q609" s="959"/>
      <c r="R609" s="959"/>
      <c r="S609" s="959"/>
      <c r="T609" s="959"/>
      <c r="U609" s="959"/>
      <c r="V609" s="959"/>
      <c r="W609" s="959"/>
      <c r="X609" s="959"/>
      <c r="Y609" s="959"/>
      <c r="Z609" s="959"/>
      <c r="AA609" s="959"/>
      <c r="AB609" s="959"/>
      <c r="AC609" s="959"/>
      <c r="AD609" s="959"/>
      <c r="AE609" s="959"/>
      <c r="AF609" s="959"/>
      <c r="AG609" s="959"/>
      <c r="AH609" s="959"/>
      <c r="AI609" s="959"/>
      <c r="AJ609" s="959"/>
      <c r="AK609" s="959"/>
      <c r="AL609" s="959"/>
      <c r="AM609" s="58"/>
      <c r="AN609" s="58"/>
      <c r="AO609" s="58"/>
      <c r="AP609" s="58"/>
      <c r="AQ609" s="58"/>
      <c r="AR609" s="1521">
        <f t="shared" si="0"/>
        <v>0</v>
      </c>
      <c r="AS609" s="1522"/>
      <c r="AT609" s="1134">
        <f t="shared" si="1"/>
        <v>0</v>
      </c>
      <c r="AU609" s="1136"/>
      <c r="AV609" s="1521">
        <f t="shared" si="2"/>
        <v>0</v>
      </c>
      <c r="AW609" s="1522"/>
      <c r="AX609" s="1134">
        <f t="shared" si="3"/>
        <v>0</v>
      </c>
      <c r="AY609" s="1136"/>
      <c r="AZ609" s="58"/>
      <c r="BA609" s="1134">
        <f t="shared" si="4"/>
        <v>0</v>
      </c>
      <c r="BB609" s="1135"/>
      <c r="BC609" s="1135"/>
      <c r="BD609" s="1135"/>
      <c r="BE609" s="1136"/>
      <c r="BF609" s="1198">
        <f t="shared" si="5"/>
        <v>0</v>
      </c>
      <c r="BG609" s="1198"/>
      <c r="BH609" s="1198"/>
      <c r="BI609" s="1198"/>
      <c r="BJ609" s="1198"/>
      <c r="BK609" s="1198">
        <f t="shared" si="6"/>
        <v>0</v>
      </c>
      <c r="BL609" s="1198"/>
      <c r="BM609" s="1198"/>
      <c r="BN609" s="1198"/>
      <c r="BO609" s="1198"/>
      <c r="BP609" s="1198">
        <f t="shared" si="7"/>
        <v>0</v>
      </c>
      <c r="BQ609" s="1198"/>
      <c r="BR609" s="1198"/>
      <c r="BS609" s="1198"/>
      <c r="BT609" s="1198"/>
      <c r="BU609" s="1198">
        <f t="shared" si="8"/>
        <v>0</v>
      </c>
      <c r="BV609" s="1198"/>
      <c r="BW609" s="1198"/>
      <c r="BX609" s="1198"/>
      <c r="BY609" s="1198"/>
      <c r="BZ609" s="1198">
        <f t="shared" si="9"/>
        <v>0</v>
      </c>
      <c r="CA609" s="1198"/>
      <c r="CB609" s="1198"/>
      <c r="CC609" s="1198"/>
      <c r="CD609" s="1198"/>
      <c r="CE609" s="1208">
        <f t="shared" si="10"/>
        <v>0</v>
      </c>
      <c r="CF609" s="1208"/>
      <c r="CG609" s="1208"/>
      <c r="CH609" s="1208"/>
      <c r="CI609" s="1208"/>
      <c r="CJ609" s="1208">
        <f t="shared" si="11"/>
        <v>0</v>
      </c>
      <c r="CK609" s="1208"/>
      <c r="CL609" s="1208"/>
      <c r="CM609" s="1208"/>
      <c r="CN609" s="1208"/>
      <c r="CO609" s="1208">
        <f t="shared" si="12"/>
        <v>0</v>
      </c>
      <c r="CP609" s="1208"/>
      <c r="CQ609" s="1208"/>
      <c r="CR609" s="1208"/>
      <c r="CS609" s="1208"/>
      <c r="CT609" s="1208">
        <f t="shared" si="13"/>
        <v>0</v>
      </c>
      <c r="CU609" s="1208"/>
      <c r="CV609" s="1208"/>
      <c r="CW609" s="1208"/>
      <c r="CX609" s="1208"/>
      <c r="CY609" s="1208">
        <f t="shared" si="14"/>
        <v>0</v>
      </c>
      <c r="CZ609" s="1208"/>
      <c r="DA609" s="1208"/>
      <c r="DB609" s="1208"/>
      <c r="DC609" s="1208"/>
      <c r="DD609" s="1208">
        <f t="shared" si="15"/>
        <v>0</v>
      </c>
      <c r="DE609" s="1208"/>
      <c r="DF609" s="1208"/>
      <c r="DG609" s="1208"/>
      <c r="DH609" s="1208"/>
    </row>
    <row r="610" spans="1:112" ht="13.5" thickTop="1">
      <c r="A610" s="25"/>
      <c r="B610" s="25"/>
      <c r="C610" s="25"/>
      <c r="D610" s="25"/>
      <c r="E610" s="25"/>
      <c r="F610" s="25"/>
      <c r="G610" s="3"/>
      <c r="H610" s="25"/>
      <c r="AM610" s="58"/>
      <c r="AN610" s="58"/>
      <c r="AO610" s="58"/>
      <c r="AP610" s="58"/>
      <c r="AQ610" s="58"/>
      <c r="AR610" s="1521">
        <f t="shared" si="0"/>
        <v>0</v>
      </c>
      <c r="AS610" s="1522"/>
      <c r="AT610" s="1134">
        <f t="shared" si="1"/>
        <v>0</v>
      </c>
      <c r="AU610" s="1136"/>
      <c r="AV610" s="1521">
        <f t="shared" si="2"/>
        <v>0</v>
      </c>
      <c r="AW610" s="1522"/>
      <c r="AX610" s="1134">
        <f t="shared" si="3"/>
        <v>0</v>
      </c>
      <c r="AY610" s="1136"/>
      <c r="AZ610" s="58"/>
      <c r="BA610" s="1134">
        <f t="shared" si="4"/>
        <v>0</v>
      </c>
      <c r="BB610" s="1135"/>
      <c r="BC610" s="1135"/>
      <c r="BD610" s="1135"/>
      <c r="BE610" s="1136"/>
      <c r="BF610" s="1198">
        <f t="shared" si="5"/>
        <v>0</v>
      </c>
      <c r="BG610" s="1198"/>
      <c r="BH610" s="1198"/>
      <c r="BI610" s="1198"/>
      <c r="BJ610" s="1198"/>
      <c r="BK610" s="1198">
        <f t="shared" si="6"/>
        <v>0</v>
      </c>
      <c r="BL610" s="1198"/>
      <c r="BM610" s="1198"/>
      <c r="BN610" s="1198"/>
      <c r="BO610" s="1198"/>
      <c r="BP610" s="1198">
        <f t="shared" si="7"/>
        <v>0</v>
      </c>
      <c r="BQ610" s="1198"/>
      <c r="BR610" s="1198"/>
      <c r="BS610" s="1198"/>
      <c r="BT610" s="1198"/>
      <c r="BU610" s="1198">
        <f t="shared" si="8"/>
        <v>0</v>
      </c>
      <c r="BV610" s="1198"/>
      <c r="BW610" s="1198"/>
      <c r="BX610" s="1198"/>
      <c r="BY610" s="1198"/>
      <c r="BZ610" s="1198">
        <f t="shared" si="9"/>
        <v>0</v>
      </c>
      <c r="CA610" s="1198"/>
      <c r="CB610" s="1198"/>
      <c r="CC610" s="1198"/>
      <c r="CD610" s="1198"/>
      <c r="CE610" s="1208">
        <f t="shared" si="10"/>
        <v>0</v>
      </c>
      <c r="CF610" s="1208"/>
      <c r="CG610" s="1208"/>
      <c r="CH610" s="1208"/>
      <c r="CI610" s="1208"/>
      <c r="CJ610" s="1208">
        <f t="shared" si="11"/>
        <v>0</v>
      </c>
      <c r="CK610" s="1208"/>
      <c r="CL610" s="1208"/>
      <c r="CM610" s="1208"/>
      <c r="CN610" s="1208"/>
      <c r="CO610" s="1208">
        <f t="shared" si="12"/>
        <v>0</v>
      </c>
      <c r="CP610" s="1208"/>
      <c r="CQ610" s="1208"/>
      <c r="CR610" s="1208"/>
      <c r="CS610" s="1208"/>
      <c r="CT610" s="1208">
        <f t="shared" si="13"/>
        <v>0</v>
      </c>
      <c r="CU610" s="1208"/>
      <c r="CV610" s="1208"/>
      <c r="CW610" s="1208"/>
      <c r="CX610" s="1208"/>
      <c r="CY610" s="1208">
        <f t="shared" si="14"/>
        <v>0</v>
      </c>
      <c r="CZ610" s="1208"/>
      <c r="DA610" s="1208"/>
      <c r="DB610" s="1208"/>
      <c r="DC610" s="1208"/>
      <c r="DD610" s="1208">
        <f t="shared" si="15"/>
        <v>0</v>
      </c>
      <c r="DE610" s="1208"/>
      <c r="DF610" s="1208"/>
      <c r="DG610" s="1208"/>
      <c r="DH610" s="1208"/>
    </row>
    <row r="611" spans="1:112" ht="12.75">
      <c r="A611" s="50" t="s">
        <v>341</v>
      </c>
      <c r="B611" s="50"/>
      <c r="C611" s="50" t="s">
        <v>23</v>
      </c>
      <c r="AM611" s="58"/>
      <c r="AN611" s="58"/>
      <c r="AO611" s="58"/>
      <c r="AP611" s="58"/>
      <c r="AQ611" s="58"/>
      <c r="AR611" s="1521">
        <f t="shared" si="0"/>
        <v>0</v>
      </c>
      <c r="AS611" s="1522"/>
      <c r="AT611" s="1134">
        <f t="shared" si="1"/>
        <v>0</v>
      </c>
      <c r="AU611" s="1136"/>
      <c r="AV611" s="1521">
        <f t="shared" si="2"/>
        <v>0</v>
      </c>
      <c r="AW611" s="1522"/>
      <c r="AX611" s="1134">
        <f t="shared" si="3"/>
        <v>0</v>
      </c>
      <c r="AY611" s="1136"/>
      <c r="AZ611" s="58"/>
      <c r="BA611" s="1134">
        <f t="shared" si="4"/>
        <v>0</v>
      </c>
      <c r="BB611" s="1135"/>
      <c r="BC611" s="1135"/>
      <c r="BD611" s="1135"/>
      <c r="BE611" s="1136"/>
      <c r="BF611" s="1198">
        <f t="shared" si="5"/>
        <v>0</v>
      </c>
      <c r="BG611" s="1198"/>
      <c r="BH611" s="1198"/>
      <c r="BI611" s="1198"/>
      <c r="BJ611" s="1198"/>
      <c r="BK611" s="1198">
        <f t="shared" si="6"/>
        <v>0</v>
      </c>
      <c r="BL611" s="1198"/>
      <c r="BM611" s="1198"/>
      <c r="BN611" s="1198"/>
      <c r="BO611" s="1198"/>
      <c r="BP611" s="1198">
        <f t="shared" si="7"/>
        <v>0</v>
      </c>
      <c r="BQ611" s="1198"/>
      <c r="BR611" s="1198"/>
      <c r="BS611" s="1198"/>
      <c r="BT611" s="1198"/>
      <c r="BU611" s="1198">
        <f t="shared" si="8"/>
        <v>0</v>
      </c>
      <c r="BV611" s="1198"/>
      <c r="BW611" s="1198"/>
      <c r="BX611" s="1198"/>
      <c r="BY611" s="1198"/>
      <c r="BZ611" s="1198">
        <f t="shared" si="9"/>
        <v>0</v>
      </c>
      <c r="CA611" s="1198"/>
      <c r="CB611" s="1198"/>
      <c r="CC611" s="1198"/>
      <c r="CD611" s="1198"/>
      <c r="CE611" s="1208">
        <f t="shared" si="10"/>
        <v>0</v>
      </c>
      <c r="CF611" s="1208"/>
      <c r="CG611" s="1208"/>
      <c r="CH611" s="1208"/>
      <c r="CI611" s="1208"/>
      <c r="CJ611" s="1208">
        <f t="shared" si="11"/>
        <v>0</v>
      </c>
      <c r="CK611" s="1208"/>
      <c r="CL611" s="1208"/>
      <c r="CM611" s="1208"/>
      <c r="CN611" s="1208"/>
      <c r="CO611" s="1208">
        <f t="shared" si="12"/>
        <v>0</v>
      </c>
      <c r="CP611" s="1208"/>
      <c r="CQ611" s="1208"/>
      <c r="CR611" s="1208"/>
      <c r="CS611" s="1208"/>
      <c r="CT611" s="1208">
        <f t="shared" si="13"/>
        <v>0</v>
      </c>
      <c r="CU611" s="1208"/>
      <c r="CV611" s="1208"/>
      <c r="CW611" s="1208"/>
      <c r="CX611" s="1208"/>
      <c r="CY611" s="1208">
        <f t="shared" si="14"/>
        <v>0</v>
      </c>
      <c r="CZ611" s="1208"/>
      <c r="DA611" s="1208"/>
      <c r="DB611" s="1208"/>
      <c r="DC611" s="1208"/>
      <c r="DD611" s="1208">
        <f t="shared" si="15"/>
        <v>0</v>
      </c>
      <c r="DE611" s="1208"/>
      <c r="DF611" s="1208"/>
      <c r="DG611" s="1208"/>
      <c r="DH611" s="1208"/>
    </row>
    <row r="612" spans="1:112" ht="12.75">
      <c r="A612" s="50"/>
      <c r="B612" s="50"/>
      <c r="C612" s="50"/>
      <c r="AM612" s="58"/>
      <c r="AN612" s="58"/>
      <c r="AO612" s="58"/>
      <c r="AP612" s="58"/>
      <c r="AQ612" s="58"/>
      <c r="AR612" s="1521">
        <f t="shared" si="0"/>
        <v>0</v>
      </c>
      <c r="AS612" s="1522"/>
      <c r="AT612" s="1134">
        <f t="shared" si="1"/>
        <v>0</v>
      </c>
      <c r="AU612" s="1136"/>
      <c r="AV612" s="1521">
        <f t="shared" si="2"/>
        <v>0</v>
      </c>
      <c r="AW612" s="1522"/>
      <c r="AX612" s="1134">
        <f t="shared" si="3"/>
        <v>0</v>
      </c>
      <c r="AY612" s="1136"/>
      <c r="AZ612" s="58"/>
      <c r="BA612" s="1134">
        <f t="shared" si="4"/>
        <v>0</v>
      </c>
      <c r="BB612" s="1135"/>
      <c r="BC612" s="1135"/>
      <c r="BD612" s="1135"/>
      <c r="BE612" s="1136"/>
      <c r="BF612" s="1198">
        <f t="shared" si="5"/>
        <v>0</v>
      </c>
      <c r="BG612" s="1198"/>
      <c r="BH612" s="1198"/>
      <c r="BI612" s="1198"/>
      <c r="BJ612" s="1198"/>
      <c r="BK612" s="1198">
        <f t="shared" si="6"/>
        <v>0</v>
      </c>
      <c r="BL612" s="1198"/>
      <c r="BM612" s="1198"/>
      <c r="BN612" s="1198"/>
      <c r="BO612" s="1198"/>
      <c r="BP612" s="1198">
        <f t="shared" si="7"/>
        <v>0</v>
      </c>
      <c r="BQ612" s="1198"/>
      <c r="BR612" s="1198"/>
      <c r="BS612" s="1198"/>
      <c r="BT612" s="1198"/>
      <c r="BU612" s="1198">
        <f t="shared" si="8"/>
        <v>0</v>
      </c>
      <c r="BV612" s="1198"/>
      <c r="BW612" s="1198"/>
      <c r="BX612" s="1198"/>
      <c r="BY612" s="1198"/>
      <c r="BZ612" s="1198">
        <f t="shared" si="9"/>
        <v>0</v>
      </c>
      <c r="CA612" s="1198"/>
      <c r="CB612" s="1198"/>
      <c r="CC612" s="1198"/>
      <c r="CD612" s="1198"/>
      <c r="CE612" s="1208">
        <f t="shared" si="10"/>
        <v>0</v>
      </c>
      <c r="CF612" s="1208"/>
      <c r="CG612" s="1208"/>
      <c r="CH612" s="1208"/>
      <c r="CI612" s="1208"/>
      <c r="CJ612" s="1208">
        <f t="shared" si="11"/>
        <v>0</v>
      </c>
      <c r="CK612" s="1208"/>
      <c r="CL612" s="1208"/>
      <c r="CM612" s="1208"/>
      <c r="CN612" s="1208"/>
      <c r="CO612" s="1208">
        <f t="shared" si="12"/>
        <v>0</v>
      </c>
      <c r="CP612" s="1208"/>
      <c r="CQ612" s="1208"/>
      <c r="CR612" s="1208"/>
      <c r="CS612" s="1208"/>
      <c r="CT612" s="1208">
        <f t="shared" si="13"/>
        <v>0</v>
      </c>
      <c r="CU612" s="1208"/>
      <c r="CV612" s="1208"/>
      <c r="CW612" s="1208"/>
      <c r="CX612" s="1208"/>
      <c r="CY612" s="1208">
        <f t="shared" si="14"/>
        <v>0</v>
      </c>
      <c r="CZ612" s="1208"/>
      <c r="DA612" s="1208"/>
      <c r="DB612" s="1208"/>
      <c r="DC612" s="1208"/>
      <c r="DD612" s="1208">
        <f t="shared" si="15"/>
        <v>0</v>
      </c>
      <c r="DE612" s="1208"/>
      <c r="DF612" s="1208"/>
      <c r="DG612" s="1208"/>
      <c r="DH612" s="1208"/>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1">
        <f t="shared" si="0"/>
        <v>0</v>
      </c>
      <c r="AS613" s="1522"/>
      <c r="AT613" s="1134">
        <f t="shared" si="1"/>
        <v>0</v>
      </c>
      <c r="AU613" s="1136"/>
      <c r="AV613" s="1521">
        <f t="shared" si="2"/>
        <v>0</v>
      </c>
      <c r="AW613" s="1522"/>
      <c r="AX613" s="1134">
        <f t="shared" si="3"/>
        <v>0</v>
      </c>
      <c r="AY613" s="1136"/>
      <c r="AZ613" s="58"/>
      <c r="BA613" s="1134">
        <f t="shared" si="4"/>
        <v>0</v>
      </c>
      <c r="BB613" s="1135"/>
      <c r="BC613" s="1135"/>
      <c r="BD613" s="1135"/>
      <c r="BE613" s="1136"/>
      <c r="BF613" s="1198">
        <f t="shared" si="5"/>
        <v>0</v>
      </c>
      <c r="BG613" s="1198"/>
      <c r="BH613" s="1198"/>
      <c r="BI613" s="1198"/>
      <c r="BJ613" s="1198"/>
      <c r="BK613" s="1198">
        <f t="shared" si="6"/>
        <v>0</v>
      </c>
      <c r="BL613" s="1198"/>
      <c r="BM613" s="1198"/>
      <c r="BN613" s="1198"/>
      <c r="BO613" s="1198"/>
      <c r="BP613" s="1198">
        <f t="shared" si="7"/>
        <v>0</v>
      </c>
      <c r="BQ613" s="1198"/>
      <c r="BR613" s="1198"/>
      <c r="BS613" s="1198"/>
      <c r="BT613" s="1198"/>
      <c r="BU613" s="1198">
        <f t="shared" si="8"/>
        <v>0</v>
      </c>
      <c r="BV613" s="1198"/>
      <c r="BW613" s="1198"/>
      <c r="BX613" s="1198"/>
      <c r="BY613" s="1198"/>
      <c r="BZ613" s="1198">
        <f t="shared" si="9"/>
        <v>0</v>
      </c>
      <c r="CA613" s="1198"/>
      <c r="CB613" s="1198"/>
      <c r="CC613" s="1198"/>
      <c r="CD613" s="1198"/>
      <c r="CE613" s="1208">
        <f t="shared" si="10"/>
        <v>0</v>
      </c>
      <c r="CF613" s="1208"/>
      <c r="CG613" s="1208"/>
      <c r="CH613" s="1208"/>
      <c r="CI613" s="1208"/>
      <c r="CJ613" s="1208">
        <f t="shared" si="11"/>
        <v>0</v>
      </c>
      <c r="CK613" s="1208"/>
      <c r="CL613" s="1208"/>
      <c r="CM613" s="1208"/>
      <c r="CN613" s="1208"/>
      <c r="CO613" s="1208">
        <f t="shared" si="12"/>
        <v>0</v>
      </c>
      <c r="CP613" s="1208"/>
      <c r="CQ613" s="1208"/>
      <c r="CR613" s="1208"/>
      <c r="CS613" s="1208"/>
      <c r="CT613" s="1208">
        <f t="shared" si="13"/>
        <v>0</v>
      </c>
      <c r="CU613" s="1208"/>
      <c r="CV613" s="1208"/>
      <c r="CW613" s="1208"/>
      <c r="CX613" s="1208"/>
      <c r="CY613" s="1208">
        <f t="shared" si="14"/>
        <v>0</v>
      </c>
      <c r="CZ613" s="1208"/>
      <c r="DA613" s="1208"/>
      <c r="DB613" s="1208"/>
      <c r="DC613" s="1208"/>
      <c r="DD613" s="1208">
        <f t="shared" si="15"/>
        <v>0</v>
      </c>
      <c r="DE613" s="1208"/>
      <c r="DF613" s="1208"/>
      <c r="DG613" s="1208"/>
      <c r="DH613" s="1208"/>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1">
        <f>SUM(AT589:AU613)</f>
        <v>54</v>
      </c>
      <c r="AU614" s="1522"/>
      <c r="AV614" s="58"/>
      <c r="AW614" s="58"/>
      <c r="AX614" s="1521">
        <f>SUM(AX589:AY613)</f>
        <v>0</v>
      </c>
      <c r="AY614" s="1522"/>
      <c r="AZ614" s="58"/>
      <c r="BA614" s="1521">
        <f>SUM(BA589:BE613)</f>
        <v>35</v>
      </c>
      <c r="BB614" s="1529"/>
      <c r="BC614" s="1529"/>
      <c r="BD614" s="1529"/>
      <c r="BE614" s="1522"/>
      <c r="BF614" s="1213">
        <f>SUM(BF589:BJ613)</f>
        <v>19</v>
      </c>
      <c r="BG614" s="1213"/>
      <c r="BH614" s="1213"/>
      <c r="BI614" s="1213"/>
      <c r="BJ614" s="1213"/>
      <c r="BK614" s="1213">
        <f>SUM(BK589:BO613)</f>
        <v>0</v>
      </c>
      <c r="BL614" s="1213"/>
      <c r="BM614" s="1213"/>
      <c r="BN614" s="1213"/>
      <c r="BO614" s="1213"/>
      <c r="BP614" s="1213">
        <f>SUM(BP589:BT613)</f>
        <v>0</v>
      </c>
      <c r="BQ614" s="1213"/>
      <c r="BR614" s="1213"/>
      <c r="BS614" s="1213"/>
      <c r="BT614" s="1213"/>
      <c r="BU614" s="1213">
        <f>SUM(BU589:BY613)</f>
        <v>0</v>
      </c>
      <c r="BV614" s="1213"/>
      <c r="BW614" s="1213"/>
      <c r="BX614" s="1213"/>
      <c r="BY614" s="1213"/>
      <c r="BZ614" s="1213">
        <f>SUM(BZ589:CD613)</f>
        <v>0</v>
      </c>
      <c r="CA614" s="1213"/>
      <c r="CB614" s="1213"/>
      <c r="CC614" s="1213"/>
      <c r="CD614" s="1213"/>
      <c r="CE614" s="1213">
        <f>SUM(CE589:CI613)</f>
        <v>0</v>
      </c>
      <c r="CF614" s="1213"/>
      <c r="CG614" s="1213"/>
      <c r="CH614" s="1213"/>
      <c r="CI614" s="1213"/>
      <c r="CJ614" s="1213">
        <f>SUM(CJ589:CN613)</f>
        <v>0</v>
      </c>
      <c r="CK614" s="1213"/>
      <c r="CL614" s="1213"/>
      <c r="CM614" s="1213"/>
      <c r="CN614" s="1213"/>
      <c r="CO614" s="1213">
        <f>SUM(CO589:CS613)</f>
        <v>0</v>
      </c>
      <c r="CP614" s="1213"/>
      <c r="CQ614" s="1213"/>
      <c r="CR614" s="1213"/>
      <c r="CS614" s="1213"/>
      <c r="CT614" s="1213">
        <f>SUM(CT589:CX613)</f>
        <v>0</v>
      </c>
      <c r="CU614" s="1213"/>
      <c r="CV614" s="1213"/>
      <c r="CW614" s="1213"/>
      <c r="CX614" s="1213"/>
      <c r="CY614" s="1213">
        <f>SUM(CY589:DC613)</f>
        <v>0</v>
      </c>
      <c r="CZ614" s="1213"/>
      <c r="DA614" s="1213"/>
      <c r="DB614" s="1213"/>
      <c r="DC614" s="1213"/>
      <c r="DD614" s="1213">
        <f>SUM(DD589:DH613)</f>
        <v>0</v>
      </c>
      <c r="DE614" s="1213"/>
      <c r="DF614" s="1213"/>
      <c r="DG614" s="1213"/>
      <c r="DH614" s="1213"/>
    </row>
    <row r="615" spans="1:112" ht="12.75">
      <c r="B615" s="1433" t="s">
        <v>497</v>
      </c>
      <c r="C615" s="1434"/>
      <c r="D615" s="1434"/>
      <c r="E615" s="1434"/>
      <c r="F615" s="1434"/>
      <c r="G615" s="1434"/>
      <c r="H615" s="1434"/>
      <c r="I615" s="1434"/>
      <c r="J615" s="1434"/>
      <c r="K615" s="1434"/>
      <c r="L615" s="1434"/>
      <c r="M615" s="1434"/>
      <c r="N615" s="1434"/>
      <c r="O615" s="1435"/>
      <c r="P615" s="1442" t="s">
        <v>346</v>
      </c>
      <c r="Q615" s="1443"/>
      <c r="R615" s="1444"/>
      <c r="S615" s="1535" t="s">
        <v>498</v>
      </c>
      <c r="T615" s="1536"/>
      <c r="U615" s="1537"/>
      <c r="V615" s="1432" t="s">
        <v>18</v>
      </c>
      <c r="W615" s="1432"/>
      <c r="X615" s="1432"/>
      <c r="Y615" s="1432"/>
      <c r="Z615" s="1432"/>
      <c r="AA615" s="1432"/>
      <c r="AB615" s="1432" t="s">
        <v>17</v>
      </c>
      <c r="AC615" s="1432"/>
      <c r="AD615" s="1432"/>
      <c r="AE615" s="1432"/>
      <c r="AF615" s="1432"/>
      <c r="AG615" s="1432" t="s">
        <v>499</v>
      </c>
      <c r="AH615" s="1432"/>
      <c r="AI615" s="1432"/>
      <c r="AJ615" s="1432"/>
      <c r="AK615" s="143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6"/>
      <c r="C616" s="1437"/>
      <c r="D616" s="1437"/>
      <c r="E616" s="1437"/>
      <c r="F616" s="1437"/>
      <c r="G616" s="1437"/>
      <c r="H616" s="1437"/>
      <c r="I616" s="1437"/>
      <c r="J616" s="1437"/>
      <c r="K616" s="1437"/>
      <c r="L616" s="1437"/>
      <c r="M616" s="1437"/>
      <c r="N616" s="1437"/>
      <c r="O616" s="1438"/>
      <c r="P616" s="1445"/>
      <c r="Q616" s="1446"/>
      <c r="R616" s="1447"/>
      <c r="S616" s="1538"/>
      <c r="T616" s="1539"/>
      <c r="U616" s="1540"/>
      <c r="V616" s="1432"/>
      <c r="W616" s="1432"/>
      <c r="X616" s="1432"/>
      <c r="Y616" s="1432"/>
      <c r="Z616" s="1432"/>
      <c r="AA616" s="1432"/>
      <c r="AB616" s="1432"/>
      <c r="AC616" s="1432"/>
      <c r="AD616" s="1432"/>
      <c r="AE616" s="1432"/>
      <c r="AF616" s="1432"/>
      <c r="AG616" s="1432"/>
      <c r="AH616" s="1432"/>
      <c r="AI616" s="1432"/>
      <c r="AJ616" s="1432"/>
      <c r="AK616" s="143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9"/>
      <c r="C617" s="1440"/>
      <c r="D617" s="1440"/>
      <c r="E617" s="1440"/>
      <c r="F617" s="1440"/>
      <c r="G617" s="1440"/>
      <c r="H617" s="1440"/>
      <c r="I617" s="1440"/>
      <c r="J617" s="1440"/>
      <c r="K617" s="1440"/>
      <c r="L617" s="1440"/>
      <c r="M617" s="1440"/>
      <c r="N617" s="1440"/>
      <c r="O617" s="1441"/>
      <c r="P617" s="1448"/>
      <c r="Q617" s="1449"/>
      <c r="R617" s="1450"/>
      <c r="S617" s="1541"/>
      <c r="T617" s="1542"/>
      <c r="U617" s="1543"/>
      <c r="V617" s="1432"/>
      <c r="W617" s="1432"/>
      <c r="X617" s="1432"/>
      <c r="Y617" s="1432"/>
      <c r="Z617" s="1432"/>
      <c r="AA617" s="1432"/>
      <c r="AB617" s="1432"/>
      <c r="AC617" s="1432"/>
      <c r="AD617" s="1432"/>
      <c r="AE617" s="1432"/>
      <c r="AF617" s="1432"/>
      <c r="AG617" s="1432"/>
      <c r="AH617" s="1432"/>
      <c r="AI617" s="1432"/>
      <c r="AJ617" s="1432"/>
      <c r="AK617" s="1432"/>
      <c r="AL617" s="58"/>
      <c r="AM617" s="61"/>
      <c r="AN617" s="61"/>
      <c r="AO617" s="61"/>
      <c r="AP617" s="61"/>
      <c r="AQ617" s="61"/>
      <c r="AR617" s="61"/>
      <c r="AS617" s="61"/>
      <c r="AT617" s="61"/>
      <c r="AU617" s="61"/>
      <c r="AV617" s="61"/>
      <c r="AW617" s="61"/>
      <c r="AX617" s="61"/>
      <c r="AY617" s="61"/>
      <c r="AZ617" s="61"/>
      <c r="BA617" s="1134">
        <f>IF(J754="SRO/Studio",O754,0)</f>
        <v>0</v>
      </c>
      <c r="BB617" s="1135"/>
      <c r="BC617" s="1135"/>
      <c r="BD617" s="1135"/>
      <c r="BE617" s="1136"/>
      <c r="BF617" s="1198">
        <f>IF(J754="1 Bedroom",O754,0)</f>
        <v>0</v>
      </c>
      <c r="BG617" s="1198"/>
      <c r="BH617" s="1198"/>
      <c r="BI617" s="1198"/>
      <c r="BJ617" s="1198"/>
      <c r="BK617" s="1198">
        <f>IF(J754="2 Bedrooms",O754,0)</f>
        <v>1</v>
      </c>
      <c r="BL617" s="1198"/>
      <c r="BM617" s="1198"/>
      <c r="BN617" s="1198"/>
      <c r="BO617" s="1198"/>
      <c r="BP617" s="1198">
        <f>IF(J754="3 Bedrooms",O754,0)</f>
        <v>0</v>
      </c>
      <c r="BQ617" s="1198"/>
      <c r="BR617" s="1198"/>
      <c r="BS617" s="1198"/>
      <c r="BT617" s="1198"/>
      <c r="BU617" s="1198">
        <f>IF(J754="4 Bedrooms",O754,0)</f>
        <v>0</v>
      </c>
      <c r="BV617" s="1198"/>
      <c r="BW617" s="1198"/>
      <c r="BX617" s="1198"/>
      <c r="BY617" s="1198"/>
      <c r="BZ617" s="1198">
        <f>IF(J754="5 Bedrooms",O754,0)</f>
        <v>0</v>
      </c>
      <c r="CA617" s="1198"/>
      <c r="CB617" s="1198"/>
      <c r="CC617" s="1198"/>
      <c r="CD617" s="1198"/>
      <c r="CE617" s="58"/>
      <c r="CF617" s="58"/>
      <c r="CG617" s="58"/>
      <c r="CH617" s="58"/>
      <c r="CI617" s="58"/>
      <c r="CJ617" s="58"/>
      <c r="CK617" s="58"/>
      <c r="CL617" s="58"/>
      <c r="CM617" s="58"/>
      <c r="CN617" s="58"/>
      <c r="CO617" s="58"/>
      <c r="CP617" s="58"/>
      <c r="CQ617" s="58"/>
      <c r="CR617" s="58"/>
    </row>
    <row r="618" spans="1:112" ht="12.75" customHeight="1">
      <c r="B618" s="83" t="s">
        <v>119</v>
      </c>
      <c r="C618" s="1125" t="s">
        <v>1752</v>
      </c>
      <c r="D618" s="1430"/>
      <c r="E618" s="1430"/>
      <c r="F618" s="1430"/>
      <c r="G618" s="1430"/>
      <c r="H618" s="1430"/>
      <c r="I618" s="1430"/>
      <c r="J618" s="1430"/>
      <c r="K618" s="1430"/>
      <c r="L618" s="1430"/>
      <c r="M618" s="1430"/>
      <c r="N618" s="1430"/>
      <c r="O618" s="1431"/>
      <c r="P618" s="1225">
        <v>420</v>
      </c>
      <c r="Q618" s="1226"/>
      <c r="R618" s="1227"/>
      <c r="S618" s="1222">
        <v>0.04</v>
      </c>
      <c r="T618" s="1223"/>
      <c r="U618" s="1224"/>
      <c r="V618" s="1225"/>
      <c r="W618" s="1226"/>
      <c r="X618" s="1226"/>
      <c r="Y618" s="1226"/>
      <c r="Z618" s="1226"/>
      <c r="AA618" s="1227"/>
      <c r="AB618" s="1229">
        <v>320182</v>
      </c>
      <c r="AC618" s="1229"/>
      <c r="AD618" s="1229"/>
      <c r="AE618" s="1229"/>
      <c r="AF618" s="1229"/>
      <c r="AG618" s="1229">
        <v>6026050</v>
      </c>
      <c r="AH618" s="1229"/>
      <c r="AI618" s="1229"/>
      <c r="AJ618" s="1229"/>
      <c r="AK618" s="1229"/>
      <c r="AL618" s="58"/>
      <c r="AM618" s="61"/>
      <c r="AN618" s="61"/>
      <c r="AO618" s="61"/>
      <c r="AP618" s="61"/>
      <c r="AQ618" s="61"/>
      <c r="AR618" s="61"/>
      <c r="AS618" s="61"/>
      <c r="AT618" s="61"/>
      <c r="AU618" s="61"/>
      <c r="AV618" s="61"/>
      <c r="AW618" s="61"/>
      <c r="AX618" s="61"/>
      <c r="AY618" s="61"/>
      <c r="AZ618" s="61"/>
      <c r="BA618" s="1134">
        <f>IF(J755="SRO/Studio",O755,0)</f>
        <v>0</v>
      </c>
      <c r="BB618" s="1135"/>
      <c r="BC618" s="1135"/>
      <c r="BD618" s="1135"/>
      <c r="BE618" s="1136"/>
      <c r="BF618" s="1198">
        <f>IF(J755="1 Bedroom",O755,0)</f>
        <v>0</v>
      </c>
      <c r="BG618" s="1198"/>
      <c r="BH618" s="1198"/>
      <c r="BI618" s="1198"/>
      <c r="BJ618" s="1198"/>
      <c r="BK618" s="1198">
        <f>IF(J755="2 Bedrooms",O755,0)</f>
        <v>0</v>
      </c>
      <c r="BL618" s="1198"/>
      <c r="BM618" s="1198"/>
      <c r="BN618" s="1198"/>
      <c r="BO618" s="1198"/>
      <c r="BP618" s="1198">
        <f>IF(J755="3 Bedrooms",O755,0)</f>
        <v>0</v>
      </c>
      <c r="BQ618" s="1198"/>
      <c r="BR618" s="1198"/>
      <c r="BS618" s="1198"/>
      <c r="BT618" s="1198"/>
      <c r="BU618" s="1198">
        <f>IF(J755="4 Bedrooms",O755,0)</f>
        <v>0</v>
      </c>
      <c r="BV618" s="1198"/>
      <c r="BW618" s="1198"/>
      <c r="BX618" s="1198"/>
      <c r="BY618" s="1198"/>
      <c r="BZ618" s="1198">
        <f>IF(J755="5 Bedrooms",O755,0)</f>
        <v>0</v>
      </c>
      <c r="CA618" s="1198"/>
      <c r="CB618" s="1198"/>
      <c r="CC618" s="1198"/>
      <c r="CD618" s="1198"/>
      <c r="CE618" s="58"/>
      <c r="CF618" s="58"/>
      <c r="CG618" s="58"/>
      <c r="CH618" s="58"/>
      <c r="CI618" s="58"/>
      <c r="CJ618" s="58"/>
      <c r="CK618" s="58"/>
      <c r="CL618" s="58"/>
      <c r="CM618" s="58"/>
      <c r="CN618" s="58"/>
      <c r="CO618" s="58"/>
      <c r="CP618" s="58"/>
      <c r="CQ618" s="58"/>
      <c r="CR618" s="58"/>
    </row>
    <row r="619" spans="1:112" ht="12.75">
      <c r="B619" s="84" t="s">
        <v>120</v>
      </c>
      <c r="C619" s="1125" t="s">
        <v>1741</v>
      </c>
      <c r="D619" s="1102"/>
      <c r="E619" s="1102"/>
      <c r="F619" s="1102"/>
      <c r="G619" s="1102"/>
      <c r="H619" s="1102"/>
      <c r="I619" s="1102"/>
      <c r="J619" s="1102"/>
      <c r="K619" s="1102"/>
      <c r="L619" s="1102"/>
      <c r="M619" s="1102"/>
      <c r="N619" s="1102"/>
      <c r="O619" s="1228"/>
      <c r="P619" s="1225">
        <v>660</v>
      </c>
      <c r="Q619" s="1226"/>
      <c r="R619" s="1227"/>
      <c r="S619" s="1222">
        <v>0.03</v>
      </c>
      <c r="T619" s="1223"/>
      <c r="U619" s="1224"/>
      <c r="V619" s="1225" t="s">
        <v>503</v>
      </c>
      <c r="W619" s="1226"/>
      <c r="X619" s="1226"/>
      <c r="Y619" s="1226"/>
      <c r="Z619" s="1226"/>
      <c r="AA619" s="1227"/>
      <c r="AB619" s="1229"/>
      <c r="AC619" s="1229"/>
      <c r="AD619" s="1229"/>
      <c r="AE619" s="1229"/>
      <c r="AF619" s="1229"/>
      <c r="AG619" s="1229">
        <f>11880000</f>
        <v>11880000</v>
      </c>
      <c r="AH619" s="1229"/>
      <c r="AI619" s="1229"/>
      <c r="AJ619" s="1229"/>
      <c r="AK619" s="1229"/>
      <c r="AL619" s="58"/>
      <c r="AM619" s="61"/>
      <c r="AN619" s="61"/>
      <c r="AO619" s="61"/>
      <c r="AP619" s="61"/>
      <c r="AQ619" s="61"/>
      <c r="AR619" s="61"/>
      <c r="AS619" s="61"/>
      <c r="AT619" s="61"/>
      <c r="AU619" s="61"/>
      <c r="AV619" s="61"/>
      <c r="AW619" s="61"/>
      <c r="AX619" s="61"/>
      <c r="AY619" s="61"/>
      <c r="AZ619" s="61"/>
      <c r="BA619" s="1134">
        <f>IF(J756="SRO/Studio",O756,0)</f>
        <v>0</v>
      </c>
      <c r="BB619" s="1135"/>
      <c r="BC619" s="1135"/>
      <c r="BD619" s="1135"/>
      <c r="BE619" s="1136"/>
      <c r="BF619" s="1198">
        <f>IF(J756="1 Bedroom",O756,0)</f>
        <v>0</v>
      </c>
      <c r="BG619" s="1198"/>
      <c r="BH619" s="1198"/>
      <c r="BI619" s="1198"/>
      <c r="BJ619" s="1198"/>
      <c r="BK619" s="1198">
        <f>IF(J756="2 Bedrooms",O756,0)</f>
        <v>0</v>
      </c>
      <c r="BL619" s="1198"/>
      <c r="BM619" s="1198"/>
      <c r="BN619" s="1198"/>
      <c r="BO619" s="1198"/>
      <c r="BP619" s="1198">
        <f>IF(J756="3 Bedrooms",O756,0)</f>
        <v>0</v>
      </c>
      <c r="BQ619" s="1198"/>
      <c r="BR619" s="1198"/>
      <c r="BS619" s="1198"/>
      <c r="BT619" s="1198"/>
      <c r="BU619" s="1198">
        <f>IF(J756="4 Bedrooms",O756,0)</f>
        <v>0</v>
      </c>
      <c r="BV619" s="1198"/>
      <c r="BW619" s="1198"/>
      <c r="BX619" s="1198"/>
      <c r="BY619" s="1198"/>
      <c r="BZ619" s="1198">
        <f>IF(J756="5 Bedrooms",O756,0)</f>
        <v>0</v>
      </c>
      <c r="CA619" s="1198"/>
      <c r="CB619" s="1198"/>
      <c r="CC619" s="1198"/>
      <c r="CD619" s="1198"/>
      <c r="CE619" s="58"/>
      <c r="CF619" s="58"/>
      <c r="CG619" s="58"/>
      <c r="CH619" s="58"/>
      <c r="CI619" s="58"/>
      <c r="CJ619" s="58"/>
      <c r="CK619" s="58"/>
      <c r="CL619" s="58"/>
      <c r="CM619" s="58"/>
      <c r="CN619" s="58"/>
      <c r="CO619" s="58"/>
      <c r="CP619" s="58"/>
      <c r="CQ619" s="58"/>
      <c r="CR619" s="58"/>
    </row>
    <row r="620" spans="1:112" ht="12.75">
      <c r="B620" s="84" t="s">
        <v>126</v>
      </c>
      <c r="C620" s="1125"/>
      <c r="D620" s="1102"/>
      <c r="E620" s="1102"/>
      <c r="F620" s="1102"/>
      <c r="G620" s="1102"/>
      <c r="H620" s="1102"/>
      <c r="I620" s="1102"/>
      <c r="J620" s="1102"/>
      <c r="K620" s="1102"/>
      <c r="L620" s="1102"/>
      <c r="M620" s="1102"/>
      <c r="N620" s="1102"/>
      <c r="O620" s="1228"/>
      <c r="P620" s="1225"/>
      <c r="Q620" s="1226"/>
      <c r="R620" s="1227"/>
      <c r="S620" s="1222"/>
      <c r="T620" s="1223"/>
      <c r="U620" s="1224"/>
      <c r="V620" s="1225"/>
      <c r="W620" s="1226"/>
      <c r="X620" s="1226"/>
      <c r="Y620" s="1226"/>
      <c r="Z620" s="1226"/>
      <c r="AA620" s="1227"/>
      <c r="AB620" s="1229"/>
      <c r="AC620" s="1229"/>
      <c r="AD620" s="1229"/>
      <c r="AE620" s="1229"/>
      <c r="AF620" s="1229"/>
      <c r="AG620" s="1229"/>
      <c r="AH620" s="1229"/>
      <c r="AI620" s="1229"/>
      <c r="AJ620" s="1229"/>
      <c r="AK620" s="1229"/>
      <c r="AL620" s="58"/>
      <c r="AM620" s="61"/>
      <c r="AN620" s="61"/>
      <c r="AO620" s="61"/>
      <c r="AP620" s="61"/>
      <c r="AQ620" s="61"/>
      <c r="AR620" s="61"/>
      <c r="AS620" s="61"/>
      <c r="AT620" s="61"/>
      <c r="AU620" s="61"/>
      <c r="AV620" s="61"/>
      <c r="AW620" s="61"/>
      <c r="AX620" s="61"/>
      <c r="AY620" s="61"/>
      <c r="AZ620" s="61"/>
      <c r="BA620" s="1134">
        <f>IF(J757="SRO/Studio",O757,0)</f>
        <v>0</v>
      </c>
      <c r="BB620" s="1135"/>
      <c r="BC620" s="1135"/>
      <c r="BD620" s="1135"/>
      <c r="BE620" s="1136"/>
      <c r="BF620" s="1198">
        <f>IF(J757="1 Bedroom",O757,0)</f>
        <v>0</v>
      </c>
      <c r="BG620" s="1198"/>
      <c r="BH620" s="1198"/>
      <c r="BI620" s="1198"/>
      <c r="BJ620" s="1198"/>
      <c r="BK620" s="1198">
        <f>IF(J757="2 Bedrooms",O757,0)</f>
        <v>0</v>
      </c>
      <c r="BL620" s="1198"/>
      <c r="BM620" s="1198"/>
      <c r="BN620" s="1198"/>
      <c r="BO620" s="1198"/>
      <c r="BP620" s="1198">
        <f>IF(J757="3 Bedrooms",O757,0)</f>
        <v>0</v>
      </c>
      <c r="BQ620" s="1198"/>
      <c r="BR620" s="1198"/>
      <c r="BS620" s="1198"/>
      <c r="BT620" s="1198"/>
      <c r="BU620" s="1198">
        <f>IF(J757="4 Bedrooms",O757,0)</f>
        <v>0</v>
      </c>
      <c r="BV620" s="1198"/>
      <c r="BW620" s="1198"/>
      <c r="BX620" s="1198"/>
      <c r="BY620" s="1198"/>
      <c r="BZ620" s="1198">
        <f>IF(J757="5 Bedrooms",O757,0)</f>
        <v>0</v>
      </c>
      <c r="CA620" s="1198"/>
      <c r="CB620" s="1198"/>
      <c r="CC620" s="1198"/>
      <c r="CD620" s="1198"/>
      <c r="CE620" s="58"/>
      <c r="CF620" s="58"/>
      <c r="CG620" s="58"/>
      <c r="CH620" s="58"/>
      <c r="CI620" s="58"/>
      <c r="CJ620" s="58"/>
      <c r="CK620" s="58"/>
      <c r="CL620" s="58"/>
      <c r="CM620" s="58"/>
      <c r="CN620" s="58"/>
      <c r="CO620" s="58"/>
      <c r="CP620" s="58"/>
      <c r="CQ620" s="58"/>
      <c r="CR620" s="58"/>
    </row>
    <row r="621" spans="1:112" ht="12.75">
      <c r="B621" s="84" t="s">
        <v>631</v>
      </c>
      <c r="C621" s="1125"/>
      <c r="D621" s="1102"/>
      <c r="E621" s="1102"/>
      <c r="F621" s="1102"/>
      <c r="G621" s="1102"/>
      <c r="H621" s="1102"/>
      <c r="I621" s="1102"/>
      <c r="J621" s="1102"/>
      <c r="K621" s="1102"/>
      <c r="L621" s="1102"/>
      <c r="M621" s="1102"/>
      <c r="N621" s="1102"/>
      <c r="O621" s="1228"/>
      <c r="P621" s="1225"/>
      <c r="Q621" s="1226"/>
      <c r="R621" s="1227"/>
      <c r="S621" s="1222"/>
      <c r="T621" s="1223"/>
      <c r="U621" s="1224"/>
      <c r="V621" s="1225"/>
      <c r="W621" s="1226"/>
      <c r="X621" s="1226"/>
      <c r="Y621" s="1226"/>
      <c r="Z621" s="1226"/>
      <c r="AA621" s="1227"/>
      <c r="AB621" s="1229"/>
      <c r="AC621" s="1229"/>
      <c r="AD621" s="1229"/>
      <c r="AE621" s="1229"/>
      <c r="AF621" s="1229"/>
      <c r="AG621" s="1229"/>
      <c r="AH621" s="1229"/>
      <c r="AI621" s="1229"/>
      <c r="AJ621" s="1229"/>
      <c r="AK621" s="1229"/>
      <c r="AL621" s="58"/>
      <c r="AM621" s="61"/>
      <c r="AN621" s="61"/>
      <c r="AO621" s="61"/>
      <c r="AP621" s="61"/>
      <c r="AQ621" s="61"/>
      <c r="AR621" s="61"/>
      <c r="AS621" s="61"/>
      <c r="AT621" s="61"/>
      <c r="AU621" s="61"/>
      <c r="AV621" s="61"/>
      <c r="AW621" s="61"/>
      <c r="AX621" s="61"/>
      <c r="AY621" s="61"/>
      <c r="AZ621" s="61"/>
      <c r="BA621" s="1137">
        <f>SUM(BA617:BE620)</f>
        <v>0</v>
      </c>
      <c r="BB621" s="1138"/>
      <c r="BC621" s="1138"/>
      <c r="BD621" s="1138"/>
      <c r="BE621" s="1139"/>
      <c r="BF621" s="1137">
        <f>SUM(BF617:BJ620)</f>
        <v>0</v>
      </c>
      <c r="BG621" s="1138"/>
      <c r="BH621" s="1138"/>
      <c r="BI621" s="1138"/>
      <c r="BJ621" s="1139"/>
      <c r="BK621" s="1137">
        <f>SUM(BK617:BO620)</f>
        <v>1</v>
      </c>
      <c r="BL621" s="1138"/>
      <c r="BM621" s="1138"/>
      <c r="BN621" s="1138"/>
      <c r="BO621" s="1139"/>
      <c r="BP621" s="1137">
        <f>SUM(BP617:BT620)</f>
        <v>0</v>
      </c>
      <c r="BQ621" s="1138"/>
      <c r="BR621" s="1138"/>
      <c r="BS621" s="1138"/>
      <c r="BT621" s="1139"/>
      <c r="BU621" s="1137">
        <f>SUM(BU617:BY620)</f>
        <v>0</v>
      </c>
      <c r="BV621" s="1138"/>
      <c r="BW621" s="1138"/>
      <c r="BX621" s="1138"/>
      <c r="BY621" s="1139"/>
      <c r="BZ621" s="1137">
        <f>SUM(BZ617:CD620)</f>
        <v>0</v>
      </c>
      <c r="CA621" s="1138"/>
      <c r="CB621" s="1138"/>
      <c r="CC621" s="1138"/>
      <c r="CD621" s="1139"/>
      <c r="CE621" s="58"/>
      <c r="CF621" s="58"/>
      <c r="CG621" s="58"/>
      <c r="CH621" s="58"/>
      <c r="CI621" s="58"/>
      <c r="CJ621" s="58"/>
      <c r="CK621" s="58"/>
      <c r="CL621" s="58"/>
      <c r="CM621" s="58"/>
      <c r="CN621" s="58"/>
      <c r="CO621" s="58"/>
      <c r="CP621" s="58"/>
      <c r="CQ621" s="58"/>
      <c r="CR621" s="58"/>
    </row>
    <row r="622" spans="1:112" ht="12.75">
      <c r="B622" s="84" t="s">
        <v>841</v>
      </c>
      <c r="C622" s="1125"/>
      <c r="D622" s="1102"/>
      <c r="E622" s="1102"/>
      <c r="F622" s="1102"/>
      <c r="G622" s="1102"/>
      <c r="H622" s="1102"/>
      <c r="I622" s="1102"/>
      <c r="J622" s="1102"/>
      <c r="K622" s="1102"/>
      <c r="L622" s="1102"/>
      <c r="M622" s="1102"/>
      <c r="N622" s="1102"/>
      <c r="O622" s="1228"/>
      <c r="P622" s="1225"/>
      <c r="Q622" s="1226"/>
      <c r="R622" s="1227"/>
      <c r="S622" s="1222"/>
      <c r="T622" s="1223"/>
      <c r="U622" s="1224"/>
      <c r="V622" s="1225"/>
      <c r="W622" s="1226"/>
      <c r="X622" s="1226"/>
      <c r="Y622" s="1226"/>
      <c r="Z622" s="1226"/>
      <c r="AA622" s="1227"/>
      <c r="AB622" s="1229"/>
      <c r="AC622" s="1229"/>
      <c r="AD622" s="1229"/>
      <c r="AE622" s="1229"/>
      <c r="AF622" s="1229"/>
      <c r="AG622" s="1229"/>
      <c r="AH622" s="1229"/>
      <c r="AI622" s="1229"/>
      <c r="AJ622" s="1229"/>
      <c r="AK622" s="122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02"/>
      <c r="D623" s="1102"/>
      <c r="E623" s="1102"/>
      <c r="F623" s="1102"/>
      <c r="G623" s="1102"/>
      <c r="H623" s="1102"/>
      <c r="I623" s="1102"/>
      <c r="J623" s="1102"/>
      <c r="K623" s="1102"/>
      <c r="L623" s="1102"/>
      <c r="M623" s="1102"/>
      <c r="N623" s="1102"/>
      <c r="O623" s="1228"/>
      <c r="P623" s="1225"/>
      <c r="Q623" s="1226"/>
      <c r="R623" s="1227"/>
      <c r="S623" s="1222"/>
      <c r="T623" s="1223"/>
      <c r="U623" s="1224"/>
      <c r="V623" s="1225"/>
      <c r="W623" s="1226"/>
      <c r="X623" s="1226"/>
      <c r="Y623" s="1226"/>
      <c r="Z623" s="1226"/>
      <c r="AA623" s="1227"/>
      <c r="AB623" s="1229"/>
      <c r="AC623" s="1229"/>
      <c r="AD623" s="1229"/>
      <c r="AE623" s="1229"/>
      <c r="AF623" s="1229"/>
      <c r="AG623" s="1229"/>
      <c r="AH623" s="1229"/>
      <c r="AI623" s="1229"/>
      <c r="AJ623" s="1229"/>
      <c r="AK623" s="1229"/>
      <c r="AL623" s="58"/>
      <c r="AM623" s="61"/>
      <c r="AN623" s="61"/>
      <c r="AO623" s="61"/>
      <c r="AP623" s="61"/>
      <c r="AQ623" s="61"/>
      <c r="AR623" s="61"/>
      <c r="AS623" s="61"/>
      <c r="AT623" s="61"/>
      <c r="AU623" s="61"/>
      <c r="AV623" s="61"/>
      <c r="AW623" s="61"/>
      <c r="AX623" s="61"/>
      <c r="AY623" s="61"/>
      <c r="AZ623" s="61"/>
      <c r="BA623" s="1134">
        <f t="shared" ref="BA623:BA632" si="16">IF(J768="SRO/Studio",O768,0)</f>
        <v>0</v>
      </c>
      <c r="BB623" s="1135"/>
      <c r="BC623" s="1135"/>
      <c r="BD623" s="1135"/>
      <c r="BE623" s="1136"/>
      <c r="BF623" s="1198">
        <f t="shared" ref="BF623:BF632" si="17">IF(J768="1 Bedroom",O768,0)</f>
        <v>0</v>
      </c>
      <c r="BG623" s="1198"/>
      <c r="BH623" s="1198"/>
      <c r="BI623" s="1198"/>
      <c r="BJ623" s="1198"/>
      <c r="BK623" s="1198">
        <f t="shared" ref="BK623:BK632" si="18">IF(J768="2 Bedrooms",O768,0)</f>
        <v>0</v>
      </c>
      <c r="BL623" s="1198"/>
      <c r="BM623" s="1198"/>
      <c r="BN623" s="1198"/>
      <c r="BO623" s="1198"/>
      <c r="BP623" s="1198">
        <f t="shared" ref="BP623:BP632" si="19">IF(J768="3 Bedrooms",O768,0)</f>
        <v>0</v>
      </c>
      <c r="BQ623" s="1198"/>
      <c r="BR623" s="1198"/>
      <c r="BS623" s="1198"/>
      <c r="BT623" s="1198"/>
      <c r="BU623" s="1198">
        <f t="shared" ref="BU623:BU632" si="20">IF(J768="4 Bedrooms",O768,0)</f>
        <v>0</v>
      </c>
      <c r="BV623" s="1198"/>
      <c r="BW623" s="1198"/>
      <c r="BX623" s="1198"/>
      <c r="BY623" s="1198"/>
      <c r="BZ623" s="1198">
        <f t="shared" ref="BZ623:BZ632" si="21">IF(J768="5 Bedrooms",O768,0)</f>
        <v>0</v>
      </c>
      <c r="CA623" s="1198"/>
      <c r="CB623" s="1198"/>
      <c r="CC623" s="1198"/>
      <c r="CD623" s="1198"/>
      <c r="CE623" s="58"/>
      <c r="CF623" s="58"/>
      <c r="CG623" s="58"/>
      <c r="CH623" s="58"/>
      <c r="CI623" s="58"/>
      <c r="CJ623" s="58"/>
      <c r="CK623" s="58"/>
      <c r="CL623" s="58"/>
      <c r="CM623" s="58"/>
      <c r="CN623" s="58"/>
      <c r="CO623" s="58"/>
      <c r="CP623" s="58"/>
      <c r="CQ623" s="58"/>
      <c r="CR623" s="58"/>
    </row>
    <row r="624" spans="1:112" ht="12.75">
      <c r="B624" s="84" t="s">
        <v>500</v>
      </c>
      <c r="C624" s="1102"/>
      <c r="D624" s="1102"/>
      <c r="E624" s="1102"/>
      <c r="F624" s="1102"/>
      <c r="G624" s="1102"/>
      <c r="H624" s="1102"/>
      <c r="I624" s="1102"/>
      <c r="J624" s="1102"/>
      <c r="K624" s="1102"/>
      <c r="L624" s="1102"/>
      <c r="M624" s="1102"/>
      <c r="N624" s="1102"/>
      <c r="O624" s="1228"/>
      <c r="P624" s="1225"/>
      <c r="Q624" s="1226"/>
      <c r="R624" s="1227"/>
      <c r="S624" s="1222"/>
      <c r="T624" s="1223"/>
      <c r="U624" s="1224"/>
      <c r="V624" s="1225"/>
      <c r="W624" s="1226"/>
      <c r="X624" s="1226"/>
      <c r="Y624" s="1226"/>
      <c r="Z624" s="1226"/>
      <c r="AA624" s="1227"/>
      <c r="AB624" s="1229"/>
      <c r="AC624" s="1229"/>
      <c r="AD624" s="1229"/>
      <c r="AE624" s="1229"/>
      <c r="AF624" s="1229"/>
      <c r="AG624" s="1229"/>
      <c r="AH624" s="1229"/>
      <c r="AI624" s="1229"/>
      <c r="AJ624" s="1229"/>
      <c r="AK624" s="1229"/>
      <c r="AL624" s="58"/>
      <c r="AM624" s="61"/>
      <c r="AN624" s="61"/>
      <c r="AO624" s="61"/>
      <c r="AP624" s="61"/>
      <c r="AQ624" s="61"/>
      <c r="AR624" s="61"/>
      <c r="AS624" s="61"/>
      <c r="AT624" s="61"/>
      <c r="AU624" s="61"/>
      <c r="AV624" s="61"/>
      <c r="AW624" s="61"/>
      <c r="AX624" s="61"/>
      <c r="AY624" s="61"/>
      <c r="AZ624" s="61"/>
      <c r="BA624" s="1134">
        <f t="shared" si="16"/>
        <v>0</v>
      </c>
      <c r="BB624" s="1135"/>
      <c r="BC624" s="1135"/>
      <c r="BD624" s="1135"/>
      <c r="BE624" s="1136"/>
      <c r="BF624" s="1198">
        <f t="shared" si="17"/>
        <v>0</v>
      </c>
      <c r="BG624" s="1198"/>
      <c r="BH624" s="1198"/>
      <c r="BI624" s="1198"/>
      <c r="BJ624" s="1198"/>
      <c r="BK624" s="1198">
        <f t="shared" si="18"/>
        <v>0</v>
      </c>
      <c r="BL624" s="1198"/>
      <c r="BM624" s="1198"/>
      <c r="BN624" s="1198"/>
      <c r="BO624" s="1198"/>
      <c r="BP624" s="1198">
        <f t="shared" si="19"/>
        <v>0</v>
      </c>
      <c r="BQ624" s="1198"/>
      <c r="BR624" s="1198"/>
      <c r="BS624" s="1198"/>
      <c r="BT624" s="1198"/>
      <c r="BU624" s="1198">
        <f t="shared" si="20"/>
        <v>0</v>
      </c>
      <c r="BV624" s="1198"/>
      <c r="BW624" s="1198"/>
      <c r="BX624" s="1198"/>
      <c r="BY624" s="1198"/>
      <c r="BZ624" s="1198">
        <f t="shared" si="21"/>
        <v>0</v>
      </c>
      <c r="CA624" s="1198"/>
      <c r="CB624" s="1198"/>
      <c r="CC624" s="1198"/>
      <c r="CD624" s="1198"/>
      <c r="CE624" s="58"/>
      <c r="CF624" s="58"/>
      <c r="CG624" s="58"/>
      <c r="CH624" s="58"/>
      <c r="CI624" s="58"/>
      <c r="CJ624" s="58"/>
      <c r="CK624" s="58"/>
      <c r="CL624" s="58"/>
      <c r="CM624" s="58"/>
      <c r="CN624" s="58"/>
      <c r="CO624" s="58"/>
      <c r="CP624" s="58"/>
      <c r="CQ624" s="58"/>
      <c r="CR624" s="58"/>
    </row>
    <row r="625" spans="1:96" ht="12.75">
      <c r="B625" s="84" t="s">
        <v>501</v>
      </c>
      <c r="C625" s="1102"/>
      <c r="D625" s="1102"/>
      <c r="E625" s="1102"/>
      <c r="F625" s="1102"/>
      <c r="G625" s="1102"/>
      <c r="H625" s="1102"/>
      <c r="I625" s="1102"/>
      <c r="J625" s="1102"/>
      <c r="K625" s="1102"/>
      <c r="L625" s="1102"/>
      <c r="M625" s="1102"/>
      <c r="N625" s="1102"/>
      <c r="O625" s="1228"/>
      <c r="P625" s="1225"/>
      <c r="Q625" s="1226"/>
      <c r="R625" s="1227"/>
      <c r="S625" s="1222"/>
      <c r="T625" s="1223"/>
      <c r="U625" s="1224"/>
      <c r="V625" s="1225"/>
      <c r="W625" s="1226"/>
      <c r="X625" s="1226"/>
      <c r="Y625" s="1226"/>
      <c r="Z625" s="1226"/>
      <c r="AA625" s="1227"/>
      <c r="AB625" s="1229"/>
      <c r="AC625" s="1229"/>
      <c r="AD625" s="1229"/>
      <c r="AE625" s="1229"/>
      <c r="AF625" s="1229"/>
      <c r="AG625" s="1229"/>
      <c r="AH625" s="1229"/>
      <c r="AI625" s="1229"/>
      <c r="AJ625" s="1229"/>
      <c r="AK625" s="1229"/>
      <c r="AL625" s="58"/>
      <c r="AM625" s="61"/>
      <c r="AN625" s="61"/>
      <c r="AO625" s="61"/>
      <c r="AP625" s="61"/>
      <c r="AQ625" s="61"/>
      <c r="AR625" s="61"/>
      <c r="AS625" s="61"/>
      <c r="AT625" s="61"/>
      <c r="AU625" s="61"/>
      <c r="AV625" s="61"/>
      <c r="AW625" s="61"/>
      <c r="AX625" s="61"/>
      <c r="AY625" s="61"/>
      <c r="AZ625" s="61"/>
      <c r="BA625" s="1134">
        <f t="shared" si="16"/>
        <v>0</v>
      </c>
      <c r="BB625" s="1135"/>
      <c r="BC625" s="1135"/>
      <c r="BD625" s="1135"/>
      <c r="BE625" s="1136"/>
      <c r="BF625" s="1198">
        <f t="shared" si="17"/>
        <v>0</v>
      </c>
      <c r="BG625" s="1198"/>
      <c r="BH625" s="1198"/>
      <c r="BI625" s="1198"/>
      <c r="BJ625" s="1198"/>
      <c r="BK625" s="1198">
        <f t="shared" si="18"/>
        <v>0</v>
      </c>
      <c r="BL625" s="1198"/>
      <c r="BM625" s="1198"/>
      <c r="BN625" s="1198"/>
      <c r="BO625" s="1198"/>
      <c r="BP625" s="1198">
        <f t="shared" si="19"/>
        <v>0</v>
      </c>
      <c r="BQ625" s="1198"/>
      <c r="BR625" s="1198"/>
      <c r="BS625" s="1198"/>
      <c r="BT625" s="1198"/>
      <c r="BU625" s="1198">
        <f t="shared" si="20"/>
        <v>0</v>
      </c>
      <c r="BV625" s="1198"/>
      <c r="BW625" s="1198"/>
      <c r="BX625" s="1198"/>
      <c r="BY625" s="1198"/>
      <c r="BZ625" s="1198">
        <f t="shared" si="21"/>
        <v>0</v>
      </c>
      <c r="CA625" s="1198"/>
      <c r="CB625" s="1198"/>
      <c r="CC625" s="1198"/>
      <c r="CD625" s="1198"/>
      <c r="CE625" s="58"/>
      <c r="CF625" s="58"/>
      <c r="CG625" s="58"/>
      <c r="CH625" s="58"/>
      <c r="CI625" s="58"/>
      <c r="CJ625" s="58"/>
      <c r="CK625" s="58"/>
      <c r="CL625" s="58"/>
      <c r="CM625" s="58"/>
      <c r="CN625" s="58"/>
      <c r="CO625" s="58"/>
      <c r="CP625" s="58"/>
      <c r="CQ625" s="58"/>
      <c r="CR625" s="58"/>
    </row>
    <row r="626" spans="1:96" ht="12.75">
      <c r="B626" s="84" t="s">
        <v>507</v>
      </c>
      <c r="C626" s="1102"/>
      <c r="D626" s="1102"/>
      <c r="E626" s="1102"/>
      <c r="F626" s="1102"/>
      <c r="G626" s="1102"/>
      <c r="H626" s="1102"/>
      <c r="I626" s="1102"/>
      <c r="J626" s="1102"/>
      <c r="K626" s="1102"/>
      <c r="L626" s="1102"/>
      <c r="M626" s="1102"/>
      <c r="N626" s="1102"/>
      <c r="O626" s="1228"/>
      <c r="P626" s="1225"/>
      <c r="Q626" s="1226"/>
      <c r="R626" s="1227"/>
      <c r="S626" s="1222"/>
      <c r="T626" s="1223"/>
      <c r="U626" s="1224"/>
      <c r="V626" s="1225"/>
      <c r="W626" s="1226"/>
      <c r="X626" s="1226"/>
      <c r="Y626" s="1226"/>
      <c r="Z626" s="1226"/>
      <c r="AA626" s="1227"/>
      <c r="AB626" s="1229"/>
      <c r="AC626" s="1229"/>
      <c r="AD626" s="1229"/>
      <c r="AE626" s="1229"/>
      <c r="AF626" s="1229"/>
      <c r="AG626" s="1229"/>
      <c r="AH626" s="1229"/>
      <c r="AI626" s="1229"/>
      <c r="AJ626" s="1229"/>
      <c r="AK626" s="1229"/>
      <c r="AL626" s="58"/>
      <c r="AM626" s="58"/>
      <c r="AN626" s="58"/>
      <c r="AO626" s="58"/>
      <c r="AP626" s="58"/>
      <c r="AQ626" s="58"/>
      <c r="AR626" s="58"/>
      <c r="AS626" s="58"/>
      <c r="AT626" s="58"/>
      <c r="AU626" s="58"/>
      <c r="AV626" s="58"/>
      <c r="AW626" s="58"/>
      <c r="AX626" s="58"/>
      <c r="AY626" s="58"/>
      <c r="AZ626" s="58"/>
      <c r="BA626" s="1134">
        <f t="shared" si="16"/>
        <v>0</v>
      </c>
      <c r="BB626" s="1135"/>
      <c r="BC626" s="1135"/>
      <c r="BD626" s="1135"/>
      <c r="BE626" s="1136"/>
      <c r="BF626" s="1198">
        <f t="shared" si="17"/>
        <v>0</v>
      </c>
      <c r="BG626" s="1198"/>
      <c r="BH626" s="1198"/>
      <c r="BI626" s="1198"/>
      <c r="BJ626" s="1198"/>
      <c r="BK626" s="1198">
        <f t="shared" si="18"/>
        <v>0</v>
      </c>
      <c r="BL626" s="1198"/>
      <c r="BM626" s="1198"/>
      <c r="BN626" s="1198"/>
      <c r="BO626" s="1198"/>
      <c r="BP626" s="1198">
        <f t="shared" si="19"/>
        <v>0</v>
      </c>
      <c r="BQ626" s="1198"/>
      <c r="BR626" s="1198"/>
      <c r="BS626" s="1198"/>
      <c r="BT626" s="1198"/>
      <c r="BU626" s="1198">
        <f t="shared" si="20"/>
        <v>0</v>
      </c>
      <c r="BV626" s="1198"/>
      <c r="BW626" s="1198"/>
      <c r="BX626" s="1198"/>
      <c r="BY626" s="1198"/>
      <c r="BZ626" s="1198">
        <f t="shared" si="21"/>
        <v>0</v>
      </c>
      <c r="CA626" s="1198"/>
      <c r="CB626" s="1198"/>
      <c r="CC626" s="1198"/>
      <c r="CD626" s="1198"/>
      <c r="CE626" s="58"/>
      <c r="CF626" s="58"/>
      <c r="CG626" s="58"/>
      <c r="CH626" s="58"/>
      <c r="CI626" s="58"/>
      <c r="CJ626" s="58"/>
      <c r="CK626" s="58"/>
      <c r="CL626" s="58"/>
      <c r="CM626" s="58"/>
      <c r="CN626" s="58"/>
      <c r="CO626" s="58"/>
      <c r="CP626" s="58"/>
      <c r="CQ626" s="58"/>
      <c r="CR626" s="58"/>
    </row>
    <row r="627" spans="1:96" ht="12.75">
      <c r="B627" s="84" t="s">
        <v>696</v>
      </c>
      <c r="C627" s="1102"/>
      <c r="D627" s="1102"/>
      <c r="E627" s="1102"/>
      <c r="F627" s="1102"/>
      <c r="G627" s="1102"/>
      <c r="H627" s="1102"/>
      <c r="I627" s="1102"/>
      <c r="J627" s="1102"/>
      <c r="K627" s="1102"/>
      <c r="L627" s="1102"/>
      <c r="M627" s="1102"/>
      <c r="N627" s="1102"/>
      <c r="O627" s="1228"/>
      <c r="P627" s="1225"/>
      <c r="Q627" s="1226"/>
      <c r="R627" s="1227"/>
      <c r="S627" s="1222"/>
      <c r="T627" s="1223"/>
      <c r="U627" s="1224"/>
      <c r="V627" s="1225"/>
      <c r="W627" s="1226"/>
      <c r="X627" s="1226"/>
      <c r="Y627" s="1226"/>
      <c r="Z627" s="1226"/>
      <c r="AA627" s="1227"/>
      <c r="AB627" s="1229"/>
      <c r="AC627" s="1229"/>
      <c r="AD627" s="1229"/>
      <c r="AE627" s="1229"/>
      <c r="AF627" s="1229"/>
      <c r="AG627" s="1229"/>
      <c r="AH627" s="1229"/>
      <c r="AI627" s="1229"/>
      <c r="AJ627" s="1229"/>
      <c r="AK627" s="1229"/>
      <c r="AL627" s="58"/>
      <c r="AM627" s="58"/>
      <c r="AN627" s="58"/>
      <c r="AO627" s="58"/>
      <c r="AP627" s="58"/>
      <c r="AQ627" s="58"/>
      <c r="AR627" s="58"/>
      <c r="AS627" s="58"/>
      <c r="AT627" s="58"/>
      <c r="AU627" s="58"/>
      <c r="AV627" s="58"/>
      <c r="AW627" s="58"/>
      <c r="AX627" s="58"/>
      <c r="AY627" s="58"/>
      <c r="AZ627" s="58"/>
      <c r="BA627" s="1134">
        <f t="shared" si="16"/>
        <v>0</v>
      </c>
      <c r="BB627" s="1135"/>
      <c r="BC627" s="1135"/>
      <c r="BD627" s="1135"/>
      <c r="BE627" s="1136"/>
      <c r="BF627" s="1198">
        <f t="shared" si="17"/>
        <v>0</v>
      </c>
      <c r="BG627" s="1198"/>
      <c r="BH627" s="1198"/>
      <c r="BI627" s="1198"/>
      <c r="BJ627" s="1198"/>
      <c r="BK627" s="1198">
        <f t="shared" si="18"/>
        <v>0</v>
      </c>
      <c r="BL627" s="1198"/>
      <c r="BM627" s="1198"/>
      <c r="BN627" s="1198"/>
      <c r="BO627" s="1198"/>
      <c r="BP627" s="1198">
        <f t="shared" si="19"/>
        <v>0</v>
      </c>
      <c r="BQ627" s="1198"/>
      <c r="BR627" s="1198"/>
      <c r="BS627" s="1198"/>
      <c r="BT627" s="1198"/>
      <c r="BU627" s="1198">
        <f t="shared" si="20"/>
        <v>0</v>
      </c>
      <c r="BV627" s="1198"/>
      <c r="BW627" s="1198"/>
      <c r="BX627" s="1198"/>
      <c r="BY627" s="1198"/>
      <c r="BZ627" s="1198">
        <f t="shared" si="21"/>
        <v>0</v>
      </c>
      <c r="CA627" s="1198"/>
      <c r="CB627" s="1198"/>
      <c r="CC627" s="1198"/>
      <c r="CD627" s="1198"/>
      <c r="CE627" s="58"/>
      <c r="CF627" s="58"/>
      <c r="CG627" s="58"/>
      <c r="CH627" s="58"/>
      <c r="CI627" s="58"/>
      <c r="CJ627" s="58"/>
      <c r="CK627" s="58"/>
      <c r="CL627" s="58"/>
      <c r="CM627" s="58"/>
      <c r="CN627" s="58"/>
      <c r="CO627" s="58"/>
      <c r="CP627" s="58"/>
      <c r="CQ627" s="58"/>
      <c r="CR627" s="58"/>
    </row>
    <row r="628" spans="1:96" ht="12.75">
      <c r="B628" s="84" t="s">
        <v>386</v>
      </c>
      <c r="C628" s="1102"/>
      <c r="D628" s="1102"/>
      <c r="E628" s="1102"/>
      <c r="F628" s="1102"/>
      <c r="G628" s="1102"/>
      <c r="H628" s="1102"/>
      <c r="I628" s="1102"/>
      <c r="J628" s="1102"/>
      <c r="K628" s="1102"/>
      <c r="L628" s="1102"/>
      <c r="M628" s="1102"/>
      <c r="N628" s="1102"/>
      <c r="O628" s="1228"/>
      <c r="P628" s="1225"/>
      <c r="Q628" s="1226"/>
      <c r="R628" s="1227"/>
      <c r="S628" s="1222"/>
      <c r="T628" s="1223"/>
      <c r="U628" s="1224"/>
      <c r="V628" s="1225"/>
      <c r="W628" s="1226"/>
      <c r="X628" s="1226"/>
      <c r="Y628" s="1226"/>
      <c r="Z628" s="1226"/>
      <c r="AA628" s="1227"/>
      <c r="AB628" s="1229"/>
      <c r="AC628" s="1229"/>
      <c r="AD628" s="1229"/>
      <c r="AE628" s="1229"/>
      <c r="AF628" s="1229"/>
      <c r="AG628" s="1229"/>
      <c r="AH628" s="1229"/>
      <c r="AI628" s="1229"/>
      <c r="AJ628" s="1229"/>
      <c r="AK628" s="1229"/>
      <c r="AL628" s="58"/>
      <c r="AM628" s="58"/>
      <c r="AN628" s="58"/>
      <c r="AO628" s="58"/>
      <c r="AP628" s="58"/>
      <c r="AQ628" s="58"/>
      <c r="AR628" s="58"/>
      <c r="AS628" s="58"/>
      <c r="AT628" s="58"/>
      <c r="AU628" s="58"/>
      <c r="AV628" s="58"/>
      <c r="AW628" s="58"/>
      <c r="AX628" s="58"/>
      <c r="AY628" s="58"/>
      <c r="AZ628" s="58"/>
      <c r="BA628" s="1134">
        <f t="shared" si="16"/>
        <v>0</v>
      </c>
      <c r="BB628" s="1135"/>
      <c r="BC628" s="1135"/>
      <c r="BD628" s="1135"/>
      <c r="BE628" s="1136"/>
      <c r="BF628" s="1198">
        <f t="shared" si="17"/>
        <v>0</v>
      </c>
      <c r="BG628" s="1198"/>
      <c r="BH628" s="1198"/>
      <c r="BI628" s="1198"/>
      <c r="BJ628" s="1198"/>
      <c r="BK628" s="1198">
        <f t="shared" si="18"/>
        <v>0</v>
      </c>
      <c r="BL628" s="1198"/>
      <c r="BM628" s="1198"/>
      <c r="BN628" s="1198"/>
      <c r="BO628" s="1198"/>
      <c r="BP628" s="1198">
        <f t="shared" si="19"/>
        <v>0</v>
      </c>
      <c r="BQ628" s="1198"/>
      <c r="BR628" s="1198"/>
      <c r="BS628" s="1198"/>
      <c r="BT628" s="1198"/>
      <c r="BU628" s="1198">
        <f t="shared" si="20"/>
        <v>0</v>
      </c>
      <c r="BV628" s="1198"/>
      <c r="BW628" s="1198"/>
      <c r="BX628" s="1198"/>
      <c r="BY628" s="1198"/>
      <c r="BZ628" s="1198">
        <f t="shared" si="21"/>
        <v>0</v>
      </c>
      <c r="CA628" s="1198"/>
      <c r="CB628" s="1198"/>
      <c r="CC628" s="1198"/>
      <c r="CD628" s="1198"/>
      <c r="CE628" s="58"/>
      <c r="CF628" s="58"/>
      <c r="CG628" s="58"/>
      <c r="CH628" s="58"/>
      <c r="CI628" s="58"/>
      <c r="CJ628" s="58"/>
      <c r="CK628" s="58"/>
      <c r="CL628" s="58"/>
      <c r="CM628" s="58"/>
      <c r="CN628" s="58"/>
      <c r="CO628" s="58"/>
      <c r="CP628" s="58"/>
      <c r="CQ628" s="58"/>
      <c r="CR628" s="58"/>
    </row>
    <row r="629" spans="1:96" ht="12.75" customHeight="1">
      <c r="B629" s="84" t="s">
        <v>387</v>
      </c>
      <c r="C629" s="1125"/>
      <c r="D629" s="1102"/>
      <c r="E629" s="1102"/>
      <c r="F629" s="1102"/>
      <c r="G629" s="1102"/>
      <c r="H629" s="1102"/>
      <c r="I629" s="1102"/>
      <c r="J629" s="1102"/>
      <c r="K629" s="1102"/>
      <c r="L629" s="1102"/>
      <c r="M629" s="1102"/>
      <c r="N629" s="1102"/>
      <c r="O629" s="1228"/>
      <c r="P629" s="1225"/>
      <c r="Q629" s="1226"/>
      <c r="R629" s="1227"/>
      <c r="S629" s="1222"/>
      <c r="T629" s="1223"/>
      <c r="U629" s="1224"/>
      <c r="V629" s="1225"/>
      <c r="W629" s="1226"/>
      <c r="X629" s="1226"/>
      <c r="Y629" s="1226"/>
      <c r="Z629" s="1226"/>
      <c r="AA629" s="1227"/>
      <c r="AB629" s="1229"/>
      <c r="AC629" s="1229"/>
      <c r="AD629" s="1229"/>
      <c r="AE629" s="1229"/>
      <c r="AF629" s="1229"/>
      <c r="AG629" s="1229"/>
      <c r="AH629" s="1229"/>
      <c r="AI629" s="1229"/>
      <c r="AJ629" s="1229"/>
      <c r="AK629" s="1229"/>
      <c r="AL629" s="58"/>
      <c r="AM629" s="61"/>
      <c r="AN629" s="61"/>
      <c r="AO629" s="61"/>
      <c r="AP629" s="61"/>
      <c r="AQ629" s="61"/>
      <c r="AR629" s="61"/>
      <c r="AS629" s="61"/>
      <c r="AT629" s="61"/>
      <c r="AU629" s="61"/>
      <c r="AV629" s="61"/>
      <c r="AW629" s="61"/>
      <c r="AX629" s="61"/>
      <c r="AY629" s="61"/>
      <c r="AZ629" s="61"/>
      <c r="BA629" s="1134">
        <f t="shared" si="16"/>
        <v>0</v>
      </c>
      <c r="BB629" s="1135"/>
      <c r="BC629" s="1135"/>
      <c r="BD629" s="1135"/>
      <c r="BE629" s="1136"/>
      <c r="BF629" s="1198">
        <f t="shared" si="17"/>
        <v>0</v>
      </c>
      <c r="BG629" s="1198"/>
      <c r="BH629" s="1198"/>
      <c r="BI629" s="1198"/>
      <c r="BJ629" s="1198"/>
      <c r="BK629" s="1198">
        <f t="shared" si="18"/>
        <v>0</v>
      </c>
      <c r="BL629" s="1198"/>
      <c r="BM629" s="1198"/>
      <c r="BN629" s="1198"/>
      <c r="BO629" s="1198"/>
      <c r="BP629" s="1198">
        <f t="shared" si="19"/>
        <v>0</v>
      </c>
      <c r="BQ629" s="1198"/>
      <c r="BR629" s="1198"/>
      <c r="BS629" s="1198"/>
      <c r="BT629" s="1198"/>
      <c r="BU629" s="1198">
        <f t="shared" si="20"/>
        <v>0</v>
      </c>
      <c r="BV629" s="1198"/>
      <c r="BW629" s="1198"/>
      <c r="BX629" s="1198"/>
      <c r="BY629" s="1198"/>
      <c r="BZ629" s="1198">
        <f t="shared" si="21"/>
        <v>0</v>
      </c>
      <c r="CA629" s="1198"/>
      <c r="CB629" s="1198"/>
      <c r="CC629" s="1198"/>
      <c r="CD629" s="1198"/>
      <c r="CE629" s="58"/>
      <c r="CF629" s="58"/>
      <c r="CG629" s="58"/>
      <c r="CH629" s="58"/>
      <c r="CI629" s="58"/>
      <c r="CJ629" s="58"/>
      <c r="CK629" s="58"/>
      <c r="CL629" s="58"/>
      <c r="CM629" s="58"/>
      <c r="CN629" s="58"/>
      <c r="CO629" s="58"/>
      <c r="CP629" s="58"/>
      <c r="CQ629" s="58"/>
      <c r="CR629" s="58"/>
    </row>
    <row r="630" spans="1:96" ht="12.75" customHeight="1">
      <c r="B630" s="1133" t="s">
        <v>135</v>
      </c>
      <c r="C630" s="1133"/>
      <c r="D630" s="1133"/>
      <c r="E630" s="1133"/>
      <c r="F630" s="1133"/>
      <c r="G630" s="1133"/>
      <c r="H630" s="1133"/>
      <c r="I630" s="1133"/>
      <c r="J630" s="1133"/>
      <c r="K630" s="1133"/>
      <c r="L630" s="1133"/>
      <c r="M630" s="1133"/>
      <c r="N630" s="1133"/>
      <c r="O630" s="1133"/>
      <c r="P630" s="1133"/>
      <c r="Q630" s="1133"/>
      <c r="R630" s="1133"/>
      <c r="S630" s="1133"/>
      <c r="T630" s="1133"/>
      <c r="U630" s="1133"/>
      <c r="V630" s="1133"/>
      <c r="W630" s="1133"/>
      <c r="X630" s="1133"/>
      <c r="Y630" s="1133"/>
      <c r="Z630" s="1133"/>
      <c r="AA630" s="1133"/>
      <c r="AB630" s="1133"/>
      <c r="AC630" s="1133"/>
      <c r="AD630" s="1133"/>
      <c r="AE630" s="1133"/>
      <c r="AF630" s="1133"/>
      <c r="AG630" s="1209">
        <f>SUM(AG618:AJ629)</f>
        <v>17906050</v>
      </c>
      <c r="AH630" s="1210"/>
      <c r="AI630" s="1210"/>
      <c r="AJ630" s="1210"/>
      <c r="AK630" s="1211"/>
      <c r="AM630" s="61"/>
      <c r="AN630" s="61"/>
      <c r="AO630" s="61"/>
      <c r="AP630" s="61"/>
      <c r="AQ630" s="61"/>
      <c r="AR630" s="61"/>
      <c r="AS630" s="61"/>
      <c r="AT630" s="61"/>
      <c r="AU630" s="61"/>
      <c r="AV630" s="61"/>
      <c r="AW630" s="61"/>
      <c r="AX630" s="61"/>
      <c r="AY630" s="61"/>
      <c r="AZ630" s="61"/>
      <c r="BA630" s="1134">
        <f t="shared" si="16"/>
        <v>0</v>
      </c>
      <c r="BB630" s="1135"/>
      <c r="BC630" s="1135"/>
      <c r="BD630" s="1135"/>
      <c r="BE630" s="1136"/>
      <c r="BF630" s="1198">
        <f t="shared" si="17"/>
        <v>0</v>
      </c>
      <c r="BG630" s="1198"/>
      <c r="BH630" s="1198"/>
      <c r="BI630" s="1198"/>
      <c r="BJ630" s="1198"/>
      <c r="BK630" s="1198">
        <f t="shared" si="18"/>
        <v>0</v>
      </c>
      <c r="BL630" s="1198"/>
      <c r="BM630" s="1198"/>
      <c r="BN630" s="1198"/>
      <c r="BO630" s="1198"/>
      <c r="BP630" s="1198">
        <f t="shared" si="19"/>
        <v>0</v>
      </c>
      <c r="BQ630" s="1198"/>
      <c r="BR630" s="1198"/>
      <c r="BS630" s="1198"/>
      <c r="BT630" s="1198"/>
      <c r="BU630" s="1198">
        <f t="shared" si="20"/>
        <v>0</v>
      </c>
      <c r="BV630" s="1198"/>
      <c r="BW630" s="1198"/>
      <c r="BX630" s="1198"/>
      <c r="BY630" s="1198"/>
      <c r="BZ630" s="1198">
        <f t="shared" si="21"/>
        <v>0</v>
      </c>
      <c r="CA630" s="1198"/>
      <c r="CB630" s="1198"/>
      <c r="CC630" s="1198"/>
      <c r="CD630" s="1198"/>
      <c r="CE630" s="58"/>
      <c r="CF630" s="58"/>
      <c r="CG630" s="58"/>
      <c r="CH630" s="58"/>
      <c r="CI630" s="58"/>
      <c r="CJ630" s="58"/>
      <c r="CK630" s="58"/>
      <c r="CL630" s="58"/>
      <c r="CM630" s="58"/>
      <c r="CN630" s="58"/>
      <c r="CO630" s="58"/>
      <c r="CP630" s="58"/>
      <c r="CQ630" s="58"/>
      <c r="CR630" s="58"/>
    </row>
    <row r="631" spans="1:96" ht="12.75">
      <c r="B631" s="1133" t="s">
        <v>283</v>
      </c>
      <c r="C631" s="1133"/>
      <c r="D631" s="1133"/>
      <c r="E631" s="1133"/>
      <c r="F631" s="1133"/>
      <c r="G631" s="1133"/>
      <c r="H631" s="1133"/>
      <c r="I631" s="1133"/>
      <c r="J631" s="1133"/>
      <c r="K631" s="1133"/>
      <c r="L631" s="1133"/>
      <c r="M631" s="1133"/>
      <c r="N631" s="1133"/>
      <c r="O631" s="1133"/>
      <c r="P631" s="1133"/>
      <c r="Q631" s="1133"/>
      <c r="R631" s="1133"/>
      <c r="S631" s="1133"/>
      <c r="T631" s="1133"/>
      <c r="U631" s="1133"/>
      <c r="V631" s="1133"/>
      <c r="W631" s="1133"/>
      <c r="X631" s="1133"/>
      <c r="Y631" s="1133"/>
      <c r="Z631" s="1133"/>
      <c r="AA631" s="1133"/>
      <c r="AB631" s="1133"/>
      <c r="AC631" s="1133"/>
      <c r="AD631" s="1133"/>
      <c r="AE631" s="1133"/>
      <c r="AF631" s="1133"/>
      <c r="AG631" s="1142">
        <v>9653937</v>
      </c>
      <c r="AH631" s="1143"/>
      <c r="AI631" s="1143"/>
      <c r="AJ631" s="1143"/>
      <c r="AK631" s="1144"/>
      <c r="AM631" s="61"/>
      <c r="AN631" s="61"/>
      <c r="AO631" s="61"/>
      <c r="AP631" s="61"/>
      <c r="AQ631" s="61"/>
      <c r="AR631" s="61"/>
      <c r="AS631" s="61"/>
      <c r="AT631" s="61"/>
      <c r="AU631" s="61"/>
      <c r="AV631" s="61"/>
      <c r="AW631" s="61"/>
      <c r="AX631" s="61"/>
      <c r="AY631" s="61"/>
      <c r="AZ631" s="61"/>
      <c r="BA631" s="1134">
        <f t="shared" si="16"/>
        <v>0</v>
      </c>
      <c r="BB631" s="1135"/>
      <c r="BC631" s="1135"/>
      <c r="BD631" s="1135"/>
      <c r="BE631" s="1136"/>
      <c r="BF631" s="1198">
        <f t="shared" si="17"/>
        <v>0</v>
      </c>
      <c r="BG631" s="1198"/>
      <c r="BH631" s="1198"/>
      <c r="BI631" s="1198"/>
      <c r="BJ631" s="1198"/>
      <c r="BK631" s="1198">
        <f t="shared" si="18"/>
        <v>0</v>
      </c>
      <c r="BL631" s="1198"/>
      <c r="BM631" s="1198"/>
      <c r="BN631" s="1198"/>
      <c r="BO631" s="1198"/>
      <c r="BP631" s="1198">
        <f t="shared" si="19"/>
        <v>0</v>
      </c>
      <c r="BQ631" s="1198"/>
      <c r="BR631" s="1198"/>
      <c r="BS631" s="1198"/>
      <c r="BT631" s="1198"/>
      <c r="BU631" s="1198">
        <f t="shared" si="20"/>
        <v>0</v>
      </c>
      <c r="BV631" s="1198"/>
      <c r="BW631" s="1198"/>
      <c r="BX631" s="1198"/>
      <c r="BY631" s="1198"/>
      <c r="BZ631" s="1198">
        <f t="shared" si="21"/>
        <v>0</v>
      </c>
      <c r="CA631" s="1198"/>
      <c r="CB631" s="1198"/>
      <c r="CC631" s="1198"/>
      <c r="CD631" s="1198"/>
      <c r="CE631" s="58"/>
      <c r="CF631" s="58"/>
      <c r="CG631" s="58"/>
      <c r="CH631" s="58"/>
      <c r="CI631" s="58"/>
      <c r="CJ631" s="58"/>
      <c r="CK631" s="58"/>
      <c r="CL631" s="58"/>
      <c r="CM631" s="58"/>
      <c r="CN631" s="58"/>
      <c r="CO631" s="58"/>
      <c r="CP631" s="58"/>
      <c r="CQ631" s="58"/>
      <c r="CR631" s="58"/>
    </row>
    <row r="632" spans="1:96" ht="12.75">
      <c r="B632" s="1133" t="s">
        <v>284</v>
      </c>
      <c r="C632" s="1133"/>
      <c r="D632" s="1133"/>
      <c r="E632" s="1133"/>
      <c r="F632" s="1133"/>
      <c r="G632" s="1133"/>
      <c r="H632" s="1133"/>
      <c r="I632" s="1133"/>
      <c r="J632" s="1133"/>
      <c r="K632" s="1133"/>
      <c r="L632" s="1133"/>
      <c r="M632" s="1133"/>
      <c r="N632" s="1133"/>
      <c r="O632" s="1133"/>
      <c r="P632" s="1133"/>
      <c r="Q632" s="1133"/>
      <c r="R632" s="1133"/>
      <c r="S632" s="1133"/>
      <c r="T632" s="1133"/>
      <c r="U632" s="1133"/>
      <c r="V632" s="1133"/>
      <c r="W632" s="1133"/>
      <c r="X632" s="1133"/>
      <c r="Y632" s="1133"/>
      <c r="Z632" s="1133"/>
      <c r="AA632" s="1133"/>
      <c r="AB632" s="1133"/>
      <c r="AC632" s="1133"/>
      <c r="AD632" s="1133"/>
      <c r="AE632" s="1133"/>
      <c r="AF632" s="1133"/>
      <c r="AG632" s="1209">
        <f>AG630+AG631</f>
        <v>27559987</v>
      </c>
      <c r="AH632" s="1210"/>
      <c r="AI632" s="1210"/>
      <c r="AJ632" s="1210"/>
      <c r="AK632" s="1211"/>
      <c r="AM632" s="61"/>
      <c r="AN632" s="61"/>
      <c r="AO632" s="61"/>
      <c r="AP632" s="61"/>
      <c r="AQ632" s="61"/>
      <c r="AR632" s="61"/>
      <c r="AS632" s="61"/>
      <c r="AT632" s="61"/>
      <c r="AU632" s="61"/>
      <c r="AV632" s="61"/>
      <c r="AW632" s="61"/>
      <c r="AX632" s="61"/>
      <c r="AY632" s="61"/>
      <c r="AZ632" s="61"/>
      <c r="BA632" s="1134">
        <f t="shared" si="16"/>
        <v>0</v>
      </c>
      <c r="BB632" s="1135"/>
      <c r="BC632" s="1135"/>
      <c r="BD632" s="1135"/>
      <c r="BE632" s="1136"/>
      <c r="BF632" s="1198">
        <f t="shared" si="17"/>
        <v>0</v>
      </c>
      <c r="BG632" s="1198"/>
      <c r="BH632" s="1198"/>
      <c r="BI632" s="1198"/>
      <c r="BJ632" s="1198"/>
      <c r="BK632" s="1198">
        <f t="shared" si="18"/>
        <v>0</v>
      </c>
      <c r="BL632" s="1198"/>
      <c r="BM632" s="1198"/>
      <c r="BN632" s="1198"/>
      <c r="BO632" s="1198"/>
      <c r="BP632" s="1198">
        <f t="shared" si="19"/>
        <v>0</v>
      </c>
      <c r="BQ632" s="1198"/>
      <c r="BR632" s="1198"/>
      <c r="BS632" s="1198"/>
      <c r="BT632" s="1198"/>
      <c r="BU632" s="1198">
        <f t="shared" si="20"/>
        <v>0</v>
      </c>
      <c r="BV632" s="1198"/>
      <c r="BW632" s="1198"/>
      <c r="BX632" s="1198"/>
      <c r="BY632" s="1198"/>
      <c r="BZ632" s="1198">
        <f t="shared" si="21"/>
        <v>0</v>
      </c>
      <c r="CA632" s="1198"/>
      <c r="CB632" s="1198"/>
      <c r="CC632" s="1198"/>
      <c r="CD632" s="119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7">
        <f>SUM(BA623:BE632)</f>
        <v>0</v>
      </c>
      <c r="BB633" s="1138"/>
      <c r="BC633" s="1138"/>
      <c r="BD633" s="1138"/>
      <c r="BE633" s="1139"/>
      <c r="BF633" s="1137">
        <f>SUM(BF623:BJ632)</f>
        <v>0</v>
      </c>
      <c r="BG633" s="1138"/>
      <c r="BH633" s="1138"/>
      <c r="BI633" s="1138"/>
      <c r="BJ633" s="1139"/>
      <c r="BK633" s="1137">
        <f>SUM(BK623:BO632)</f>
        <v>0</v>
      </c>
      <c r="BL633" s="1138"/>
      <c r="BM633" s="1138"/>
      <c r="BN633" s="1138"/>
      <c r="BO633" s="1139"/>
      <c r="BP633" s="1137">
        <f>SUM(BP623:BT632)</f>
        <v>0</v>
      </c>
      <c r="BQ633" s="1138"/>
      <c r="BR633" s="1138"/>
      <c r="BS633" s="1138"/>
      <c r="BT633" s="1139"/>
      <c r="BU633" s="1137">
        <f>SUM(BU623:BY632)</f>
        <v>0</v>
      </c>
      <c r="BV633" s="1138"/>
      <c r="BW633" s="1138"/>
      <c r="BX633" s="1138"/>
      <c r="BY633" s="1139"/>
      <c r="BZ633" s="1137">
        <f>SUM(BZ623:CD632)</f>
        <v>0</v>
      </c>
      <c r="CA633" s="1138"/>
      <c r="CB633" s="1138"/>
      <c r="CC633" s="1138"/>
      <c r="CD633" s="1139"/>
      <c r="CE633" s="58"/>
      <c r="CF633" s="58"/>
      <c r="CG633" s="58"/>
      <c r="CH633" s="58"/>
      <c r="CI633" s="58"/>
      <c r="CJ633" s="58"/>
      <c r="CK633" s="58"/>
      <c r="CL633" s="58"/>
      <c r="CM633" s="58"/>
      <c r="CN633" s="58"/>
      <c r="CO633" s="58"/>
      <c r="CP633" s="58"/>
      <c r="CQ633" s="58"/>
      <c r="CR633" s="58"/>
    </row>
    <row r="634" spans="1:96" ht="12.75">
      <c r="A634" s="87" t="s">
        <v>119</v>
      </c>
      <c r="B634" s="12" t="s">
        <v>509</v>
      </c>
      <c r="G634" s="1100" t="str">
        <f>C618</f>
        <v>Tranche B Loan - Banner Bank</v>
      </c>
      <c r="H634" s="1100"/>
      <c r="I634" s="1100"/>
      <c r="J634" s="1100"/>
      <c r="K634" s="1100"/>
      <c r="L634" s="1100"/>
      <c r="M634" s="1100"/>
      <c r="N634" s="1100"/>
      <c r="O634" s="1100"/>
      <c r="P634" s="1100"/>
      <c r="Q634" s="1100"/>
      <c r="R634" s="1100"/>
      <c r="S634" s="14"/>
      <c r="T634" s="87" t="s">
        <v>120</v>
      </c>
      <c r="U634" s="12" t="s">
        <v>509</v>
      </c>
      <c r="Z634" s="1100" t="str">
        <f>C619</f>
        <v>HHH Funds (HCIDLA)</v>
      </c>
      <c r="AA634" s="1100"/>
      <c r="AB634" s="1100"/>
      <c r="AC634" s="1100"/>
      <c r="AD634" s="1100"/>
      <c r="AE634" s="1100"/>
      <c r="AF634" s="1100"/>
      <c r="AG634" s="1100"/>
      <c r="AH634" s="1100"/>
      <c r="AI634" s="1100"/>
      <c r="AJ634" s="1100"/>
      <c r="AK634" s="110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8" t="s">
        <v>1753</v>
      </c>
      <c r="H635" s="1098"/>
      <c r="I635" s="1098"/>
      <c r="J635" s="1098"/>
      <c r="K635" s="1098"/>
      <c r="L635" s="1098"/>
      <c r="M635" s="1098"/>
      <c r="N635" s="1098"/>
      <c r="O635" s="1098"/>
      <c r="P635" s="1098"/>
      <c r="Q635" s="1098"/>
      <c r="R635" s="1098"/>
      <c r="S635" s="14"/>
      <c r="T635" s="35"/>
      <c r="U635" s="12" t="s">
        <v>92</v>
      </c>
      <c r="Z635" s="1098" t="s">
        <v>1751</v>
      </c>
      <c r="AA635" s="1098"/>
      <c r="AB635" s="1098"/>
      <c r="AC635" s="1098"/>
      <c r="AD635" s="1098"/>
      <c r="AE635" s="1098"/>
      <c r="AF635" s="1098"/>
      <c r="AG635" s="1098"/>
      <c r="AH635" s="1098"/>
      <c r="AI635" s="1098"/>
      <c r="AJ635" s="1098"/>
      <c r="AK635" s="1098"/>
      <c r="AM635" s="61"/>
      <c r="AN635" s="61"/>
      <c r="AO635" s="61"/>
      <c r="AP635" s="61"/>
      <c r="AQ635" s="61"/>
      <c r="AR635" s="61"/>
      <c r="AS635" s="61"/>
      <c r="AT635" s="61"/>
      <c r="AU635" s="61"/>
      <c r="AV635" s="61"/>
      <c r="AW635" s="61"/>
      <c r="AX635" s="61"/>
      <c r="AY635" s="61"/>
      <c r="AZ635" s="61"/>
      <c r="BA635" s="1137">
        <f>BA614+BA621+BA633</f>
        <v>35</v>
      </c>
      <c r="BB635" s="1138"/>
      <c r="BC635" s="1138"/>
      <c r="BD635" s="1138"/>
      <c r="BE635" s="1139"/>
      <c r="BF635" s="1137">
        <f>BF614+BF621+BF633</f>
        <v>19</v>
      </c>
      <c r="BG635" s="1138"/>
      <c r="BH635" s="1138"/>
      <c r="BI635" s="1138"/>
      <c r="BJ635" s="1139"/>
      <c r="BK635" s="1137">
        <f>BK614+BK621+BK633</f>
        <v>1</v>
      </c>
      <c r="BL635" s="1138"/>
      <c r="BM635" s="1138"/>
      <c r="BN635" s="1138"/>
      <c r="BO635" s="1139"/>
      <c r="BP635" s="1137">
        <f>BP614+BP621+BP633</f>
        <v>0</v>
      </c>
      <c r="BQ635" s="1138"/>
      <c r="BR635" s="1138"/>
      <c r="BS635" s="1138"/>
      <c r="BT635" s="1139"/>
      <c r="BU635" s="1137">
        <f>BU614+BU621+BU633</f>
        <v>0</v>
      </c>
      <c r="BV635" s="1138"/>
      <c r="BW635" s="1138"/>
      <c r="BX635" s="1138"/>
      <c r="BY635" s="1139"/>
      <c r="BZ635" s="1521">
        <f>BZ633+BZ621+BZ614</f>
        <v>0</v>
      </c>
      <c r="CA635" s="1529"/>
      <c r="CB635" s="1529"/>
      <c r="CC635" s="1529"/>
      <c r="CD635" s="1522"/>
      <c r="CE635" s="58"/>
      <c r="CF635" s="58"/>
      <c r="CG635" s="58"/>
      <c r="CH635" s="58"/>
      <c r="CI635" s="58"/>
      <c r="CJ635" s="58"/>
      <c r="CK635" s="58"/>
      <c r="CL635" s="58"/>
      <c r="CM635" s="58"/>
      <c r="CN635" s="58"/>
      <c r="CO635" s="58"/>
      <c r="CP635" s="58"/>
      <c r="CQ635" s="58"/>
      <c r="CR635" s="58"/>
    </row>
    <row r="636" spans="1:96" ht="12.75">
      <c r="A636" s="35"/>
      <c r="B636" s="12" t="s">
        <v>630</v>
      </c>
      <c r="G636" s="1098" t="s">
        <v>1746</v>
      </c>
      <c r="H636" s="1098"/>
      <c r="I636" s="1098"/>
      <c r="J636" s="1098"/>
      <c r="K636" s="1098"/>
      <c r="L636" s="1098"/>
      <c r="M636" s="1098"/>
      <c r="N636" s="1098"/>
      <c r="O636" s="1098"/>
      <c r="P636" s="1098"/>
      <c r="Q636" s="1098"/>
      <c r="R636" s="1098"/>
      <c r="S636" s="88"/>
      <c r="T636" s="35"/>
      <c r="U636" s="12" t="s">
        <v>630</v>
      </c>
      <c r="Z636" s="1119" t="s">
        <v>1693</v>
      </c>
      <c r="AA636" s="1119"/>
      <c r="AB636" s="1119"/>
      <c r="AC636" s="1119"/>
      <c r="AD636" s="1119"/>
      <c r="AE636" s="1119"/>
      <c r="AF636" s="1119"/>
      <c r="AG636" s="1119"/>
      <c r="AH636" s="1119"/>
      <c r="AI636" s="1119"/>
      <c r="AJ636" s="1119"/>
      <c r="AK636" s="1119"/>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8" t="s">
        <v>1747</v>
      </c>
      <c r="H637" s="1098"/>
      <c r="I637" s="1098"/>
      <c r="J637" s="1098"/>
      <c r="K637" s="1098"/>
      <c r="L637" s="1098"/>
      <c r="M637" s="1098"/>
      <c r="N637" s="1098"/>
      <c r="O637" s="1098"/>
      <c r="P637" s="1098"/>
      <c r="Q637" s="1098"/>
      <c r="R637" s="1098"/>
      <c r="S637" s="14"/>
      <c r="T637" s="35"/>
      <c r="U637" s="12" t="s">
        <v>19</v>
      </c>
      <c r="Z637" s="1125" t="s">
        <v>1694</v>
      </c>
      <c r="AA637" s="1119"/>
      <c r="AB637" s="1119"/>
      <c r="AC637" s="1119"/>
      <c r="AD637" s="1119"/>
      <c r="AE637" s="1119"/>
      <c r="AF637" s="1119"/>
      <c r="AG637" s="1119"/>
      <c r="AH637" s="1119"/>
      <c r="AI637" s="1119"/>
      <c r="AJ637" s="1119"/>
      <c r="AK637" s="1119"/>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217" t="s">
        <v>1748</v>
      </c>
      <c r="H638" s="1101"/>
      <c r="I638" s="1101"/>
      <c r="J638" s="1101"/>
      <c r="K638" s="1101"/>
      <c r="L638" s="1101"/>
      <c r="O638" s="140" t="s">
        <v>220</v>
      </c>
      <c r="P638" s="1102"/>
      <c r="Q638" s="1102"/>
      <c r="R638" s="1102"/>
      <c r="S638" s="16"/>
      <c r="T638" s="35"/>
      <c r="U638" s="12" t="s">
        <v>338</v>
      </c>
      <c r="Z638" s="1217" t="s">
        <v>1755</v>
      </c>
      <c r="AA638" s="1101"/>
      <c r="AB638" s="1101"/>
      <c r="AC638" s="1101"/>
      <c r="AD638" s="1101"/>
      <c r="AE638" s="1101"/>
      <c r="AH638" s="140" t="s">
        <v>220</v>
      </c>
      <c r="AI638" s="1102"/>
      <c r="AJ638" s="1102"/>
      <c r="AK638" s="110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6" t="s">
        <v>1754</v>
      </c>
      <c r="I639" s="1098"/>
      <c r="J639" s="1098"/>
      <c r="K639" s="1098"/>
      <c r="L639" s="1098"/>
      <c r="M639" s="1098"/>
      <c r="N639" s="1098"/>
      <c r="O639" s="1098"/>
      <c r="P639" s="1098"/>
      <c r="Q639" s="1098"/>
      <c r="R639" s="1098"/>
      <c r="S639" s="14"/>
      <c r="T639" s="35"/>
      <c r="U639" s="12" t="s">
        <v>20</v>
      </c>
      <c r="AA639" s="1096" t="s">
        <v>1756</v>
      </c>
      <c r="AB639" s="1098"/>
      <c r="AC639" s="1098"/>
      <c r="AD639" s="1098"/>
      <c r="AE639" s="1098"/>
      <c r="AF639" s="1098"/>
      <c r="AG639" s="1098"/>
      <c r="AH639" s="1098"/>
      <c r="AI639" s="1098"/>
      <c r="AJ639" s="1098"/>
      <c r="AK639" s="109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9" t="s">
        <v>591</v>
      </c>
      <c r="O640" s="1099"/>
      <c r="T640" s="35"/>
      <c r="U640" s="12" t="s">
        <v>22</v>
      </c>
      <c r="AG640" s="1099" t="s">
        <v>591</v>
      </c>
      <c r="AH640" s="1099"/>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00">
        <f>C620</f>
        <v>0</v>
      </c>
      <c r="H642" s="1100"/>
      <c r="I642" s="1100"/>
      <c r="J642" s="1100"/>
      <c r="K642" s="1100"/>
      <c r="L642" s="1100"/>
      <c r="M642" s="1100"/>
      <c r="N642" s="1100"/>
      <c r="O642" s="1100"/>
      <c r="P642" s="1100"/>
      <c r="Q642" s="1100"/>
      <c r="R642" s="1100"/>
      <c r="T642" s="87" t="s">
        <v>631</v>
      </c>
      <c r="U642" s="12" t="s">
        <v>509</v>
      </c>
      <c r="Z642" s="1100">
        <f>C621</f>
        <v>0</v>
      </c>
      <c r="AA642" s="1100"/>
      <c r="AB642" s="1100"/>
      <c r="AC642" s="1100"/>
      <c r="AD642" s="1100"/>
      <c r="AE642" s="1100"/>
      <c r="AF642" s="1100"/>
      <c r="AG642" s="1100"/>
      <c r="AH642" s="1100"/>
      <c r="AI642" s="1100"/>
      <c r="AJ642" s="1100"/>
      <c r="AK642" s="110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8"/>
      <c r="H643" s="1098"/>
      <c r="I643" s="1098"/>
      <c r="J643" s="1098"/>
      <c r="K643" s="1098"/>
      <c r="L643" s="1098"/>
      <c r="M643" s="1098"/>
      <c r="N643" s="1098"/>
      <c r="O643" s="1098"/>
      <c r="P643" s="1098"/>
      <c r="Q643" s="1098"/>
      <c r="R643" s="1098"/>
      <c r="T643" s="35"/>
      <c r="U643" s="12" t="s">
        <v>92</v>
      </c>
      <c r="Z643" s="1098"/>
      <c r="AA643" s="1098"/>
      <c r="AB643" s="1098"/>
      <c r="AC643" s="1098"/>
      <c r="AD643" s="1098"/>
      <c r="AE643" s="1098"/>
      <c r="AF643" s="1098"/>
      <c r="AG643" s="1098"/>
      <c r="AH643" s="1098"/>
      <c r="AI643" s="1098"/>
      <c r="AJ643" s="1098"/>
      <c r="AK643" s="109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19"/>
      <c r="H644" s="1119"/>
      <c r="I644" s="1119"/>
      <c r="J644" s="1119"/>
      <c r="K644" s="1119"/>
      <c r="L644" s="1119"/>
      <c r="M644" s="1119"/>
      <c r="N644" s="1119"/>
      <c r="O644" s="1119"/>
      <c r="P644" s="1119"/>
      <c r="Q644" s="1119"/>
      <c r="R644" s="1119"/>
      <c r="T644" s="35"/>
      <c r="U644" s="12" t="s">
        <v>630</v>
      </c>
      <c r="Z644" s="1119"/>
      <c r="AA644" s="1119"/>
      <c r="AB644" s="1119"/>
      <c r="AC644" s="1119"/>
      <c r="AD644" s="1119"/>
      <c r="AE644" s="1119"/>
      <c r="AF644" s="1119"/>
      <c r="AG644" s="1119"/>
      <c r="AH644" s="1119"/>
      <c r="AI644" s="1119"/>
      <c r="AJ644" s="1119"/>
      <c r="AK644" s="1119"/>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9"/>
      <c r="H645" s="1119"/>
      <c r="I645" s="1119"/>
      <c r="J645" s="1119"/>
      <c r="K645" s="1119"/>
      <c r="L645" s="1119"/>
      <c r="M645" s="1119"/>
      <c r="N645" s="1119"/>
      <c r="O645" s="1119"/>
      <c r="P645" s="1119"/>
      <c r="Q645" s="1119"/>
      <c r="R645" s="1119"/>
      <c r="T645" s="35"/>
      <c r="U645" s="12" t="s">
        <v>19</v>
      </c>
      <c r="Z645" s="1119"/>
      <c r="AA645" s="1119"/>
      <c r="AB645" s="1119"/>
      <c r="AC645" s="1119"/>
      <c r="AD645" s="1119"/>
      <c r="AE645" s="1119"/>
      <c r="AF645" s="1119"/>
      <c r="AG645" s="1119"/>
      <c r="AH645" s="1119"/>
      <c r="AI645" s="1119"/>
      <c r="AJ645" s="1119"/>
      <c r="AK645" s="1119"/>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1"/>
      <c r="H646" s="1101"/>
      <c r="I646" s="1101"/>
      <c r="J646" s="1101"/>
      <c r="K646" s="1101"/>
      <c r="L646" s="1101"/>
      <c r="O646" s="140" t="s">
        <v>220</v>
      </c>
      <c r="P646" s="1102"/>
      <c r="Q646" s="1102"/>
      <c r="R646" s="1102"/>
      <c r="T646" s="35"/>
      <c r="U646" s="12" t="s">
        <v>338</v>
      </c>
      <c r="Z646" s="1101"/>
      <c r="AA646" s="1101"/>
      <c r="AB646" s="1101"/>
      <c r="AC646" s="1101"/>
      <c r="AD646" s="1101"/>
      <c r="AE646" s="1101"/>
      <c r="AH646" s="140" t="s">
        <v>220</v>
      </c>
      <c r="AI646" s="1102"/>
      <c r="AJ646" s="1102"/>
      <c r="AK646" s="1102"/>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8"/>
      <c r="I647" s="1098"/>
      <c r="J647" s="1098"/>
      <c r="K647" s="1098"/>
      <c r="L647" s="1098"/>
      <c r="M647" s="1098"/>
      <c r="N647" s="1098"/>
      <c r="O647" s="1098"/>
      <c r="P647" s="1098"/>
      <c r="Q647" s="1098"/>
      <c r="R647" s="1098"/>
      <c r="T647" s="35"/>
      <c r="U647" s="12" t="s">
        <v>20</v>
      </c>
      <c r="AA647" s="1098"/>
      <c r="AB647" s="1098"/>
      <c r="AC647" s="1098"/>
      <c r="AD647" s="1098"/>
      <c r="AE647" s="1098"/>
      <c r="AF647" s="1098"/>
      <c r="AG647" s="1098"/>
      <c r="AH647" s="1098"/>
      <c r="AI647" s="1098"/>
      <c r="AJ647" s="1098"/>
      <c r="AK647" s="109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9" t="s">
        <v>722</v>
      </c>
      <c r="O648" s="1099"/>
      <c r="T648" s="35"/>
      <c r="U648" s="12" t="s">
        <v>22</v>
      </c>
      <c r="AG648" s="1099" t="s">
        <v>722</v>
      </c>
      <c r="AH648" s="1099"/>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1972</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00">
        <f>C622</f>
        <v>0</v>
      </c>
      <c r="H650" s="1100"/>
      <c r="I650" s="1100"/>
      <c r="J650" s="1100"/>
      <c r="K650" s="1100"/>
      <c r="L650" s="1100"/>
      <c r="M650" s="1100"/>
      <c r="N650" s="1100"/>
      <c r="O650" s="1100"/>
      <c r="P650" s="1100"/>
      <c r="Q650" s="1100"/>
      <c r="R650" s="1100"/>
      <c r="T650" s="87" t="s">
        <v>634</v>
      </c>
      <c r="U650" s="12" t="s">
        <v>509</v>
      </c>
      <c r="Z650" s="1100">
        <f>C623</f>
        <v>0</v>
      </c>
      <c r="AA650" s="1100"/>
      <c r="AB650" s="1100"/>
      <c r="AC650" s="1100"/>
      <c r="AD650" s="1100"/>
      <c r="AE650" s="1100"/>
      <c r="AF650" s="1100"/>
      <c r="AG650" s="1100"/>
      <c r="AH650" s="1100"/>
      <c r="AI650" s="1100"/>
      <c r="AJ650" s="1100"/>
      <c r="AK650" s="1100"/>
      <c r="AM650" s="58"/>
      <c r="AN650" s="463">
        <f t="shared" si="22"/>
        <v>1972</v>
      </c>
      <c r="AO650" s="58"/>
      <c r="AP650" s="58"/>
      <c r="AQ650" s="58"/>
      <c r="AR650" s="58"/>
      <c r="AS650" s="399"/>
      <c r="AT650" s="473">
        <f t="shared" ref="AT650:AT674" si="23">G709</f>
        <v>8</v>
      </c>
      <c r="AU650" s="477">
        <f>AT650/$AT$675</f>
        <v>0.14814814814814814</v>
      </c>
      <c r="AV650" s="478">
        <f t="shared" ref="AV650:AV674" si="24">IF(AU650=0," ",AU650*AD709)</f>
        <v>7.407407407407407E-2</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8"/>
      <c r="H651" s="1098"/>
      <c r="I651" s="1098"/>
      <c r="J651" s="1098"/>
      <c r="K651" s="1098"/>
      <c r="L651" s="1098"/>
      <c r="M651" s="1098"/>
      <c r="N651" s="1098"/>
      <c r="O651" s="1098"/>
      <c r="P651" s="1098"/>
      <c r="Q651" s="1098"/>
      <c r="R651" s="1098"/>
      <c r="T651" s="35"/>
      <c r="U651" s="12" t="s">
        <v>92</v>
      </c>
      <c r="Z651" s="1098"/>
      <c r="AA651" s="1098"/>
      <c r="AB651" s="1098"/>
      <c r="AC651" s="1098"/>
      <c r="AD651" s="1098"/>
      <c r="AE651" s="1098"/>
      <c r="AF651" s="1098"/>
      <c r="AG651" s="1098"/>
      <c r="AH651" s="1098"/>
      <c r="AI651" s="1098"/>
      <c r="AJ651" s="1098"/>
      <c r="AK651" s="1098"/>
      <c r="AM651" s="58"/>
      <c r="AN651" s="463">
        <f t="shared" si="22"/>
        <v>2112</v>
      </c>
      <c r="AO651" s="58"/>
      <c r="AP651" s="58"/>
      <c r="AQ651" s="58"/>
      <c r="AR651" s="58"/>
      <c r="AS651" s="399"/>
      <c r="AT651" s="474">
        <f t="shared" si="23"/>
        <v>27</v>
      </c>
      <c r="AU651" s="477">
        <f t="shared" ref="AU651:AU674" si="25">AT651/$AT$675</f>
        <v>0.5</v>
      </c>
      <c r="AV651" s="478">
        <f t="shared" si="24"/>
        <v>0.25</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8"/>
      <c r="H652" s="1098"/>
      <c r="I652" s="1098"/>
      <c r="J652" s="1098"/>
      <c r="K652" s="1098"/>
      <c r="L652" s="1098"/>
      <c r="M652" s="1098"/>
      <c r="N652" s="1098"/>
      <c r="O652" s="1098"/>
      <c r="P652" s="1098"/>
      <c r="Q652" s="1098"/>
      <c r="R652" s="1098"/>
      <c r="T652" s="35"/>
      <c r="U652" s="12" t="s">
        <v>630</v>
      </c>
      <c r="Z652" s="1119"/>
      <c r="AA652" s="1119"/>
      <c r="AB652" s="1119"/>
      <c r="AC652" s="1119"/>
      <c r="AD652" s="1119"/>
      <c r="AE652" s="1119"/>
      <c r="AF652" s="1119"/>
      <c r="AG652" s="1119"/>
      <c r="AH652" s="1119"/>
      <c r="AI652" s="1119"/>
      <c r="AJ652" s="1119"/>
      <c r="AK652" s="1119"/>
      <c r="AM652" s="58"/>
      <c r="AN652" s="463">
        <f t="shared" si="22"/>
        <v>2112</v>
      </c>
      <c r="AO652" s="58"/>
      <c r="AP652" s="58"/>
      <c r="AQ652" s="58"/>
      <c r="AR652" s="58"/>
      <c r="AS652" s="399"/>
      <c r="AT652" s="474">
        <f t="shared" si="23"/>
        <v>15</v>
      </c>
      <c r="AU652" s="477">
        <f t="shared" si="25"/>
        <v>0.27777777777777779</v>
      </c>
      <c r="AV652" s="478">
        <f t="shared" si="24"/>
        <v>0.1388888888888889</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8"/>
      <c r="H653" s="1098"/>
      <c r="I653" s="1098"/>
      <c r="J653" s="1098"/>
      <c r="K653" s="1098"/>
      <c r="L653" s="1098"/>
      <c r="M653" s="1098"/>
      <c r="N653" s="1098"/>
      <c r="O653" s="1098"/>
      <c r="P653" s="1098"/>
      <c r="Q653" s="1098"/>
      <c r="R653" s="1098"/>
      <c r="T653" s="35"/>
      <c r="U653" s="12" t="s">
        <v>19</v>
      </c>
      <c r="Z653" s="1119"/>
      <c r="AA653" s="1119"/>
      <c r="AB653" s="1119"/>
      <c r="AC653" s="1119"/>
      <c r="AD653" s="1119"/>
      <c r="AE653" s="1119"/>
      <c r="AF653" s="1119"/>
      <c r="AG653" s="1119"/>
      <c r="AH653" s="1119"/>
      <c r="AI653" s="1119"/>
      <c r="AJ653" s="1119"/>
      <c r="AK653" s="1119"/>
      <c r="AM653" s="58"/>
      <c r="AN653" s="463" t="str">
        <f t="shared" si="22"/>
        <v>N/A</v>
      </c>
      <c r="AO653" s="58"/>
      <c r="AP653" s="58"/>
      <c r="AQ653" s="58"/>
      <c r="AR653" s="58"/>
      <c r="AS653" s="399"/>
      <c r="AT653" s="474">
        <f t="shared" si="23"/>
        <v>4</v>
      </c>
      <c r="AU653" s="477">
        <f t="shared" si="25"/>
        <v>7.407407407407407E-2</v>
      </c>
      <c r="AV653" s="478">
        <f t="shared" si="24"/>
        <v>3.7037037037037035E-2</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1"/>
      <c r="H654" s="1101"/>
      <c r="I654" s="1101"/>
      <c r="J654" s="1101"/>
      <c r="K654" s="1101"/>
      <c r="L654" s="1101"/>
      <c r="O654" s="140" t="s">
        <v>220</v>
      </c>
      <c r="P654" s="1102"/>
      <c r="Q654" s="1102"/>
      <c r="R654" s="1102"/>
      <c r="T654" s="35"/>
      <c r="U654" s="12" t="s">
        <v>338</v>
      </c>
      <c r="Z654" s="1101"/>
      <c r="AA654" s="1101"/>
      <c r="AB654" s="1101"/>
      <c r="AC654" s="1101"/>
      <c r="AD654" s="1101"/>
      <c r="AE654" s="1101"/>
      <c r="AH654" s="140" t="s">
        <v>220</v>
      </c>
      <c r="AI654" s="1102"/>
      <c r="AJ654" s="1102"/>
      <c r="AK654" s="1102"/>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8"/>
      <c r="I655" s="1098"/>
      <c r="J655" s="1098"/>
      <c r="K655" s="1098"/>
      <c r="L655" s="1098"/>
      <c r="M655" s="1098"/>
      <c r="N655" s="1098"/>
      <c r="O655" s="1098"/>
      <c r="P655" s="1098"/>
      <c r="Q655" s="1098"/>
      <c r="R655" s="1098"/>
      <c r="T655" s="35"/>
      <c r="U655" s="12" t="s">
        <v>20</v>
      </c>
      <c r="AA655" s="1098"/>
      <c r="AB655" s="1098"/>
      <c r="AC655" s="1098"/>
      <c r="AD655" s="1098"/>
      <c r="AE655" s="1098"/>
      <c r="AF655" s="1098"/>
      <c r="AG655" s="1098"/>
      <c r="AH655" s="1098"/>
      <c r="AI655" s="1098"/>
      <c r="AJ655" s="1098"/>
      <c r="AK655" s="1098"/>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9" t="s">
        <v>722</v>
      </c>
      <c r="O656" s="1099"/>
      <c r="T656" s="35"/>
      <c r="U656" s="12" t="s">
        <v>22</v>
      </c>
      <c r="AG656" s="1099" t="s">
        <v>722</v>
      </c>
      <c r="AH656" s="1099"/>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00">
        <f>C624</f>
        <v>0</v>
      </c>
      <c r="H658" s="1100"/>
      <c r="I658" s="1100"/>
      <c r="J658" s="1100"/>
      <c r="K658" s="1100"/>
      <c r="L658" s="1100"/>
      <c r="M658" s="1100"/>
      <c r="N658" s="1100"/>
      <c r="O658" s="1100"/>
      <c r="P658" s="1100"/>
      <c r="Q658" s="1100"/>
      <c r="R658" s="1100"/>
      <c r="T658" s="87" t="s">
        <v>501</v>
      </c>
      <c r="U658" s="12" t="s">
        <v>509</v>
      </c>
      <c r="Z658" s="1100">
        <f>C625</f>
        <v>0</v>
      </c>
      <c r="AA658" s="1100"/>
      <c r="AB658" s="1100"/>
      <c r="AC658" s="1100"/>
      <c r="AD658" s="1100"/>
      <c r="AE658" s="1100"/>
      <c r="AF658" s="1100"/>
      <c r="AG658" s="1100"/>
      <c r="AH658" s="1100"/>
      <c r="AI658" s="1100"/>
      <c r="AJ658" s="1100"/>
      <c r="AK658" s="1100"/>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8"/>
      <c r="H659" s="1098"/>
      <c r="I659" s="1098"/>
      <c r="J659" s="1098"/>
      <c r="K659" s="1098"/>
      <c r="L659" s="1098"/>
      <c r="M659" s="1098"/>
      <c r="N659" s="1098"/>
      <c r="O659" s="1098"/>
      <c r="P659" s="1098"/>
      <c r="Q659" s="1098"/>
      <c r="R659" s="1098"/>
      <c r="T659" s="35"/>
      <c r="U659" s="12" t="s">
        <v>92</v>
      </c>
      <c r="Z659" s="1098"/>
      <c r="AA659" s="1098"/>
      <c r="AB659" s="1098"/>
      <c r="AC659" s="1098"/>
      <c r="AD659" s="1098"/>
      <c r="AE659" s="1098"/>
      <c r="AF659" s="1098"/>
      <c r="AG659" s="1098"/>
      <c r="AH659" s="1098"/>
      <c r="AI659" s="1098"/>
      <c r="AJ659" s="1098"/>
      <c r="AK659" s="1098"/>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8"/>
      <c r="H660" s="1098"/>
      <c r="I660" s="1098"/>
      <c r="J660" s="1098"/>
      <c r="K660" s="1098"/>
      <c r="L660" s="1098"/>
      <c r="M660" s="1098"/>
      <c r="N660" s="1098"/>
      <c r="O660" s="1098"/>
      <c r="P660" s="1098"/>
      <c r="Q660" s="1098"/>
      <c r="R660" s="1098"/>
      <c r="T660" s="35"/>
      <c r="U660" s="12" t="s">
        <v>630</v>
      </c>
      <c r="Z660" s="1119"/>
      <c r="AA660" s="1119"/>
      <c r="AB660" s="1119"/>
      <c r="AC660" s="1119"/>
      <c r="AD660" s="1119"/>
      <c r="AE660" s="1119"/>
      <c r="AF660" s="1119"/>
      <c r="AG660" s="1119"/>
      <c r="AH660" s="1119"/>
      <c r="AI660" s="1119"/>
      <c r="AJ660" s="1119"/>
      <c r="AK660" s="1119"/>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8"/>
      <c r="H661" s="1098"/>
      <c r="I661" s="1098"/>
      <c r="J661" s="1098"/>
      <c r="K661" s="1098"/>
      <c r="L661" s="1098"/>
      <c r="M661" s="1098"/>
      <c r="N661" s="1098"/>
      <c r="O661" s="1098"/>
      <c r="P661" s="1098"/>
      <c r="Q661" s="1098"/>
      <c r="R661" s="1098"/>
      <c r="T661" s="35"/>
      <c r="U661" s="12" t="s">
        <v>19</v>
      </c>
      <c r="Z661" s="1119"/>
      <c r="AA661" s="1119"/>
      <c r="AB661" s="1119"/>
      <c r="AC661" s="1119"/>
      <c r="AD661" s="1119"/>
      <c r="AE661" s="1119"/>
      <c r="AF661" s="1119"/>
      <c r="AG661" s="1119"/>
      <c r="AH661" s="1119"/>
      <c r="AI661" s="1119"/>
      <c r="AJ661" s="1119"/>
      <c r="AK661" s="1119"/>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1"/>
      <c r="H662" s="1101"/>
      <c r="I662" s="1101"/>
      <c r="J662" s="1101"/>
      <c r="K662" s="1101"/>
      <c r="L662" s="1101"/>
      <c r="O662" s="140" t="s">
        <v>220</v>
      </c>
      <c r="P662" s="1102"/>
      <c r="Q662" s="1102"/>
      <c r="R662" s="1102"/>
      <c r="T662" s="35"/>
      <c r="U662" s="12" t="s">
        <v>338</v>
      </c>
      <c r="Z662" s="1101"/>
      <c r="AA662" s="1101"/>
      <c r="AB662" s="1101"/>
      <c r="AC662" s="1101"/>
      <c r="AD662" s="1101"/>
      <c r="AE662" s="1101"/>
      <c r="AH662" s="140" t="s">
        <v>220</v>
      </c>
      <c r="AI662" s="1102"/>
      <c r="AJ662" s="1102"/>
      <c r="AK662" s="1102"/>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8"/>
      <c r="I663" s="1098"/>
      <c r="J663" s="1098"/>
      <c r="K663" s="1098"/>
      <c r="L663" s="1098"/>
      <c r="M663" s="1098"/>
      <c r="N663" s="1098"/>
      <c r="O663" s="1098"/>
      <c r="P663" s="1098"/>
      <c r="Q663" s="1098"/>
      <c r="R663" s="1098"/>
      <c r="T663" s="35"/>
      <c r="U663" s="12" t="s">
        <v>20</v>
      </c>
      <c r="AA663" s="1098"/>
      <c r="AB663" s="1098"/>
      <c r="AC663" s="1098"/>
      <c r="AD663" s="1098"/>
      <c r="AE663" s="1098"/>
      <c r="AF663" s="1098"/>
      <c r="AG663" s="1098"/>
      <c r="AH663" s="1098"/>
      <c r="AI663" s="1098"/>
      <c r="AJ663" s="1098"/>
      <c r="AK663" s="1098"/>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9" t="s">
        <v>722</v>
      </c>
      <c r="O664" s="1099"/>
      <c r="T664" s="35"/>
      <c r="U664" s="12" t="s">
        <v>22</v>
      </c>
      <c r="AG664" s="1099" t="s">
        <v>722</v>
      </c>
      <c r="AH664" s="1099"/>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00">
        <f>C626</f>
        <v>0</v>
      </c>
      <c r="H666" s="1100"/>
      <c r="I666" s="1100"/>
      <c r="J666" s="1100"/>
      <c r="K666" s="1100"/>
      <c r="L666" s="1100"/>
      <c r="M666" s="1100"/>
      <c r="N666" s="1100"/>
      <c r="O666" s="1100"/>
      <c r="P666" s="1100"/>
      <c r="Q666" s="1100"/>
      <c r="R666" s="1100"/>
      <c r="T666" s="87" t="s">
        <v>696</v>
      </c>
      <c r="U666" s="12" t="s">
        <v>509</v>
      </c>
      <c r="Z666" s="1100">
        <f>C627</f>
        <v>0</v>
      </c>
      <c r="AA666" s="1100"/>
      <c r="AB666" s="1100"/>
      <c r="AC666" s="1100"/>
      <c r="AD666" s="1100"/>
      <c r="AE666" s="1100"/>
      <c r="AF666" s="1100"/>
      <c r="AG666" s="1100"/>
      <c r="AH666" s="1100"/>
      <c r="AI666" s="1100"/>
      <c r="AJ666" s="1100"/>
      <c r="AK666" s="1100"/>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8"/>
      <c r="H667" s="1098"/>
      <c r="I667" s="1098"/>
      <c r="J667" s="1098"/>
      <c r="K667" s="1098"/>
      <c r="L667" s="1098"/>
      <c r="M667" s="1098"/>
      <c r="N667" s="1098"/>
      <c r="O667" s="1098"/>
      <c r="P667" s="1098"/>
      <c r="Q667" s="1098"/>
      <c r="R667" s="1098"/>
      <c r="T667" s="35"/>
      <c r="U667" s="12" t="s">
        <v>92</v>
      </c>
      <c r="Z667" s="1098"/>
      <c r="AA667" s="1098"/>
      <c r="AB667" s="1098"/>
      <c r="AC667" s="1098"/>
      <c r="AD667" s="1098"/>
      <c r="AE667" s="1098"/>
      <c r="AF667" s="1098"/>
      <c r="AG667" s="1098"/>
      <c r="AH667" s="1098"/>
      <c r="AI667" s="1098"/>
      <c r="AJ667" s="1098"/>
      <c r="AK667" s="1098"/>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8"/>
      <c r="H668" s="1098"/>
      <c r="I668" s="1098"/>
      <c r="J668" s="1098"/>
      <c r="K668" s="1098"/>
      <c r="L668" s="1098"/>
      <c r="M668" s="1098"/>
      <c r="N668" s="1098"/>
      <c r="O668" s="1098"/>
      <c r="P668" s="1098"/>
      <c r="Q668" s="1098"/>
      <c r="R668" s="1098"/>
      <c r="T668" s="35"/>
      <c r="U668" s="12" t="s">
        <v>630</v>
      </c>
      <c r="Z668" s="1119"/>
      <c r="AA668" s="1119"/>
      <c r="AB668" s="1119"/>
      <c r="AC668" s="1119"/>
      <c r="AD668" s="1119"/>
      <c r="AE668" s="1119"/>
      <c r="AF668" s="1119"/>
      <c r="AG668" s="1119"/>
      <c r="AH668" s="1119"/>
      <c r="AI668" s="1119"/>
      <c r="AJ668" s="1119"/>
      <c r="AK668" s="1119"/>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8"/>
      <c r="H669" s="1098"/>
      <c r="I669" s="1098"/>
      <c r="J669" s="1098"/>
      <c r="K669" s="1098"/>
      <c r="L669" s="1098"/>
      <c r="M669" s="1098"/>
      <c r="N669" s="1098"/>
      <c r="O669" s="1098"/>
      <c r="P669" s="1098"/>
      <c r="Q669" s="1098"/>
      <c r="R669" s="1098"/>
      <c r="T669" s="35"/>
      <c r="U669" s="12" t="s">
        <v>19</v>
      </c>
      <c r="Z669" s="1119"/>
      <c r="AA669" s="1119"/>
      <c r="AB669" s="1119"/>
      <c r="AC669" s="1119"/>
      <c r="AD669" s="1119"/>
      <c r="AE669" s="1119"/>
      <c r="AF669" s="1119"/>
      <c r="AG669" s="1119"/>
      <c r="AH669" s="1119"/>
      <c r="AI669" s="1119"/>
      <c r="AJ669" s="1119"/>
      <c r="AK669" s="1119"/>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1"/>
      <c r="H670" s="1101"/>
      <c r="I670" s="1101"/>
      <c r="J670" s="1101"/>
      <c r="K670" s="1101"/>
      <c r="L670" s="1101"/>
      <c r="O670" s="140" t="s">
        <v>220</v>
      </c>
      <c r="P670" s="1102"/>
      <c r="Q670" s="1102"/>
      <c r="R670" s="1102"/>
      <c r="T670" s="35"/>
      <c r="U670" s="12" t="s">
        <v>338</v>
      </c>
      <c r="Z670" s="1101"/>
      <c r="AA670" s="1101"/>
      <c r="AB670" s="1101"/>
      <c r="AC670" s="1101"/>
      <c r="AD670" s="1101"/>
      <c r="AE670" s="1101"/>
      <c r="AH670" s="140" t="s">
        <v>220</v>
      </c>
      <c r="AI670" s="1102"/>
      <c r="AJ670" s="1102"/>
      <c r="AK670" s="1102"/>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8"/>
      <c r="I671" s="1098"/>
      <c r="J671" s="1098"/>
      <c r="K671" s="1098"/>
      <c r="L671" s="1098"/>
      <c r="M671" s="1098"/>
      <c r="N671" s="1098"/>
      <c r="O671" s="1098"/>
      <c r="P671" s="1098"/>
      <c r="Q671" s="1098"/>
      <c r="R671" s="1098"/>
      <c r="T671" s="35"/>
      <c r="U671" s="12" t="s">
        <v>20</v>
      </c>
      <c r="AA671" s="1098"/>
      <c r="AB671" s="1098"/>
      <c r="AC671" s="1098"/>
      <c r="AD671" s="1098"/>
      <c r="AE671" s="1098"/>
      <c r="AF671" s="1098"/>
      <c r="AG671" s="1098"/>
      <c r="AH671" s="1098"/>
      <c r="AI671" s="1098"/>
      <c r="AJ671" s="1098"/>
      <c r="AK671" s="1098"/>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9" t="s">
        <v>722</v>
      </c>
      <c r="O672" s="1099"/>
      <c r="T672" s="35"/>
      <c r="U672" s="12" t="s">
        <v>22</v>
      </c>
      <c r="AG672" s="1099" t="s">
        <v>722</v>
      </c>
      <c r="AH672" s="1099"/>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00">
        <f>C628</f>
        <v>0</v>
      </c>
      <c r="H674" s="1100"/>
      <c r="I674" s="1100"/>
      <c r="J674" s="1100"/>
      <c r="K674" s="1100"/>
      <c r="L674" s="1100"/>
      <c r="M674" s="1100"/>
      <c r="N674" s="1100"/>
      <c r="O674" s="1100"/>
      <c r="P674" s="1100"/>
      <c r="Q674" s="1100"/>
      <c r="R674" s="1100"/>
      <c r="T674" s="87" t="s">
        <v>387</v>
      </c>
      <c r="U674" s="12" t="s">
        <v>509</v>
      </c>
      <c r="Z674" s="1100">
        <f>C629</f>
        <v>0</v>
      </c>
      <c r="AA674" s="1100"/>
      <c r="AB674" s="1100"/>
      <c r="AC674" s="1100"/>
      <c r="AD674" s="1100"/>
      <c r="AE674" s="1100"/>
      <c r="AF674" s="1100"/>
      <c r="AG674" s="1100"/>
      <c r="AH674" s="1100"/>
      <c r="AI674" s="1100"/>
      <c r="AJ674" s="1100"/>
      <c r="AK674" s="1100"/>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8"/>
      <c r="H675" s="1098"/>
      <c r="I675" s="1098"/>
      <c r="J675" s="1098"/>
      <c r="K675" s="1098"/>
      <c r="L675" s="1098"/>
      <c r="M675" s="1098"/>
      <c r="N675" s="1098"/>
      <c r="O675" s="1098"/>
      <c r="P675" s="1098"/>
      <c r="Q675" s="1098"/>
      <c r="R675" s="1098"/>
      <c r="T675" s="35"/>
      <c r="U675" s="12" t="s">
        <v>92</v>
      </c>
      <c r="Z675" s="1098"/>
      <c r="AA675" s="1098"/>
      <c r="AB675" s="1098"/>
      <c r="AC675" s="1098"/>
      <c r="AD675" s="1098"/>
      <c r="AE675" s="1098"/>
      <c r="AF675" s="1098"/>
      <c r="AG675" s="1098"/>
      <c r="AH675" s="1098"/>
      <c r="AI675" s="1098"/>
      <c r="AJ675" s="1098"/>
      <c r="AK675" s="1098"/>
      <c r="AM675" s="58"/>
      <c r="AN675" s="58"/>
      <c r="AO675" s="58"/>
      <c r="AP675" s="58"/>
      <c r="AQ675" s="58"/>
      <c r="AS675" s="470" t="s">
        <v>997</v>
      </c>
      <c r="AT675" s="479">
        <f>SUM(AT650:AT674)</f>
        <v>54</v>
      </c>
      <c r="AU675" s="480">
        <f>SUM(AU650:AU674)</f>
        <v>1</v>
      </c>
      <c r="AV675" s="480">
        <f>SUM(AV650:AV674)</f>
        <v>0.5</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8"/>
      <c r="H676" s="1098"/>
      <c r="I676" s="1098"/>
      <c r="J676" s="1098"/>
      <c r="K676" s="1098"/>
      <c r="L676" s="1098"/>
      <c r="M676" s="1098"/>
      <c r="N676" s="1098"/>
      <c r="O676" s="1098"/>
      <c r="P676" s="1098"/>
      <c r="Q676" s="1098"/>
      <c r="R676" s="1098"/>
      <c r="U676" s="12" t="s">
        <v>630</v>
      </c>
      <c r="Z676" s="1119"/>
      <c r="AA676" s="1119"/>
      <c r="AB676" s="1119"/>
      <c r="AC676" s="1119"/>
      <c r="AD676" s="1119"/>
      <c r="AE676" s="1119"/>
      <c r="AF676" s="1119"/>
      <c r="AG676" s="1119"/>
      <c r="AH676" s="1119"/>
      <c r="AI676" s="1119"/>
      <c r="AJ676" s="1119"/>
      <c r="AK676" s="1119"/>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8"/>
      <c r="H677" s="1098"/>
      <c r="I677" s="1098"/>
      <c r="J677" s="1098"/>
      <c r="K677" s="1098"/>
      <c r="L677" s="1098"/>
      <c r="M677" s="1098"/>
      <c r="N677" s="1098"/>
      <c r="O677" s="1098"/>
      <c r="P677" s="1098"/>
      <c r="Q677" s="1098"/>
      <c r="R677" s="1098"/>
      <c r="U677" s="12" t="s">
        <v>19</v>
      </c>
      <c r="Z677" s="1119"/>
      <c r="AA677" s="1119"/>
      <c r="AB677" s="1119"/>
      <c r="AC677" s="1119"/>
      <c r="AD677" s="1119"/>
      <c r="AE677" s="1119"/>
      <c r="AF677" s="1119"/>
      <c r="AG677" s="1119"/>
      <c r="AH677" s="1119"/>
      <c r="AI677" s="1119"/>
      <c r="AJ677" s="1119"/>
      <c r="AK677" s="1119"/>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1"/>
      <c r="H678" s="1101"/>
      <c r="I678" s="1101"/>
      <c r="J678" s="1101"/>
      <c r="K678" s="1101"/>
      <c r="L678" s="1101"/>
      <c r="O678" s="140" t="s">
        <v>220</v>
      </c>
      <c r="P678" s="1102"/>
      <c r="Q678" s="1102"/>
      <c r="R678" s="1102"/>
      <c r="U678" s="12" t="s">
        <v>338</v>
      </c>
      <c r="Z678" s="1101"/>
      <c r="AA678" s="1101"/>
      <c r="AB678" s="1101"/>
      <c r="AC678" s="1101"/>
      <c r="AD678" s="1101"/>
      <c r="AE678" s="1101"/>
      <c r="AH678" s="140" t="s">
        <v>220</v>
      </c>
      <c r="AI678" s="1102"/>
      <c r="AJ678" s="1102"/>
      <c r="AK678" s="1102"/>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8"/>
      <c r="I679" s="1098"/>
      <c r="J679" s="1098"/>
      <c r="K679" s="1098"/>
      <c r="L679" s="1098"/>
      <c r="M679" s="1098"/>
      <c r="N679" s="1098"/>
      <c r="O679" s="1098"/>
      <c r="P679" s="1098"/>
      <c r="Q679" s="1098"/>
      <c r="R679" s="1098"/>
      <c r="U679" s="12" t="s">
        <v>20</v>
      </c>
      <c r="AA679" s="1098"/>
      <c r="AB679" s="1098"/>
      <c r="AC679" s="1098"/>
      <c r="AD679" s="1098"/>
      <c r="AE679" s="1098"/>
      <c r="AF679" s="1098"/>
      <c r="AG679" s="1098"/>
      <c r="AH679" s="1098"/>
      <c r="AI679" s="1098"/>
      <c r="AJ679" s="1098"/>
      <c r="AK679" s="1098"/>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9" t="s">
        <v>722</v>
      </c>
      <c r="O680" s="1099"/>
      <c r="U680" s="12" t="s">
        <v>22</v>
      </c>
      <c r="AG680" s="1099" t="s">
        <v>722</v>
      </c>
      <c r="AH680" s="1099"/>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9" t="s">
        <v>591</v>
      </c>
      <c r="AF684" s="1099"/>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9" t="s">
        <v>722</v>
      </c>
      <c r="AF685" s="1099"/>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4">
        <v>44098</v>
      </c>
      <c r="AF686" s="1424"/>
      <c r="AG686" s="1424"/>
      <c r="AH686" s="1424"/>
      <c r="AI686" s="1424"/>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5">
        <v>44174</v>
      </c>
      <c r="AF687" s="1425"/>
      <c r="AG687" s="1425"/>
      <c r="AH687" s="1425"/>
      <c r="AI687" s="1425"/>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4">
        <v>44287</v>
      </c>
      <c r="AF689" s="1424"/>
      <c r="AG689" s="1424"/>
      <c r="AH689" s="1424"/>
      <c r="AI689" s="1424"/>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6">
        <v>0.59770000000000001</v>
      </c>
      <c r="AF690" s="1426"/>
      <c r="AG690" s="1426"/>
      <c r="AH690" s="1426"/>
      <c r="AI690" s="1426"/>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0" t="str">
        <f>H330</f>
        <v>City of Los Angeles (HCIDLA)</v>
      </c>
      <c r="X691" s="1100"/>
      <c r="Y691" s="1100"/>
      <c r="Z691" s="1100"/>
      <c r="AA691" s="1100"/>
      <c r="AB691" s="1100"/>
      <c r="AC691" s="1100"/>
      <c r="AD691" s="1100"/>
      <c r="AE691" s="1100"/>
      <c r="AF691" s="1100"/>
      <c r="AG691" s="1100"/>
      <c r="AH691" s="1100"/>
      <c r="AI691" s="1100"/>
      <c r="AJ691" s="1100"/>
      <c r="AK691" s="1100"/>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9" t="s">
        <v>722</v>
      </c>
      <c r="AF693" s="1099"/>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6" t="s">
        <v>641</v>
      </c>
      <c r="X694" s="1098"/>
      <c r="Y694" s="1098"/>
      <c r="Z694" s="1098"/>
      <c r="AA694" s="1098"/>
      <c r="AB694" s="1098"/>
      <c r="AC694" s="1098"/>
      <c r="AD694" s="1098"/>
      <c r="AE694" s="1098"/>
      <c r="AF694" s="1098"/>
      <c r="AG694" s="1098"/>
      <c r="AH694" s="1098"/>
      <c r="AI694" s="1098"/>
      <c r="AJ694" s="1098"/>
      <c r="AK694" s="1098"/>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6" t="s">
        <v>641</v>
      </c>
      <c r="K695" s="1098"/>
      <c r="L695" s="1098"/>
      <c r="M695" s="1098"/>
      <c r="N695" s="1098"/>
      <c r="O695" s="1098"/>
      <c r="P695" s="1098"/>
      <c r="Q695" s="1098"/>
      <c r="R695" s="1098"/>
      <c r="S695" s="1098"/>
      <c r="T695" s="1098"/>
      <c r="U695" s="1098"/>
      <c r="V695" s="1098"/>
      <c r="W695" s="1098"/>
      <c r="X695" s="109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217" t="s">
        <v>641</v>
      </c>
      <c r="K696" s="1101"/>
      <c r="L696" s="1101"/>
      <c r="M696" s="1101"/>
      <c r="N696" s="1101"/>
      <c r="O696" s="1101"/>
      <c r="P696" s="7" t="s">
        <v>220</v>
      </c>
      <c r="Q696" s="7"/>
      <c r="R696" s="1125" t="s">
        <v>641</v>
      </c>
      <c r="S696" s="1102"/>
      <c r="T696" s="1102"/>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8" t="s">
        <v>329</v>
      </c>
      <c r="X697" s="1098"/>
      <c r="Y697" s="1098"/>
      <c r="Z697" s="1098"/>
      <c r="AA697" s="1098"/>
      <c r="AB697" s="1098"/>
      <c r="AC697" s="1098"/>
      <c r="AD697" s="1098"/>
      <c r="AE697" s="1098"/>
      <c r="AF697" s="1098"/>
      <c r="AG697" s="1098"/>
      <c r="AH697" s="1098"/>
      <c r="AI697" s="1098"/>
      <c r="AJ697" s="1098"/>
      <c r="AK697" s="1098"/>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8" t="s">
        <v>357</v>
      </c>
      <c r="F698" s="1098"/>
      <c r="G698" s="1098"/>
      <c r="H698" s="1098"/>
      <c r="I698" s="1098"/>
      <c r="J698" s="1098"/>
      <c r="K698" s="1098"/>
      <c r="L698" s="1098"/>
      <c r="M698" s="1098"/>
      <c r="N698" s="1098"/>
      <c r="O698" s="1098"/>
      <c r="P698" s="1098"/>
      <c r="Q698" s="1098"/>
      <c r="R698" s="1098"/>
      <c r="S698" s="1098"/>
      <c r="T698" s="1098"/>
      <c r="U698" s="1098"/>
      <c r="V698" s="1098"/>
      <c r="W698" s="1098"/>
      <c r="X698" s="1098"/>
      <c r="Y698" s="1098"/>
      <c r="Z698" s="1098"/>
      <c r="AA698" s="1098"/>
      <c r="AB698" s="1098"/>
      <c r="AC698" s="1098"/>
      <c r="AD698" s="1098"/>
      <c r="AE698" s="1098"/>
      <c r="AF698" s="1098"/>
      <c r="AG698" s="1098"/>
      <c r="AH698" s="1098"/>
      <c r="AI698" s="1098"/>
      <c r="AJ698" s="1098"/>
      <c r="AK698" s="1098"/>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2" t="s">
        <v>102</v>
      </c>
      <c r="B700" s="1112"/>
      <c r="C700" s="1112"/>
      <c r="D700" s="1112"/>
      <c r="E700" s="1112"/>
      <c r="F700" s="1112"/>
      <c r="G700" s="1112"/>
      <c r="H700" s="1112"/>
      <c r="I700" s="1112"/>
      <c r="J700" s="1112"/>
      <c r="K700" s="1112"/>
      <c r="L700" s="1112"/>
      <c r="M700" s="1112"/>
      <c r="N700" s="1112"/>
      <c r="O700" s="1112"/>
      <c r="P700" s="1112"/>
      <c r="Q700" s="1112"/>
      <c r="R700" s="1112"/>
      <c r="S700" s="1112"/>
      <c r="T700" s="1112"/>
      <c r="U700" s="1112"/>
      <c r="V700" s="1112"/>
      <c r="W700" s="1112"/>
      <c r="X700" s="1112"/>
      <c r="Y700" s="1112"/>
      <c r="Z700" s="1112"/>
      <c r="AA700" s="1112"/>
      <c r="AB700" s="1112"/>
      <c r="AC700" s="1112"/>
      <c r="AD700" s="1112"/>
      <c r="AE700" s="1112"/>
      <c r="AF700" s="1112"/>
      <c r="AG700" s="1112"/>
      <c r="AH700" s="1112"/>
      <c r="AI700" s="1112"/>
      <c r="AJ700" s="1112"/>
      <c r="AK700" s="1112"/>
      <c r="AL700" s="1112"/>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9"/>
      <c r="B701" s="959"/>
      <c r="C701" s="959"/>
      <c r="D701" s="959"/>
      <c r="E701" s="959"/>
      <c r="F701" s="959"/>
      <c r="G701" s="959"/>
      <c r="H701" s="959"/>
      <c r="I701" s="959"/>
      <c r="J701" s="959"/>
      <c r="K701" s="959"/>
      <c r="L701" s="959"/>
      <c r="M701" s="959"/>
      <c r="N701" s="959"/>
      <c r="O701" s="959"/>
      <c r="P701" s="959"/>
      <c r="Q701" s="959"/>
      <c r="R701" s="959"/>
      <c r="S701" s="959"/>
      <c r="T701" s="959"/>
      <c r="U701" s="959"/>
      <c r="V701" s="959"/>
      <c r="W701" s="959"/>
      <c r="X701" s="959"/>
      <c r="Y701" s="959"/>
      <c r="Z701" s="959"/>
      <c r="AA701" s="959"/>
      <c r="AB701" s="959"/>
      <c r="AC701" s="959"/>
      <c r="AD701" s="959"/>
      <c r="AE701" s="959"/>
      <c r="AF701" s="959"/>
      <c r="AG701" s="959"/>
      <c r="AH701" s="959"/>
      <c r="AI701" s="959"/>
      <c r="AJ701" s="959"/>
      <c r="AK701" s="959"/>
      <c r="AL701" s="959"/>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3" t="s">
        <v>421</v>
      </c>
      <c r="C705" s="1104"/>
      <c r="D705" s="1104"/>
      <c r="E705" s="1104"/>
      <c r="F705" s="1105"/>
      <c r="G705" s="1103" t="s">
        <v>302</v>
      </c>
      <c r="H705" s="1104"/>
      <c r="I705" s="1104"/>
      <c r="J705" s="1105"/>
      <c r="K705" s="1103" t="s">
        <v>491</v>
      </c>
      <c r="L705" s="1104"/>
      <c r="M705" s="1104"/>
      <c r="N705" s="1104"/>
      <c r="O705" s="1105"/>
      <c r="P705" s="1103" t="s">
        <v>303</v>
      </c>
      <c r="Q705" s="1104"/>
      <c r="R705" s="1104"/>
      <c r="S705" s="1104"/>
      <c r="T705" s="1105"/>
      <c r="U705" s="1103" t="s">
        <v>304</v>
      </c>
      <c r="V705" s="1104"/>
      <c r="W705" s="1104"/>
      <c r="X705" s="1105"/>
      <c r="Y705" s="1103" t="s">
        <v>305</v>
      </c>
      <c r="Z705" s="1104"/>
      <c r="AA705" s="1104"/>
      <c r="AB705" s="1104"/>
      <c r="AC705" s="1105"/>
      <c r="AD705" s="1103" t="s">
        <v>422</v>
      </c>
      <c r="AE705" s="1104"/>
      <c r="AF705" s="1104"/>
      <c r="AG705" s="1104"/>
      <c r="AH705" s="1105"/>
      <c r="AI705" s="1103" t="s">
        <v>697</v>
      </c>
      <c r="AJ705" s="1104"/>
      <c r="AK705" s="1105"/>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6"/>
      <c r="C706" s="1107"/>
      <c r="D706" s="1107"/>
      <c r="E706" s="1107"/>
      <c r="F706" s="1108"/>
      <c r="G706" s="1106"/>
      <c r="H706" s="1107"/>
      <c r="I706" s="1107"/>
      <c r="J706" s="1108"/>
      <c r="K706" s="1106"/>
      <c r="L706" s="1107"/>
      <c r="M706" s="1107"/>
      <c r="N706" s="1107"/>
      <c r="O706" s="1108"/>
      <c r="P706" s="1106"/>
      <c r="Q706" s="1107"/>
      <c r="R706" s="1107"/>
      <c r="S706" s="1107"/>
      <c r="T706" s="1108"/>
      <c r="U706" s="1106"/>
      <c r="V706" s="1107"/>
      <c r="W706" s="1107"/>
      <c r="X706" s="1108"/>
      <c r="Y706" s="1106"/>
      <c r="Z706" s="1107"/>
      <c r="AA706" s="1107"/>
      <c r="AB706" s="1107"/>
      <c r="AC706" s="1108"/>
      <c r="AD706" s="1106"/>
      <c r="AE706" s="1107"/>
      <c r="AF706" s="1107"/>
      <c r="AG706" s="1107"/>
      <c r="AH706" s="1108"/>
      <c r="AI706" s="1106"/>
      <c r="AJ706" s="1107"/>
      <c r="AK706" s="1108"/>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6"/>
      <c r="C707" s="1107"/>
      <c r="D707" s="1107"/>
      <c r="E707" s="1107"/>
      <c r="F707" s="1108"/>
      <c r="G707" s="1106"/>
      <c r="H707" s="1107"/>
      <c r="I707" s="1107"/>
      <c r="J707" s="1108"/>
      <c r="K707" s="1106"/>
      <c r="L707" s="1107"/>
      <c r="M707" s="1107"/>
      <c r="N707" s="1107"/>
      <c r="O707" s="1108"/>
      <c r="P707" s="1106"/>
      <c r="Q707" s="1107"/>
      <c r="R707" s="1107"/>
      <c r="S707" s="1107"/>
      <c r="T707" s="1108"/>
      <c r="U707" s="1106"/>
      <c r="V707" s="1107"/>
      <c r="W707" s="1107"/>
      <c r="X707" s="1108"/>
      <c r="Y707" s="1106"/>
      <c r="Z707" s="1107"/>
      <c r="AA707" s="1107"/>
      <c r="AB707" s="1107"/>
      <c r="AC707" s="1108"/>
      <c r="AD707" s="1106"/>
      <c r="AE707" s="1107"/>
      <c r="AF707" s="1107"/>
      <c r="AG707" s="1107"/>
      <c r="AH707" s="1108"/>
      <c r="AI707" s="1106"/>
      <c r="AJ707" s="1107"/>
      <c r="AK707" s="110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9"/>
      <c r="C708" s="1110"/>
      <c r="D708" s="1110"/>
      <c r="E708" s="1110"/>
      <c r="F708" s="1111"/>
      <c r="G708" s="1109"/>
      <c r="H708" s="1110"/>
      <c r="I708" s="1110"/>
      <c r="J708" s="1111"/>
      <c r="K708" s="1109"/>
      <c r="L708" s="1110"/>
      <c r="M708" s="1110"/>
      <c r="N708" s="1110"/>
      <c r="O708" s="1111"/>
      <c r="P708" s="1109"/>
      <c r="Q708" s="1110"/>
      <c r="R708" s="1110"/>
      <c r="S708" s="1110"/>
      <c r="T708" s="1111"/>
      <c r="U708" s="1109"/>
      <c r="V708" s="1110"/>
      <c r="W708" s="1110"/>
      <c r="X708" s="1111"/>
      <c r="Y708" s="1109"/>
      <c r="Z708" s="1110"/>
      <c r="AA708" s="1110"/>
      <c r="AB708" s="1110"/>
      <c r="AC708" s="1111"/>
      <c r="AD708" s="1109"/>
      <c r="AE708" s="1110"/>
      <c r="AF708" s="1110"/>
      <c r="AG708" s="1110"/>
      <c r="AH708" s="1111"/>
      <c r="AI708" s="1109"/>
      <c r="AJ708" s="1110"/>
      <c r="AK708" s="111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8" t="s">
        <v>347</v>
      </c>
      <c r="C709" s="1169"/>
      <c r="D709" s="1169"/>
      <c r="E709" s="1169"/>
      <c r="F709" s="1170"/>
      <c r="G709" s="1126">
        <v>8</v>
      </c>
      <c r="H709" s="1127"/>
      <c r="I709" s="1127"/>
      <c r="J709" s="1128"/>
      <c r="K709" s="1183">
        <v>679</v>
      </c>
      <c r="L709" s="1184"/>
      <c r="M709" s="1184"/>
      <c r="N709" s="1184"/>
      <c r="O709" s="1185"/>
      <c r="P709" s="1206">
        <f t="shared" ref="P709:P733" si="26">G709*K709</f>
        <v>5432</v>
      </c>
      <c r="Q709" s="1116"/>
      <c r="R709" s="1116"/>
      <c r="S709" s="1116"/>
      <c r="T709" s="1207"/>
      <c r="U709" s="1183"/>
      <c r="V709" s="1184"/>
      <c r="W709" s="1184"/>
      <c r="X709" s="1185"/>
      <c r="Y709" s="1206">
        <f>K709+U709</f>
        <v>679</v>
      </c>
      <c r="Z709" s="1116"/>
      <c r="AA709" s="1116"/>
      <c r="AB709" s="1116"/>
      <c r="AC709" s="1207"/>
      <c r="AD709" s="1113">
        <v>0.5</v>
      </c>
      <c r="AE709" s="1114"/>
      <c r="AF709" s="1114"/>
      <c r="AG709" s="1114"/>
      <c r="AH709" s="1115"/>
      <c r="AI709" s="1130">
        <f t="shared" ref="AI709:AI733" si="27">IF($AD709&gt;0,($Y709/$AN649), " ")</f>
        <v>0.34432048681541583</v>
      </c>
      <c r="AJ709" s="1131"/>
      <c r="AK709" s="1132"/>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8" t="s">
        <v>347</v>
      </c>
      <c r="C710" s="1169"/>
      <c r="D710" s="1169"/>
      <c r="E710" s="1169"/>
      <c r="F710" s="1170"/>
      <c r="G710" s="1126">
        <v>27</v>
      </c>
      <c r="H710" s="1127"/>
      <c r="I710" s="1127"/>
      <c r="J710" s="1128"/>
      <c r="K710" s="1183">
        <v>545</v>
      </c>
      <c r="L710" s="1184"/>
      <c r="M710" s="1184"/>
      <c r="N710" s="1184"/>
      <c r="O710" s="1185"/>
      <c r="P710" s="1206">
        <f t="shared" si="26"/>
        <v>14715</v>
      </c>
      <c r="Q710" s="1116"/>
      <c r="R710" s="1116"/>
      <c r="S710" s="1116"/>
      <c r="T710" s="1207"/>
      <c r="U710" s="1183"/>
      <c r="V710" s="1184"/>
      <c r="W710" s="1184"/>
      <c r="X710" s="1185"/>
      <c r="Y710" s="1206">
        <f t="shared" ref="Y710:Y733" si="28">K710+U710</f>
        <v>545</v>
      </c>
      <c r="Z710" s="1116"/>
      <c r="AA710" s="1116"/>
      <c r="AB710" s="1116"/>
      <c r="AC710" s="1207"/>
      <c r="AD710" s="1113">
        <v>0.5</v>
      </c>
      <c r="AE710" s="1114"/>
      <c r="AF710" s="1114"/>
      <c r="AG710" s="1114"/>
      <c r="AH710" s="1115"/>
      <c r="AI710" s="1130">
        <f t="shared" si="27"/>
        <v>0.27636916835699799</v>
      </c>
      <c r="AJ710" s="1131"/>
      <c r="AK710" s="1132"/>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8" t="s">
        <v>348</v>
      </c>
      <c r="C711" s="1169"/>
      <c r="D711" s="1169"/>
      <c r="E711" s="1169"/>
      <c r="F711" s="1170"/>
      <c r="G711" s="1126">
        <v>15</v>
      </c>
      <c r="H711" s="1127"/>
      <c r="I711" s="1127"/>
      <c r="J711" s="1128"/>
      <c r="K711" s="1183">
        <v>545</v>
      </c>
      <c r="L711" s="1184"/>
      <c r="M711" s="1184"/>
      <c r="N711" s="1184"/>
      <c r="O711" s="1185"/>
      <c r="P711" s="1206">
        <f t="shared" si="26"/>
        <v>8175</v>
      </c>
      <c r="Q711" s="1116"/>
      <c r="R711" s="1116"/>
      <c r="S711" s="1116"/>
      <c r="T711" s="1207"/>
      <c r="U711" s="1183"/>
      <c r="V711" s="1184"/>
      <c r="W711" s="1184"/>
      <c r="X711" s="1185"/>
      <c r="Y711" s="1206">
        <f t="shared" si="28"/>
        <v>545</v>
      </c>
      <c r="Z711" s="1116"/>
      <c r="AA711" s="1116"/>
      <c r="AB711" s="1116"/>
      <c r="AC711" s="1207"/>
      <c r="AD711" s="1113">
        <v>0.5</v>
      </c>
      <c r="AE711" s="1114"/>
      <c r="AF711" s="1114"/>
      <c r="AG711" s="1114"/>
      <c r="AH711" s="1115"/>
      <c r="AI711" s="1130">
        <f t="shared" si="27"/>
        <v>0.25804924242424243</v>
      </c>
      <c r="AJ711" s="1131"/>
      <c r="AK711" s="1132"/>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8" t="s">
        <v>348</v>
      </c>
      <c r="C712" s="1169"/>
      <c r="D712" s="1169"/>
      <c r="E712" s="1169"/>
      <c r="F712" s="1170"/>
      <c r="G712" s="1126">
        <v>4</v>
      </c>
      <c r="H712" s="1127"/>
      <c r="I712" s="1127"/>
      <c r="J712" s="1128"/>
      <c r="K712" s="1182">
        <v>727</v>
      </c>
      <c r="L712" s="1182"/>
      <c r="M712" s="1182"/>
      <c r="N712" s="1182"/>
      <c r="O712" s="1182"/>
      <c r="P712" s="1124">
        <f t="shared" si="26"/>
        <v>2908</v>
      </c>
      <c r="Q712" s="1124"/>
      <c r="R712" s="1124"/>
      <c r="S712" s="1124"/>
      <c r="T712" s="1124"/>
      <c r="U712" s="1183"/>
      <c r="V712" s="1184"/>
      <c r="W712" s="1184"/>
      <c r="X712" s="1185"/>
      <c r="Y712" s="1124">
        <f t="shared" si="28"/>
        <v>727</v>
      </c>
      <c r="Z712" s="1124"/>
      <c r="AA712" s="1124"/>
      <c r="AB712" s="1124"/>
      <c r="AC712" s="1124"/>
      <c r="AD712" s="1113">
        <v>0.5</v>
      </c>
      <c r="AE712" s="1114"/>
      <c r="AF712" s="1114"/>
      <c r="AG712" s="1114"/>
      <c r="AH712" s="1115"/>
      <c r="AI712" s="1130">
        <f t="shared" si="27"/>
        <v>0.34422348484848486</v>
      </c>
      <c r="AJ712" s="1131"/>
      <c r="AK712" s="1132"/>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8"/>
      <c r="C713" s="1169"/>
      <c r="D713" s="1169"/>
      <c r="E713" s="1169"/>
      <c r="F713" s="1170"/>
      <c r="G713" s="1126"/>
      <c r="H713" s="1127"/>
      <c r="I713" s="1127"/>
      <c r="J713" s="1128"/>
      <c r="K713" s="1182"/>
      <c r="L713" s="1182"/>
      <c r="M713" s="1182"/>
      <c r="N713" s="1182"/>
      <c r="O713" s="1182"/>
      <c r="P713" s="1124">
        <f t="shared" si="26"/>
        <v>0</v>
      </c>
      <c r="Q713" s="1124"/>
      <c r="R713" s="1124"/>
      <c r="S713" s="1124"/>
      <c r="T713" s="1124"/>
      <c r="U713" s="1183"/>
      <c r="V713" s="1184"/>
      <c r="W713" s="1184"/>
      <c r="X713" s="1185"/>
      <c r="Y713" s="1124">
        <f t="shared" si="28"/>
        <v>0</v>
      </c>
      <c r="Z713" s="1124"/>
      <c r="AA713" s="1124"/>
      <c r="AB713" s="1124"/>
      <c r="AC713" s="1124"/>
      <c r="AD713" s="1113"/>
      <c r="AE713" s="1114"/>
      <c r="AF713" s="1114"/>
      <c r="AG713" s="1114"/>
      <c r="AH713" s="1115"/>
      <c r="AI713" s="1130" t="str">
        <f t="shared" si="27"/>
        <v xml:space="preserve"> </v>
      </c>
      <c r="AJ713" s="1131"/>
      <c r="AK713" s="1132"/>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8"/>
      <c r="C714" s="1169"/>
      <c r="D714" s="1169"/>
      <c r="E714" s="1169"/>
      <c r="F714" s="1170"/>
      <c r="G714" s="1126"/>
      <c r="H714" s="1127"/>
      <c r="I714" s="1127"/>
      <c r="J714" s="1128"/>
      <c r="K714" s="1182"/>
      <c r="L714" s="1182"/>
      <c r="M714" s="1182"/>
      <c r="N714" s="1182"/>
      <c r="O714" s="1182"/>
      <c r="P714" s="1124">
        <f t="shared" si="26"/>
        <v>0</v>
      </c>
      <c r="Q714" s="1124"/>
      <c r="R714" s="1124"/>
      <c r="S714" s="1124"/>
      <c r="T714" s="1124"/>
      <c r="U714" s="1183"/>
      <c r="V714" s="1184"/>
      <c r="W714" s="1184"/>
      <c r="X714" s="1185"/>
      <c r="Y714" s="1124">
        <f t="shared" si="28"/>
        <v>0</v>
      </c>
      <c r="Z714" s="1124"/>
      <c r="AA714" s="1124"/>
      <c r="AB714" s="1124"/>
      <c r="AC714" s="1124"/>
      <c r="AD714" s="1113"/>
      <c r="AE714" s="1114"/>
      <c r="AF714" s="1114"/>
      <c r="AG714" s="1114"/>
      <c r="AH714" s="1115"/>
      <c r="AI714" s="1130" t="str">
        <f t="shared" si="27"/>
        <v xml:space="preserve"> </v>
      </c>
      <c r="AJ714" s="1131"/>
      <c r="AK714" s="1132"/>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8"/>
      <c r="C715" s="1169"/>
      <c r="D715" s="1169"/>
      <c r="E715" s="1169"/>
      <c r="F715" s="1170"/>
      <c r="G715" s="1126"/>
      <c r="H715" s="1127"/>
      <c r="I715" s="1127"/>
      <c r="J715" s="1128"/>
      <c r="K715" s="1182"/>
      <c r="L715" s="1182"/>
      <c r="M715" s="1182"/>
      <c r="N715" s="1182"/>
      <c r="O715" s="1182"/>
      <c r="P715" s="1124">
        <f t="shared" si="26"/>
        <v>0</v>
      </c>
      <c r="Q715" s="1124"/>
      <c r="R715" s="1124"/>
      <c r="S715" s="1124"/>
      <c r="T715" s="1124"/>
      <c r="U715" s="1183"/>
      <c r="V715" s="1184"/>
      <c r="W715" s="1184"/>
      <c r="X715" s="1185"/>
      <c r="Y715" s="1124">
        <f t="shared" si="28"/>
        <v>0</v>
      </c>
      <c r="Z715" s="1124"/>
      <c r="AA715" s="1124"/>
      <c r="AB715" s="1124"/>
      <c r="AC715" s="1124"/>
      <c r="AD715" s="1113"/>
      <c r="AE715" s="1114"/>
      <c r="AF715" s="1114"/>
      <c r="AG715" s="1114"/>
      <c r="AH715" s="1115"/>
      <c r="AI715" s="1130" t="str">
        <f t="shared" si="27"/>
        <v xml:space="preserve"> </v>
      </c>
      <c r="AJ715" s="1131"/>
      <c r="AK715" s="1132"/>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8"/>
      <c r="C716" s="1169"/>
      <c r="D716" s="1169"/>
      <c r="E716" s="1169"/>
      <c r="F716" s="1170"/>
      <c r="G716" s="1126"/>
      <c r="H716" s="1127"/>
      <c r="I716" s="1127"/>
      <c r="J716" s="1128"/>
      <c r="K716" s="1182"/>
      <c r="L716" s="1182"/>
      <c r="M716" s="1182"/>
      <c r="N716" s="1182"/>
      <c r="O716" s="1182"/>
      <c r="P716" s="1124">
        <f t="shared" si="26"/>
        <v>0</v>
      </c>
      <c r="Q716" s="1124"/>
      <c r="R716" s="1124"/>
      <c r="S716" s="1124"/>
      <c r="T716" s="1124"/>
      <c r="U716" s="1183"/>
      <c r="V716" s="1184"/>
      <c r="W716" s="1184"/>
      <c r="X716" s="1185"/>
      <c r="Y716" s="1124">
        <f t="shared" si="28"/>
        <v>0</v>
      </c>
      <c r="Z716" s="1124"/>
      <c r="AA716" s="1124"/>
      <c r="AB716" s="1124"/>
      <c r="AC716" s="1124"/>
      <c r="AD716" s="1113"/>
      <c r="AE716" s="1114"/>
      <c r="AF716" s="1114"/>
      <c r="AG716" s="1114"/>
      <c r="AH716" s="1115"/>
      <c r="AI716" s="1130" t="str">
        <f t="shared" si="27"/>
        <v xml:space="preserve"> </v>
      </c>
      <c r="AJ716" s="1131"/>
      <c r="AK716" s="1132"/>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8"/>
      <c r="C717" s="1169"/>
      <c r="D717" s="1169"/>
      <c r="E717" s="1169"/>
      <c r="F717" s="1170"/>
      <c r="G717" s="1126"/>
      <c r="H717" s="1127"/>
      <c r="I717" s="1127"/>
      <c r="J717" s="1128"/>
      <c r="K717" s="1182"/>
      <c r="L717" s="1182"/>
      <c r="M717" s="1182"/>
      <c r="N717" s="1182"/>
      <c r="O717" s="1182"/>
      <c r="P717" s="1124">
        <f t="shared" si="26"/>
        <v>0</v>
      </c>
      <c r="Q717" s="1124"/>
      <c r="R717" s="1124"/>
      <c r="S717" s="1124"/>
      <c r="T717" s="1124"/>
      <c r="U717" s="1183"/>
      <c r="V717" s="1184"/>
      <c r="W717" s="1184"/>
      <c r="X717" s="1185"/>
      <c r="Y717" s="1124">
        <f t="shared" si="28"/>
        <v>0</v>
      </c>
      <c r="Z717" s="1124"/>
      <c r="AA717" s="1124"/>
      <c r="AB717" s="1124"/>
      <c r="AC717" s="1124"/>
      <c r="AD717" s="1113"/>
      <c r="AE717" s="1114"/>
      <c r="AF717" s="1114"/>
      <c r="AG717" s="1114"/>
      <c r="AH717" s="1115"/>
      <c r="AI717" s="1130" t="str">
        <f t="shared" si="27"/>
        <v xml:space="preserve"> </v>
      </c>
      <c r="AJ717" s="1131"/>
      <c r="AK717" s="1132"/>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8"/>
      <c r="C718" s="1169"/>
      <c r="D718" s="1169"/>
      <c r="E718" s="1169"/>
      <c r="F718" s="1170"/>
      <c r="G718" s="1126"/>
      <c r="H718" s="1127"/>
      <c r="I718" s="1127"/>
      <c r="J718" s="1128"/>
      <c r="K718" s="1260"/>
      <c r="L718" s="1260"/>
      <c r="M718" s="1260"/>
      <c r="N718" s="1260"/>
      <c r="O718" s="1260"/>
      <c r="P718" s="1129">
        <f t="shared" si="26"/>
        <v>0</v>
      </c>
      <c r="Q718" s="1129"/>
      <c r="R718" s="1129"/>
      <c r="S718" s="1129"/>
      <c r="T718" s="1129"/>
      <c r="U718" s="1183"/>
      <c r="V718" s="1184"/>
      <c r="W718" s="1184"/>
      <c r="X718" s="1185"/>
      <c r="Y718" s="1129">
        <f t="shared" si="28"/>
        <v>0</v>
      </c>
      <c r="Z718" s="1129"/>
      <c r="AA718" s="1129"/>
      <c r="AB718" s="1129"/>
      <c r="AC718" s="1129"/>
      <c r="AD718" s="1113"/>
      <c r="AE718" s="1114"/>
      <c r="AF718" s="1114"/>
      <c r="AG718" s="1114"/>
      <c r="AH718" s="1115"/>
      <c r="AI718" s="1130" t="str">
        <f t="shared" si="27"/>
        <v xml:space="preserve"> </v>
      </c>
      <c r="AJ718" s="1131"/>
      <c r="AK718" s="1132"/>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8"/>
      <c r="C719" s="1169"/>
      <c r="D719" s="1169"/>
      <c r="E719" s="1169"/>
      <c r="F719" s="1170"/>
      <c r="G719" s="1126"/>
      <c r="H719" s="1127"/>
      <c r="I719" s="1127"/>
      <c r="J719" s="1128"/>
      <c r="K719" s="1182"/>
      <c r="L719" s="1182"/>
      <c r="M719" s="1182"/>
      <c r="N719" s="1182"/>
      <c r="O719" s="1182"/>
      <c r="P719" s="1124">
        <f t="shared" si="26"/>
        <v>0</v>
      </c>
      <c r="Q719" s="1124"/>
      <c r="R719" s="1124"/>
      <c r="S719" s="1124"/>
      <c r="T719" s="1124"/>
      <c r="U719" s="1183"/>
      <c r="V719" s="1184"/>
      <c r="W719" s="1184"/>
      <c r="X719" s="1185"/>
      <c r="Y719" s="1124">
        <f t="shared" si="28"/>
        <v>0</v>
      </c>
      <c r="Z719" s="1124"/>
      <c r="AA719" s="1124"/>
      <c r="AB719" s="1124"/>
      <c r="AC719" s="1124"/>
      <c r="AD719" s="1113"/>
      <c r="AE719" s="1114"/>
      <c r="AF719" s="1114"/>
      <c r="AG719" s="1114"/>
      <c r="AH719" s="1115"/>
      <c r="AI719" s="1130" t="str">
        <f t="shared" si="27"/>
        <v xml:space="preserve"> </v>
      </c>
      <c r="AJ719" s="1131"/>
      <c r="AK719" s="1132"/>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8"/>
      <c r="C720" s="1169"/>
      <c r="D720" s="1169"/>
      <c r="E720" s="1169"/>
      <c r="F720" s="1170"/>
      <c r="G720" s="1126"/>
      <c r="H720" s="1127"/>
      <c r="I720" s="1127"/>
      <c r="J720" s="1128"/>
      <c r="K720" s="1182"/>
      <c r="L720" s="1182"/>
      <c r="M720" s="1182"/>
      <c r="N720" s="1182"/>
      <c r="O720" s="1182"/>
      <c r="P720" s="1124">
        <f t="shared" si="26"/>
        <v>0</v>
      </c>
      <c r="Q720" s="1124"/>
      <c r="R720" s="1124"/>
      <c r="S720" s="1124"/>
      <c r="T720" s="1124"/>
      <c r="U720" s="1183">
        <v>0</v>
      </c>
      <c r="V720" s="1184"/>
      <c r="W720" s="1184"/>
      <c r="X720" s="1185"/>
      <c r="Y720" s="1124">
        <f t="shared" si="28"/>
        <v>0</v>
      </c>
      <c r="Z720" s="1124"/>
      <c r="AA720" s="1124"/>
      <c r="AB720" s="1124"/>
      <c r="AC720" s="1124"/>
      <c r="AD720" s="1113">
        <v>0</v>
      </c>
      <c r="AE720" s="1114"/>
      <c r="AF720" s="1114"/>
      <c r="AG720" s="1114"/>
      <c r="AH720" s="1115"/>
      <c r="AI720" s="1130" t="str">
        <f t="shared" si="27"/>
        <v xml:space="preserve"> </v>
      </c>
      <c r="AJ720" s="1131"/>
      <c r="AK720" s="1132"/>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8"/>
      <c r="C721" s="1169"/>
      <c r="D721" s="1169"/>
      <c r="E721" s="1169"/>
      <c r="F721" s="1170"/>
      <c r="G721" s="1126"/>
      <c r="H721" s="1127"/>
      <c r="I721" s="1127"/>
      <c r="J721" s="1128"/>
      <c r="K721" s="1182"/>
      <c r="L721" s="1182"/>
      <c r="M721" s="1182"/>
      <c r="N721" s="1182"/>
      <c r="O721" s="1182"/>
      <c r="P721" s="1124">
        <f t="shared" si="26"/>
        <v>0</v>
      </c>
      <c r="Q721" s="1124"/>
      <c r="R721" s="1124"/>
      <c r="S721" s="1124"/>
      <c r="T721" s="1124"/>
      <c r="U721" s="1183">
        <v>0</v>
      </c>
      <c r="V721" s="1184"/>
      <c r="W721" s="1184"/>
      <c r="X721" s="1185"/>
      <c r="Y721" s="1124">
        <f t="shared" si="28"/>
        <v>0</v>
      </c>
      <c r="Z721" s="1124"/>
      <c r="AA721" s="1124"/>
      <c r="AB721" s="1124"/>
      <c r="AC721" s="1124"/>
      <c r="AD721" s="1113">
        <v>0</v>
      </c>
      <c r="AE721" s="1114"/>
      <c r="AF721" s="1114"/>
      <c r="AG721" s="1114"/>
      <c r="AH721" s="1115"/>
      <c r="AI721" s="1130" t="str">
        <f t="shared" si="27"/>
        <v xml:space="preserve"> </v>
      </c>
      <c r="AJ721" s="1131"/>
      <c r="AK721" s="1132"/>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8"/>
      <c r="C722" s="1169"/>
      <c r="D722" s="1169"/>
      <c r="E722" s="1169"/>
      <c r="F722" s="1170"/>
      <c r="G722" s="1126"/>
      <c r="H722" s="1127"/>
      <c r="I722" s="1127"/>
      <c r="J722" s="1128"/>
      <c r="K722" s="1182"/>
      <c r="L722" s="1182"/>
      <c r="M722" s="1182"/>
      <c r="N722" s="1182"/>
      <c r="O722" s="1182"/>
      <c r="P722" s="1124">
        <f t="shared" si="26"/>
        <v>0</v>
      </c>
      <c r="Q722" s="1124"/>
      <c r="R722" s="1124"/>
      <c r="S722" s="1124"/>
      <c r="T722" s="1124"/>
      <c r="U722" s="1183">
        <v>0</v>
      </c>
      <c r="V722" s="1184"/>
      <c r="W722" s="1184"/>
      <c r="X722" s="1185"/>
      <c r="Y722" s="1124">
        <f t="shared" si="28"/>
        <v>0</v>
      </c>
      <c r="Z722" s="1124"/>
      <c r="AA722" s="1124"/>
      <c r="AB722" s="1124"/>
      <c r="AC722" s="1124"/>
      <c r="AD722" s="1113">
        <v>0</v>
      </c>
      <c r="AE722" s="1114"/>
      <c r="AF722" s="1114"/>
      <c r="AG722" s="1114"/>
      <c r="AH722" s="1115"/>
      <c r="AI722" s="1130" t="str">
        <f t="shared" si="27"/>
        <v xml:space="preserve"> </v>
      </c>
      <c r="AJ722" s="1131"/>
      <c r="AK722" s="1132"/>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8"/>
      <c r="C723" s="1169"/>
      <c r="D723" s="1169"/>
      <c r="E723" s="1169"/>
      <c r="F723" s="1170"/>
      <c r="G723" s="1126"/>
      <c r="H723" s="1127"/>
      <c r="I723" s="1127"/>
      <c r="J723" s="1128"/>
      <c r="K723" s="1182"/>
      <c r="L723" s="1182"/>
      <c r="M723" s="1182"/>
      <c r="N723" s="1182"/>
      <c r="O723" s="1182"/>
      <c r="P723" s="1124">
        <f t="shared" si="26"/>
        <v>0</v>
      </c>
      <c r="Q723" s="1124"/>
      <c r="R723" s="1124"/>
      <c r="S723" s="1124"/>
      <c r="T723" s="1124"/>
      <c r="U723" s="1183">
        <v>0</v>
      </c>
      <c r="V723" s="1184"/>
      <c r="W723" s="1184"/>
      <c r="X723" s="1185"/>
      <c r="Y723" s="1124">
        <f t="shared" si="28"/>
        <v>0</v>
      </c>
      <c r="Z723" s="1124"/>
      <c r="AA723" s="1124"/>
      <c r="AB723" s="1124"/>
      <c r="AC723" s="1124"/>
      <c r="AD723" s="1113">
        <v>0</v>
      </c>
      <c r="AE723" s="1114"/>
      <c r="AF723" s="1114"/>
      <c r="AG723" s="1114"/>
      <c r="AH723" s="1115"/>
      <c r="AI723" s="1130" t="str">
        <f t="shared" si="27"/>
        <v xml:space="preserve"> </v>
      </c>
      <c r="AJ723" s="1131"/>
      <c r="AK723" s="1132"/>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8"/>
      <c r="C724" s="1169"/>
      <c r="D724" s="1169"/>
      <c r="E724" s="1169"/>
      <c r="F724" s="1170"/>
      <c r="G724" s="1126"/>
      <c r="H724" s="1127"/>
      <c r="I724" s="1127"/>
      <c r="J724" s="1128"/>
      <c r="K724" s="1182"/>
      <c r="L724" s="1182"/>
      <c r="M724" s="1182"/>
      <c r="N724" s="1182"/>
      <c r="O724" s="1182"/>
      <c r="P724" s="1124">
        <f t="shared" si="26"/>
        <v>0</v>
      </c>
      <c r="Q724" s="1124"/>
      <c r="R724" s="1124"/>
      <c r="S724" s="1124"/>
      <c r="T724" s="1124"/>
      <c r="U724" s="1183">
        <v>0</v>
      </c>
      <c r="V724" s="1184"/>
      <c r="W724" s="1184"/>
      <c r="X724" s="1185"/>
      <c r="Y724" s="1124">
        <f>K724+U724</f>
        <v>0</v>
      </c>
      <c r="Z724" s="1124"/>
      <c r="AA724" s="1124"/>
      <c r="AB724" s="1124"/>
      <c r="AC724" s="1124"/>
      <c r="AD724" s="1113">
        <v>0</v>
      </c>
      <c r="AE724" s="1114"/>
      <c r="AF724" s="1114"/>
      <c r="AG724" s="1114"/>
      <c r="AH724" s="1115"/>
      <c r="AI724" s="1130" t="str">
        <f t="shared" si="27"/>
        <v xml:space="preserve"> </v>
      </c>
      <c r="AJ724" s="1131"/>
      <c r="AK724" s="1132"/>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8"/>
      <c r="C725" s="1169"/>
      <c r="D725" s="1169"/>
      <c r="E725" s="1169"/>
      <c r="F725" s="1170"/>
      <c r="G725" s="1126"/>
      <c r="H725" s="1127"/>
      <c r="I725" s="1127"/>
      <c r="J725" s="1128"/>
      <c r="K725" s="1182"/>
      <c r="L725" s="1182"/>
      <c r="M725" s="1182"/>
      <c r="N725" s="1182"/>
      <c r="O725" s="1182"/>
      <c r="P725" s="1124">
        <f t="shared" si="26"/>
        <v>0</v>
      </c>
      <c r="Q725" s="1124"/>
      <c r="R725" s="1124"/>
      <c r="S725" s="1124"/>
      <c r="T725" s="1124"/>
      <c r="U725" s="1183">
        <v>0</v>
      </c>
      <c r="V725" s="1184"/>
      <c r="W725" s="1184"/>
      <c r="X725" s="1185"/>
      <c r="Y725" s="1124">
        <f>K725+U725</f>
        <v>0</v>
      </c>
      <c r="Z725" s="1124"/>
      <c r="AA725" s="1124"/>
      <c r="AB725" s="1124"/>
      <c r="AC725" s="1124"/>
      <c r="AD725" s="1113">
        <v>0</v>
      </c>
      <c r="AE725" s="1114"/>
      <c r="AF725" s="1114"/>
      <c r="AG725" s="1114"/>
      <c r="AH725" s="1115"/>
      <c r="AI725" s="1130" t="str">
        <f t="shared" si="27"/>
        <v xml:space="preserve"> </v>
      </c>
      <c r="AJ725" s="1131"/>
      <c r="AK725" s="1132"/>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8"/>
      <c r="C726" s="1169"/>
      <c r="D726" s="1169"/>
      <c r="E726" s="1169"/>
      <c r="F726" s="1170"/>
      <c r="G726" s="1126"/>
      <c r="H726" s="1127"/>
      <c r="I726" s="1127"/>
      <c r="J726" s="1128"/>
      <c r="K726" s="1182"/>
      <c r="L726" s="1182"/>
      <c r="M726" s="1182"/>
      <c r="N726" s="1182"/>
      <c r="O726" s="1182"/>
      <c r="P726" s="1124">
        <f t="shared" si="26"/>
        <v>0</v>
      </c>
      <c r="Q726" s="1124"/>
      <c r="R726" s="1124"/>
      <c r="S726" s="1124"/>
      <c r="T726" s="1124"/>
      <c r="U726" s="1183">
        <v>0</v>
      </c>
      <c r="V726" s="1184"/>
      <c r="W726" s="1184"/>
      <c r="X726" s="1185"/>
      <c r="Y726" s="1124">
        <f>K726+U726</f>
        <v>0</v>
      </c>
      <c r="Z726" s="1124"/>
      <c r="AA726" s="1124"/>
      <c r="AB726" s="1124"/>
      <c r="AC726" s="1124"/>
      <c r="AD726" s="1113">
        <v>0</v>
      </c>
      <c r="AE726" s="1114"/>
      <c r="AF726" s="1114"/>
      <c r="AG726" s="1114"/>
      <c r="AH726" s="1115"/>
      <c r="AI726" s="1130" t="str">
        <f t="shared" si="27"/>
        <v xml:space="preserve"> </v>
      </c>
      <c r="AJ726" s="1131"/>
      <c r="AK726" s="1132"/>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8"/>
      <c r="C727" s="1169"/>
      <c r="D727" s="1169"/>
      <c r="E727" s="1169"/>
      <c r="F727" s="1170"/>
      <c r="G727" s="1126"/>
      <c r="H727" s="1127"/>
      <c r="I727" s="1127"/>
      <c r="J727" s="1128"/>
      <c r="K727" s="1182"/>
      <c r="L727" s="1182"/>
      <c r="M727" s="1182"/>
      <c r="N727" s="1182"/>
      <c r="O727" s="1182"/>
      <c r="P727" s="1124">
        <f t="shared" si="26"/>
        <v>0</v>
      </c>
      <c r="Q727" s="1124"/>
      <c r="R727" s="1124"/>
      <c r="S727" s="1124"/>
      <c r="T727" s="1124"/>
      <c r="U727" s="1183">
        <v>0</v>
      </c>
      <c r="V727" s="1184"/>
      <c r="W727" s="1184"/>
      <c r="X727" s="1185"/>
      <c r="Y727" s="1124">
        <f>K727+U727</f>
        <v>0</v>
      </c>
      <c r="Z727" s="1124"/>
      <c r="AA727" s="1124"/>
      <c r="AB727" s="1124"/>
      <c r="AC727" s="1124"/>
      <c r="AD727" s="1113">
        <v>0</v>
      </c>
      <c r="AE727" s="1114"/>
      <c r="AF727" s="1114"/>
      <c r="AG727" s="1114"/>
      <c r="AH727" s="1115"/>
      <c r="AI727" s="1130" t="str">
        <f t="shared" si="27"/>
        <v xml:space="preserve"> </v>
      </c>
      <c r="AJ727" s="1131"/>
      <c r="AK727" s="1132"/>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8"/>
      <c r="C728" s="1169"/>
      <c r="D728" s="1169"/>
      <c r="E728" s="1169"/>
      <c r="F728" s="1170"/>
      <c r="G728" s="1126"/>
      <c r="H728" s="1127"/>
      <c r="I728" s="1127"/>
      <c r="J728" s="1128"/>
      <c r="K728" s="1182"/>
      <c r="L728" s="1182"/>
      <c r="M728" s="1182"/>
      <c r="N728" s="1182"/>
      <c r="O728" s="1182"/>
      <c r="P728" s="1124">
        <f t="shared" si="26"/>
        <v>0</v>
      </c>
      <c r="Q728" s="1124"/>
      <c r="R728" s="1124"/>
      <c r="S728" s="1124"/>
      <c r="T728" s="1124"/>
      <c r="U728" s="1183">
        <v>0</v>
      </c>
      <c r="V728" s="1184"/>
      <c r="W728" s="1184"/>
      <c r="X728" s="1185"/>
      <c r="Y728" s="1124">
        <f>K728+U728</f>
        <v>0</v>
      </c>
      <c r="Z728" s="1124"/>
      <c r="AA728" s="1124"/>
      <c r="AB728" s="1124"/>
      <c r="AC728" s="1124"/>
      <c r="AD728" s="1113">
        <v>0</v>
      </c>
      <c r="AE728" s="1114"/>
      <c r="AF728" s="1114"/>
      <c r="AG728" s="1114"/>
      <c r="AH728" s="1115"/>
      <c r="AI728" s="1130" t="str">
        <f t="shared" si="27"/>
        <v xml:space="preserve"> </v>
      </c>
      <c r="AJ728" s="1131"/>
      <c r="AK728" s="1132"/>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8"/>
      <c r="C729" s="1169"/>
      <c r="D729" s="1169"/>
      <c r="E729" s="1169"/>
      <c r="F729" s="1170"/>
      <c r="G729" s="1126"/>
      <c r="H729" s="1127"/>
      <c r="I729" s="1127"/>
      <c r="J729" s="1128"/>
      <c r="K729" s="1182"/>
      <c r="L729" s="1182"/>
      <c r="M729" s="1182"/>
      <c r="N729" s="1182"/>
      <c r="O729" s="1182"/>
      <c r="P729" s="1124">
        <f t="shared" si="26"/>
        <v>0</v>
      </c>
      <c r="Q729" s="1124"/>
      <c r="R729" s="1124"/>
      <c r="S729" s="1124"/>
      <c r="T729" s="1124"/>
      <c r="U729" s="1183">
        <v>0</v>
      </c>
      <c r="V729" s="1184"/>
      <c r="W729" s="1184"/>
      <c r="X729" s="1185"/>
      <c r="Y729" s="1124">
        <f t="shared" si="28"/>
        <v>0</v>
      </c>
      <c r="Z729" s="1124"/>
      <c r="AA729" s="1124"/>
      <c r="AB729" s="1124"/>
      <c r="AC729" s="1124"/>
      <c r="AD729" s="1113">
        <v>0</v>
      </c>
      <c r="AE729" s="1114"/>
      <c r="AF729" s="1114"/>
      <c r="AG729" s="1114"/>
      <c r="AH729" s="1115"/>
      <c r="AI729" s="1130" t="str">
        <f t="shared" si="27"/>
        <v xml:space="preserve"> </v>
      </c>
      <c r="AJ729" s="1131"/>
      <c r="AK729" s="1132"/>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8"/>
      <c r="C730" s="1169"/>
      <c r="D730" s="1169"/>
      <c r="E730" s="1169"/>
      <c r="F730" s="1170"/>
      <c r="G730" s="1126"/>
      <c r="H730" s="1127"/>
      <c r="I730" s="1127"/>
      <c r="J730" s="1128"/>
      <c r="K730" s="1182"/>
      <c r="L730" s="1182"/>
      <c r="M730" s="1182"/>
      <c r="N730" s="1182"/>
      <c r="O730" s="1182"/>
      <c r="P730" s="1124">
        <f t="shared" si="26"/>
        <v>0</v>
      </c>
      <c r="Q730" s="1124"/>
      <c r="R730" s="1124"/>
      <c r="S730" s="1124"/>
      <c r="T730" s="1124"/>
      <c r="U730" s="1183">
        <v>0</v>
      </c>
      <c r="V730" s="1184"/>
      <c r="W730" s="1184"/>
      <c r="X730" s="1185"/>
      <c r="Y730" s="1124">
        <f t="shared" si="28"/>
        <v>0</v>
      </c>
      <c r="Z730" s="1124"/>
      <c r="AA730" s="1124"/>
      <c r="AB730" s="1124"/>
      <c r="AC730" s="1124"/>
      <c r="AD730" s="1113">
        <v>0</v>
      </c>
      <c r="AE730" s="1114"/>
      <c r="AF730" s="1114"/>
      <c r="AG730" s="1114"/>
      <c r="AH730" s="1115"/>
      <c r="AI730" s="1130" t="str">
        <f t="shared" si="27"/>
        <v xml:space="preserve"> </v>
      </c>
      <c r="AJ730" s="1131"/>
      <c r="AK730" s="1132"/>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8"/>
      <c r="C731" s="1169"/>
      <c r="D731" s="1169"/>
      <c r="E731" s="1169"/>
      <c r="F731" s="1170"/>
      <c r="G731" s="1126"/>
      <c r="H731" s="1127"/>
      <c r="I731" s="1127"/>
      <c r="J731" s="1128"/>
      <c r="K731" s="1182"/>
      <c r="L731" s="1182"/>
      <c r="M731" s="1182"/>
      <c r="N731" s="1182"/>
      <c r="O731" s="1182"/>
      <c r="P731" s="1124">
        <f t="shared" si="26"/>
        <v>0</v>
      </c>
      <c r="Q731" s="1124"/>
      <c r="R731" s="1124"/>
      <c r="S731" s="1124"/>
      <c r="T731" s="1124"/>
      <c r="U731" s="1183">
        <v>0</v>
      </c>
      <c r="V731" s="1184"/>
      <c r="W731" s="1184"/>
      <c r="X731" s="1185"/>
      <c r="Y731" s="1124">
        <f t="shared" si="28"/>
        <v>0</v>
      </c>
      <c r="Z731" s="1124"/>
      <c r="AA731" s="1124"/>
      <c r="AB731" s="1124"/>
      <c r="AC731" s="1124"/>
      <c r="AD731" s="1113">
        <v>0</v>
      </c>
      <c r="AE731" s="1114"/>
      <c r="AF731" s="1114"/>
      <c r="AG731" s="1114"/>
      <c r="AH731" s="1115"/>
      <c r="AI731" s="1130" t="str">
        <f t="shared" si="27"/>
        <v xml:space="preserve"> </v>
      </c>
      <c r="AJ731" s="1131"/>
      <c r="AK731" s="1132"/>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8"/>
      <c r="C732" s="1169"/>
      <c r="D732" s="1169"/>
      <c r="E732" s="1169"/>
      <c r="F732" s="1170"/>
      <c r="G732" s="1126"/>
      <c r="H732" s="1127"/>
      <c r="I732" s="1127"/>
      <c r="J732" s="1128"/>
      <c r="K732" s="1182"/>
      <c r="L732" s="1182"/>
      <c r="M732" s="1182"/>
      <c r="N732" s="1182"/>
      <c r="O732" s="1182"/>
      <c r="P732" s="1124">
        <f t="shared" si="26"/>
        <v>0</v>
      </c>
      <c r="Q732" s="1124"/>
      <c r="R732" s="1124"/>
      <c r="S732" s="1124"/>
      <c r="T732" s="1124"/>
      <c r="U732" s="1183">
        <v>0</v>
      </c>
      <c r="V732" s="1184"/>
      <c r="W732" s="1184"/>
      <c r="X732" s="1185"/>
      <c r="Y732" s="1124">
        <f t="shared" si="28"/>
        <v>0</v>
      </c>
      <c r="Z732" s="1124"/>
      <c r="AA732" s="1124"/>
      <c r="AB732" s="1124"/>
      <c r="AC732" s="1124"/>
      <c r="AD732" s="1113">
        <v>0</v>
      </c>
      <c r="AE732" s="1114"/>
      <c r="AF732" s="1114"/>
      <c r="AG732" s="1114"/>
      <c r="AH732" s="1115"/>
      <c r="AI732" s="1130" t="str">
        <f t="shared" si="27"/>
        <v xml:space="preserve"> </v>
      </c>
      <c r="AJ732" s="1131"/>
      <c r="AK732" s="1132"/>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8"/>
      <c r="C733" s="1169"/>
      <c r="D733" s="1169"/>
      <c r="E733" s="1169"/>
      <c r="F733" s="1170"/>
      <c r="G733" s="1126"/>
      <c r="H733" s="1127"/>
      <c r="I733" s="1127"/>
      <c r="J733" s="1128"/>
      <c r="K733" s="1182"/>
      <c r="L733" s="1182"/>
      <c r="M733" s="1182"/>
      <c r="N733" s="1182"/>
      <c r="O733" s="1182"/>
      <c r="P733" s="1124">
        <f t="shared" si="26"/>
        <v>0</v>
      </c>
      <c r="Q733" s="1124"/>
      <c r="R733" s="1124"/>
      <c r="S733" s="1124"/>
      <c r="T733" s="1124"/>
      <c r="U733" s="1183">
        <v>0</v>
      </c>
      <c r="V733" s="1184"/>
      <c r="W733" s="1184"/>
      <c r="X733" s="1185"/>
      <c r="Y733" s="1124">
        <f t="shared" si="28"/>
        <v>0</v>
      </c>
      <c r="Z733" s="1124"/>
      <c r="AA733" s="1124"/>
      <c r="AB733" s="1124"/>
      <c r="AC733" s="1124"/>
      <c r="AD733" s="1113">
        <v>0</v>
      </c>
      <c r="AE733" s="1114"/>
      <c r="AF733" s="1114"/>
      <c r="AG733" s="1114"/>
      <c r="AH733" s="1115"/>
      <c r="AI733" s="1531" t="str">
        <f t="shared" si="27"/>
        <v xml:space="preserve"> </v>
      </c>
      <c r="AJ733" s="1532"/>
      <c r="AK733" s="153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5" t="s">
        <v>132</v>
      </c>
      <c r="C734" s="1166"/>
      <c r="D734" s="1166"/>
      <c r="E734" s="1166"/>
      <c r="F734" s="1167"/>
      <c r="G734" s="1231">
        <f>SUM(G709:J733)</f>
        <v>54</v>
      </c>
      <c r="H734" s="1232"/>
      <c r="I734" s="1232"/>
      <c r="J734" s="1233"/>
      <c r="K734" s="1165" t="s">
        <v>131</v>
      </c>
      <c r="L734" s="1166"/>
      <c r="M734" s="1166"/>
      <c r="N734" s="1166"/>
      <c r="O734" s="1167"/>
      <c r="P734" s="1206">
        <f>SUM(P709:T733)</f>
        <v>31230</v>
      </c>
      <c r="Q734" s="1116"/>
      <c r="R734" s="1116"/>
      <c r="S734" s="1116"/>
      <c r="T734" s="1207"/>
      <c r="Y734" s="1239" t="s">
        <v>998</v>
      </c>
      <c r="Z734" s="1240"/>
      <c r="AA734" s="1240"/>
      <c r="AB734" s="1240"/>
      <c r="AC734" s="1241"/>
      <c r="AD734" s="1586">
        <f>AV675</f>
        <v>0.5</v>
      </c>
      <c r="AE734" s="1587"/>
      <c r="AF734" s="1587"/>
      <c r="AG734" s="1587"/>
      <c r="AH734" s="158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1" t="s">
        <v>641</v>
      </c>
      <c r="AG736" s="1561"/>
      <c r="AH736" s="156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3" t="s">
        <v>421</v>
      </c>
      <c r="K750" s="1104"/>
      <c r="L750" s="1104"/>
      <c r="M750" s="1104"/>
      <c r="N750" s="1105"/>
      <c r="O750" s="1230" t="s">
        <v>302</v>
      </c>
      <c r="P750" s="1230"/>
      <c r="Q750" s="1230"/>
      <c r="R750" s="1230"/>
      <c r="S750" s="1230"/>
      <c r="T750" s="1230" t="s">
        <v>491</v>
      </c>
      <c r="U750" s="1230"/>
      <c r="V750" s="1230"/>
      <c r="W750" s="1230"/>
      <c r="X750" s="1230"/>
      <c r="Y750" s="1230" t="s">
        <v>303</v>
      </c>
      <c r="Z750" s="1230"/>
      <c r="AA750" s="1230"/>
      <c r="AB750" s="1230"/>
      <c r="AC750" s="1230"/>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6"/>
      <c r="K751" s="1107"/>
      <c r="L751" s="1107"/>
      <c r="M751" s="1107"/>
      <c r="N751" s="1108"/>
      <c r="O751" s="1230"/>
      <c r="P751" s="1230"/>
      <c r="Q751" s="1230"/>
      <c r="R751" s="1230"/>
      <c r="S751" s="1230"/>
      <c r="T751" s="1230"/>
      <c r="U751" s="1230"/>
      <c r="V751" s="1230"/>
      <c r="W751" s="1230"/>
      <c r="X751" s="1230"/>
      <c r="Y751" s="1230"/>
      <c r="Z751" s="1230"/>
      <c r="AA751" s="1230"/>
      <c r="AB751" s="1230"/>
      <c r="AC751" s="1230"/>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6"/>
      <c r="K752" s="1107"/>
      <c r="L752" s="1107"/>
      <c r="M752" s="1107"/>
      <c r="N752" s="1108"/>
      <c r="O752" s="1230"/>
      <c r="P752" s="1230"/>
      <c r="Q752" s="1230"/>
      <c r="R752" s="1230"/>
      <c r="S752" s="1230"/>
      <c r="T752" s="1230"/>
      <c r="U752" s="1230"/>
      <c r="V752" s="1230"/>
      <c r="W752" s="1230"/>
      <c r="X752" s="1230"/>
      <c r="Y752" s="1230"/>
      <c r="Z752" s="1230"/>
      <c r="AA752" s="1230"/>
      <c r="AB752" s="1230"/>
      <c r="AC752" s="1230"/>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9"/>
      <c r="K753" s="1110"/>
      <c r="L753" s="1110"/>
      <c r="M753" s="1110"/>
      <c r="N753" s="1111"/>
      <c r="O753" s="1230"/>
      <c r="P753" s="1230"/>
      <c r="Q753" s="1230"/>
      <c r="R753" s="1230"/>
      <c r="S753" s="1230"/>
      <c r="T753" s="1230"/>
      <c r="U753" s="1230"/>
      <c r="V753" s="1230"/>
      <c r="W753" s="1230"/>
      <c r="X753" s="1230"/>
      <c r="Y753" s="1230"/>
      <c r="Z753" s="1230"/>
      <c r="AA753" s="1230"/>
      <c r="AB753" s="1230"/>
      <c r="AC753" s="1230"/>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8" t="s">
        <v>170</v>
      </c>
      <c r="K754" s="1169"/>
      <c r="L754" s="1169"/>
      <c r="M754" s="1169"/>
      <c r="N754" s="1170"/>
      <c r="O754" s="1171">
        <v>1</v>
      </c>
      <c r="P754" s="1171"/>
      <c r="Q754" s="1171"/>
      <c r="R754" s="1171"/>
      <c r="S754" s="1171"/>
      <c r="T754" s="1182"/>
      <c r="U754" s="1182"/>
      <c r="V754" s="1182"/>
      <c r="W754" s="1182"/>
      <c r="X754" s="1182"/>
      <c r="Y754" s="1124">
        <f>T754*O754</f>
        <v>0</v>
      </c>
      <c r="Z754" s="1124"/>
      <c r="AA754" s="1124"/>
      <c r="AB754" s="1124"/>
      <c r="AC754" s="112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8"/>
      <c r="K755" s="1169"/>
      <c r="L755" s="1169"/>
      <c r="M755" s="1169"/>
      <c r="N755" s="1170"/>
      <c r="O755" s="1171"/>
      <c r="P755" s="1171"/>
      <c r="Q755" s="1171"/>
      <c r="R755" s="1171"/>
      <c r="S755" s="1171"/>
      <c r="T755" s="1182"/>
      <c r="U755" s="1182"/>
      <c r="V755" s="1182"/>
      <c r="W755" s="1182"/>
      <c r="X755" s="1182"/>
      <c r="Y755" s="1124">
        <f>T755*O755</f>
        <v>0</v>
      </c>
      <c r="Z755" s="1124"/>
      <c r="AA755" s="1124"/>
      <c r="AB755" s="1124"/>
      <c r="AC755" s="112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8"/>
      <c r="K756" s="1169"/>
      <c r="L756" s="1169"/>
      <c r="M756" s="1169"/>
      <c r="N756" s="1170"/>
      <c r="O756" s="1171"/>
      <c r="P756" s="1171"/>
      <c r="Q756" s="1171"/>
      <c r="R756" s="1171"/>
      <c r="S756" s="1171"/>
      <c r="T756" s="1182"/>
      <c r="U756" s="1182"/>
      <c r="V756" s="1182"/>
      <c r="W756" s="1182"/>
      <c r="X756" s="1182"/>
      <c r="Y756" s="1124">
        <f>T756*O756</f>
        <v>0</v>
      </c>
      <c r="Z756" s="1124"/>
      <c r="AA756" s="1124"/>
      <c r="AB756" s="1124"/>
      <c r="AC756" s="112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8"/>
      <c r="K757" s="1169"/>
      <c r="L757" s="1169"/>
      <c r="M757" s="1169"/>
      <c r="N757" s="1170"/>
      <c r="O757" s="1171"/>
      <c r="P757" s="1171"/>
      <c r="Q757" s="1171"/>
      <c r="R757" s="1171"/>
      <c r="S757" s="1171"/>
      <c r="T757" s="1182"/>
      <c r="U757" s="1182"/>
      <c r="V757" s="1182"/>
      <c r="W757" s="1182"/>
      <c r="X757" s="1182"/>
      <c r="Y757" s="1124">
        <f>T757*O757</f>
        <v>0</v>
      </c>
      <c r="Z757" s="1124"/>
      <c r="AA757" s="1124"/>
      <c r="AB757" s="1124"/>
      <c r="AC757" s="112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5" t="s">
        <v>132</v>
      </c>
      <c r="K758" s="1166"/>
      <c r="L758" s="1166"/>
      <c r="M758" s="1166"/>
      <c r="N758" s="1167"/>
      <c r="O758" s="1419">
        <f>SUM(O754:S757)</f>
        <v>1</v>
      </c>
      <c r="P758" s="1420"/>
      <c r="Q758" s="1420"/>
      <c r="R758" s="1420"/>
      <c r="S758" s="1421"/>
      <c r="T758" s="1413" t="s">
        <v>131</v>
      </c>
      <c r="U758" s="1414"/>
      <c r="V758" s="1414"/>
      <c r="W758" s="1414"/>
      <c r="X758" s="1415"/>
      <c r="Y758" s="1206">
        <f>SUM(Y754:AC757)</f>
        <v>0</v>
      </c>
      <c r="Z758" s="1422"/>
      <c r="AA758" s="1422"/>
      <c r="AB758" s="1422"/>
      <c r="AC758" s="1423"/>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8" t="s">
        <v>722</v>
      </c>
      <c r="K760" s="1418"/>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3" t="s">
        <v>421</v>
      </c>
      <c r="K764" s="1104"/>
      <c r="L764" s="1104"/>
      <c r="M764" s="1104"/>
      <c r="N764" s="1105"/>
      <c r="O764" s="1230" t="s">
        <v>302</v>
      </c>
      <c r="P764" s="1230"/>
      <c r="Q764" s="1230"/>
      <c r="R764" s="1230"/>
      <c r="S764" s="1230"/>
      <c r="T764" s="1230" t="s">
        <v>491</v>
      </c>
      <c r="U764" s="1230"/>
      <c r="V764" s="1230"/>
      <c r="W764" s="1230"/>
      <c r="X764" s="1230"/>
      <c r="Y764" s="1230" t="s">
        <v>303</v>
      </c>
      <c r="Z764" s="1230"/>
      <c r="AA764" s="1230"/>
      <c r="AB764" s="1230"/>
      <c r="AC764" s="1230"/>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6"/>
      <c r="K765" s="1107"/>
      <c r="L765" s="1107"/>
      <c r="M765" s="1107"/>
      <c r="N765" s="1108"/>
      <c r="O765" s="1230"/>
      <c r="P765" s="1230"/>
      <c r="Q765" s="1230"/>
      <c r="R765" s="1230"/>
      <c r="S765" s="1230"/>
      <c r="T765" s="1230"/>
      <c r="U765" s="1230"/>
      <c r="V765" s="1230"/>
      <c r="W765" s="1230"/>
      <c r="X765" s="1230"/>
      <c r="Y765" s="1230"/>
      <c r="Z765" s="1230"/>
      <c r="AA765" s="1230"/>
      <c r="AB765" s="1230"/>
      <c r="AC765" s="1230"/>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6"/>
      <c r="K766" s="1107"/>
      <c r="L766" s="1107"/>
      <c r="M766" s="1107"/>
      <c r="N766" s="1108"/>
      <c r="O766" s="1230"/>
      <c r="P766" s="1230"/>
      <c r="Q766" s="1230"/>
      <c r="R766" s="1230"/>
      <c r="S766" s="1230"/>
      <c r="T766" s="1230"/>
      <c r="U766" s="1230"/>
      <c r="V766" s="1230"/>
      <c r="W766" s="1230"/>
      <c r="X766" s="1230"/>
      <c r="Y766" s="1230"/>
      <c r="Z766" s="1230"/>
      <c r="AA766" s="1230"/>
      <c r="AB766" s="1230"/>
      <c r="AC766" s="1230"/>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9"/>
      <c r="K767" s="1110"/>
      <c r="L767" s="1110"/>
      <c r="M767" s="1110"/>
      <c r="N767" s="1111"/>
      <c r="O767" s="1230"/>
      <c r="P767" s="1230"/>
      <c r="Q767" s="1230"/>
      <c r="R767" s="1230"/>
      <c r="S767" s="1230"/>
      <c r="T767" s="1230"/>
      <c r="U767" s="1230"/>
      <c r="V767" s="1230"/>
      <c r="W767" s="1230"/>
      <c r="X767" s="1230"/>
      <c r="Y767" s="1230"/>
      <c r="Z767" s="1230"/>
      <c r="AA767" s="1230"/>
      <c r="AB767" s="1230"/>
      <c r="AC767" s="1230"/>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8"/>
      <c r="K768" s="1169"/>
      <c r="L768" s="1169"/>
      <c r="M768" s="1169"/>
      <c r="N768" s="1170"/>
      <c r="O768" s="1171"/>
      <c r="P768" s="1171"/>
      <c r="Q768" s="1171"/>
      <c r="R768" s="1171"/>
      <c r="S768" s="1171"/>
      <c r="T768" s="1182"/>
      <c r="U768" s="1182"/>
      <c r="V768" s="1182"/>
      <c r="W768" s="1182"/>
      <c r="X768" s="1182"/>
      <c r="Y768" s="1124">
        <f>T768*O768</f>
        <v>0</v>
      </c>
      <c r="Z768" s="1124"/>
      <c r="AA768" s="1124"/>
      <c r="AB768" s="1124"/>
      <c r="AC768" s="112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8"/>
      <c r="K769" s="1169"/>
      <c r="L769" s="1169"/>
      <c r="M769" s="1169"/>
      <c r="N769" s="1170"/>
      <c r="O769" s="1171"/>
      <c r="P769" s="1171"/>
      <c r="Q769" s="1171"/>
      <c r="R769" s="1171"/>
      <c r="S769" s="1171"/>
      <c r="T769" s="1182"/>
      <c r="U769" s="1182"/>
      <c r="V769" s="1182"/>
      <c r="W769" s="1182"/>
      <c r="X769" s="1182"/>
      <c r="Y769" s="1124">
        <f t="shared" ref="Y769:Y777" si="29">T769*O769</f>
        <v>0</v>
      </c>
      <c r="Z769" s="1124"/>
      <c r="AA769" s="1124"/>
      <c r="AB769" s="1124"/>
      <c r="AC769" s="112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8"/>
      <c r="K770" s="1169"/>
      <c r="L770" s="1169"/>
      <c r="M770" s="1169"/>
      <c r="N770" s="1170"/>
      <c r="O770" s="1171"/>
      <c r="P770" s="1171"/>
      <c r="Q770" s="1171"/>
      <c r="R770" s="1171"/>
      <c r="S770" s="1171"/>
      <c r="T770" s="1182"/>
      <c r="U770" s="1182"/>
      <c r="V770" s="1182"/>
      <c r="W770" s="1182"/>
      <c r="X770" s="1182"/>
      <c r="Y770" s="1124">
        <f t="shared" si="29"/>
        <v>0</v>
      </c>
      <c r="Z770" s="1124"/>
      <c r="AA770" s="1124"/>
      <c r="AB770" s="1124"/>
      <c r="AC770" s="112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8"/>
      <c r="K771" s="1169"/>
      <c r="L771" s="1169"/>
      <c r="M771" s="1169"/>
      <c r="N771" s="1170"/>
      <c r="O771" s="1171"/>
      <c r="P771" s="1171"/>
      <c r="Q771" s="1171"/>
      <c r="R771" s="1171"/>
      <c r="S771" s="1171"/>
      <c r="T771" s="1182"/>
      <c r="U771" s="1182"/>
      <c r="V771" s="1182"/>
      <c r="W771" s="1182"/>
      <c r="X771" s="1182"/>
      <c r="Y771" s="1124">
        <f t="shared" si="29"/>
        <v>0</v>
      </c>
      <c r="Z771" s="1124"/>
      <c r="AA771" s="1124"/>
      <c r="AB771" s="1124"/>
      <c r="AC771" s="112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8"/>
      <c r="K772" s="1169"/>
      <c r="L772" s="1169"/>
      <c r="M772" s="1169"/>
      <c r="N772" s="1170"/>
      <c r="O772" s="1171"/>
      <c r="P772" s="1171"/>
      <c r="Q772" s="1171"/>
      <c r="R772" s="1171"/>
      <c r="S772" s="1171"/>
      <c r="T772" s="1182"/>
      <c r="U772" s="1182"/>
      <c r="V772" s="1182"/>
      <c r="W772" s="1182"/>
      <c r="X772" s="1182"/>
      <c r="Y772" s="1124">
        <f t="shared" si="29"/>
        <v>0</v>
      </c>
      <c r="Z772" s="1124"/>
      <c r="AA772" s="1124"/>
      <c r="AB772" s="1124"/>
      <c r="AC772" s="112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8"/>
      <c r="K773" s="1169"/>
      <c r="L773" s="1169"/>
      <c r="M773" s="1169"/>
      <c r="N773" s="1170"/>
      <c r="O773" s="1171"/>
      <c r="P773" s="1171"/>
      <c r="Q773" s="1171"/>
      <c r="R773" s="1171"/>
      <c r="S773" s="1171"/>
      <c r="T773" s="1182"/>
      <c r="U773" s="1182"/>
      <c r="V773" s="1182"/>
      <c r="W773" s="1182"/>
      <c r="X773" s="1182"/>
      <c r="Y773" s="1124">
        <f t="shared" si="29"/>
        <v>0</v>
      </c>
      <c r="Z773" s="1124"/>
      <c r="AA773" s="1124"/>
      <c r="AB773" s="1124"/>
      <c r="AC773" s="112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8"/>
      <c r="K774" s="1169"/>
      <c r="L774" s="1169"/>
      <c r="M774" s="1169"/>
      <c r="N774" s="1170"/>
      <c r="O774" s="1171"/>
      <c r="P774" s="1171"/>
      <c r="Q774" s="1171"/>
      <c r="R774" s="1171"/>
      <c r="S774" s="1171"/>
      <c r="T774" s="1182"/>
      <c r="U774" s="1182"/>
      <c r="V774" s="1182"/>
      <c r="W774" s="1182"/>
      <c r="X774" s="1182"/>
      <c r="Y774" s="1124">
        <f t="shared" si="29"/>
        <v>0</v>
      </c>
      <c r="Z774" s="1124"/>
      <c r="AA774" s="1124"/>
      <c r="AB774" s="1124"/>
      <c r="AC774" s="112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8"/>
      <c r="K775" s="1169"/>
      <c r="L775" s="1169"/>
      <c r="M775" s="1169"/>
      <c r="N775" s="1170"/>
      <c r="O775" s="1171"/>
      <c r="P775" s="1171"/>
      <c r="Q775" s="1171"/>
      <c r="R775" s="1171"/>
      <c r="S775" s="1171"/>
      <c r="T775" s="1182"/>
      <c r="U775" s="1182"/>
      <c r="V775" s="1182"/>
      <c r="W775" s="1182"/>
      <c r="X775" s="1182"/>
      <c r="Y775" s="1124">
        <f t="shared" si="29"/>
        <v>0</v>
      </c>
      <c r="Z775" s="1124"/>
      <c r="AA775" s="1124"/>
      <c r="AB775" s="1124"/>
      <c r="AC775" s="112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8"/>
      <c r="K776" s="1169"/>
      <c r="L776" s="1169"/>
      <c r="M776" s="1169"/>
      <c r="N776" s="1170"/>
      <c r="O776" s="1171"/>
      <c r="P776" s="1171"/>
      <c r="Q776" s="1171"/>
      <c r="R776" s="1171"/>
      <c r="S776" s="1171"/>
      <c r="T776" s="1182"/>
      <c r="U776" s="1182"/>
      <c r="V776" s="1182"/>
      <c r="W776" s="1182"/>
      <c r="X776" s="1182"/>
      <c r="Y776" s="1124">
        <f t="shared" si="29"/>
        <v>0</v>
      </c>
      <c r="Z776" s="1124"/>
      <c r="AA776" s="1124"/>
      <c r="AB776" s="1124"/>
      <c r="AC776" s="112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8"/>
      <c r="K777" s="1169"/>
      <c r="L777" s="1169"/>
      <c r="M777" s="1169"/>
      <c r="N777" s="1170"/>
      <c r="O777" s="1171"/>
      <c r="P777" s="1171"/>
      <c r="Q777" s="1171"/>
      <c r="R777" s="1171"/>
      <c r="S777" s="1171"/>
      <c r="T777" s="1182"/>
      <c r="U777" s="1182"/>
      <c r="V777" s="1182"/>
      <c r="W777" s="1182"/>
      <c r="X777" s="1182"/>
      <c r="Y777" s="1124">
        <f t="shared" si="29"/>
        <v>0</v>
      </c>
      <c r="Z777" s="1124"/>
      <c r="AA777" s="1124"/>
      <c r="AB777" s="1124"/>
      <c r="AC777" s="112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5" t="s">
        <v>132</v>
      </c>
      <c r="K778" s="1166"/>
      <c r="L778" s="1166"/>
      <c r="M778" s="1166"/>
      <c r="N778" s="1167"/>
      <c r="O778" s="1412">
        <f>SUM(O768:S777)</f>
        <v>0</v>
      </c>
      <c r="P778" s="1412"/>
      <c r="Q778" s="1412"/>
      <c r="R778" s="1412"/>
      <c r="S778" s="1412"/>
      <c r="T778" s="1413" t="s">
        <v>131</v>
      </c>
      <c r="U778" s="1414"/>
      <c r="V778" s="1414"/>
      <c r="W778" s="1414"/>
      <c r="X778" s="1415"/>
      <c r="Y778" s="1206">
        <f>SUM(Y768:AC777)</f>
        <v>0</v>
      </c>
      <c r="Z778" s="1116"/>
      <c r="AA778" s="1116"/>
      <c r="AB778" s="1116"/>
      <c r="AC778" s="120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37" t="s">
        <v>515</v>
      </c>
      <c r="BB779" s="1238"/>
      <c r="BC779" s="58"/>
      <c r="BD779" s="58"/>
      <c r="BE779" s="58"/>
      <c r="BF779" s="51" t="s">
        <v>684</v>
      </c>
      <c r="BG779" s="51"/>
      <c r="BH779" s="51"/>
      <c r="BI779" s="51"/>
      <c r="BJ779" s="51"/>
      <c r="BK779" s="51"/>
      <c r="BL779" s="51"/>
      <c r="BM779" s="51"/>
      <c r="BN779" s="51"/>
      <c r="BO779" s="1234" t="str">
        <f>T191</f>
        <v>Los Angeles</v>
      </c>
      <c r="BP779" s="1235"/>
      <c r="BQ779" s="1235"/>
      <c r="BR779" s="1235"/>
      <c r="BS779" s="1235"/>
      <c r="BT779" s="1235"/>
      <c r="BU779" s="1236"/>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9">
        <f>P734+Y758+Y778</f>
        <v>31230</v>
      </c>
      <c r="Z780" s="1189"/>
      <c r="AA780" s="1189"/>
      <c r="AB780" s="1189"/>
      <c r="AC780" s="118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9">
        <f>(P734+Y758+Y778)*12</f>
        <v>374760</v>
      </c>
      <c r="Z781" s="1189"/>
      <c r="AA781" s="1189"/>
      <c r="AB781" s="1189"/>
      <c r="AC781" s="1189"/>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5">
        <v>54</v>
      </c>
      <c r="AA786" s="1146"/>
      <c r="AB786" s="1146"/>
      <c r="AC786" s="1146"/>
      <c r="AD786" s="1146"/>
      <c r="AE786" s="1147"/>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8">
        <v>20</v>
      </c>
      <c r="AA787" s="1146"/>
      <c r="AB787" s="1146"/>
      <c r="AC787" s="1146"/>
      <c r="AD787" s="1146"/>
      <c r="AE787" s="1147"/>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6">
        <v>51312</v>
      </c>
      <c r="AA788" s="1270"/>
      <c r="AB788" s="1270"/>
      <c r="AC788" s="1270"/>
      <c r="AD788" s="1270"/>
      <c r="AE788" s="1271"/>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9">
        <f>'Subsidy Contract Calculation'!I30</f>
        <v>542724</v>
      </c>
      <c r="AA789" s="1210"/>
      <c r="AB789" s="1210"/>
      <c r="AC789" s="1210"/>
      <c r="AD789" s="1210"/>
      <c r="AE789" s="1211"/>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2">
        <v>1320</v>
      </c>
      <c r="AA793" s="1143"/>
      <c r="AB793" s="1143"/>
      <c r="AC793" s="1143"/>
      <c r="AD793" s="1143"/>
      <c r="AE793" s="1144"/>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2"/>
      <c r="AA794" s="1143"/>
      <c r="AB794" s="1143"/>
      <c r="AC794" s="1143"/>
      <c r="AD794" s="1143"/>
      <c r="AE794" s="1144"/>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2"/>
      <c r="AA795" s="1143"/>
      <c r="AB795" s="1143"/>
      <c r="AC795" s="1143"/>
      <c r="AD795" s="1143"/>
      <c r="AE795" s="1144"/>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3" t="s">
        <v>1757</v>
      </c>
      <c r="Q796" s="1154"/>
      <c r="R796" s="1154"/>
      <c r="S796" s="1154"/>
      <c r="T796" s="1154"/>
      <c r="U796" s="1154"/>
      <c r="V796" s="1154"/>
      <c r="W796" s="1154"/>
      <c r="X796" s="1154"/>
      <c r="Y796" s="1155"/>
      <c r="Z796" s="1142">
        <v>5000</v>
      </c>
      <c r="AA796" s="1143"/>
      <c r="AB796" s="1143"/>
      <c r="AC796" s="1143"/>
      <c r="AD796" s="1143"/>
      <c r="AE796" s="1144"/>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9">
        <f>SUM(Z793:AE796)</f>
        <v>6320</v>
      </c>
      <c r="AA797" s="1210"/>
      <c r="AB797" s="1210"/>
      <c r="AC797" s="1210"/>
      <c r="AD797" s="1210"/>
      <c r="AE797" s="1211"/>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9">
        <f>Z797+Y781+Z789</f>
        <v>923804</v>
      </c>
      <c r="AA798" s="1210"/>
      <c r="AB798" s="1210"/>
      <c r="AC798" s="1210"/>
      <c r="AD798" s="1210"/>
      <c r="AE798" s="1211"/>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4" t="s">
        <v>133</v>
      </c>
      <c r="N803" s="1194"/>
      <c r="O803" s="1194"/>
      <c r="P803" s="1195"/>
      <c r="Q803" s="1151" t="s">
        <v>309</v>
      </c>
      <c r="R803" s="1151"/>
      <c r="S803" s="1151"/>
      <c r="T803" s="1151"/>
      <c r="U803" s="1151" t="s">
        <v>310</v>
      </c>
      <c r="V803" s="1151"/>
      <c r="W803" s="1151"/>
      <c r="X803" s="1151"/>
      <c r="Y803" s="1151" t="s">
        <v>311</v>
      </c>
      <c r="Z803" s="1151"/>
      <c r="AA803" s="1151"/>
      <c r="AB803" s="1151"/>
      <c r="AC803" s="1151" t="s">
        <v>385</v>
      </c>
      <c r="AD803" s="1151"/>
      <c r="AE803" s="1151"/>
      <c r="AF803" s="1151"/>
      <c r="AG803" s="1380" t="s">
        <v>358</v>
      </c>
      <c r="AH803" s="1380"/>
      <c r="AI803" s="1380"/>
      <c r="AJ803" s="1380"/>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6"/>
      <c r="N804" s="1196"/>
      <c r="O804" s="1196"/>
      <c r="P804" s="1197"/>
      <c r="Q804" s="1151"/>
      <c r="R804" s="1151"/>
      <c r="S804" s="1151"/>
      <c r="T804" s="1151"/>
      <c r="U804" s="1151"/>
      <c r="V804" s="1151"/>
      <c r="W804" s="1151"/>
      <c r="X804" s="1151"/>
      <c r="Y804" s="1151"/>
      <c r="Z804" s="1151"/>
      <c r="AA804" s="1151"/>
      <c r="AB804" s="1151"/>
      <c r="AC804" s="1151"/>
      <c r="AD804" s="1151"/>
      <c r="AE804" s="1151"/>
      <c r="AF804" s="1151"/>
      <c r="AG804" s="1380"/>
      <c r="AH804" s="1380"/>
      <c r="AI804" s="1380"/>
      <c r="AJ804" s="1380"/>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0" t="s">
        <v>45</v>
      </c>
      <c r="D805" s="1301"/>
      <c r="E805" s="1301"/>
      <c r="F805" s="1301"/>
      <c r="G805" s="1301"/>
      <c r="H805" s="1301"/>
      <c r="I805" s="80"/>
      <c r="J805" s="80"/>
      <c r="K805" s="80"/>
      <c r="L805" s="81"/>
      <c r="M805" s="1159"/>
      <c r="N805" s="1159"/>
      <c r="O805" s="1159"/>
      <c r="P805" s="1159"/>
      <c r="Q805" s="1159"/>
      <c r="R805" s="1159"/>
      <c r="S805" s="1159"/>
      <c r="T805" s="1159"/>
      <c r="U805" s="1159"/>
      <c r="V805" s="1159"/>
      <c r="W805" s="1159"/>
      <c r="X805" s="1159"/>
      <c r="Y805" s="1159"/>
      <c r="Z805" s="1159"/>
      <c r="AA805" s="1159"/>
      <c r="AB805" s="1159"/>
      <c r="AC805" s="1190"/>
      <c r="AD805" s="1191"/>
      <c r="AE805" s="1191"/>
      <c r="AF805" s="1192"/>
      <c r="AG805" s="1190"/>
      <c r="AH805" s="1191"/>
      <c r="AI805" s="1191"/>
      <c r="AJ805" s="1192"/>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0" t="s">
        <v>46</v>
      </c>
      <c r="D806" s="1161"/>
      <c r="E806" s="1161"/>
      <c r="F806" s="1161"/>
      <c r="G806" s="1161"/>
      <c r="H806" s="1161"/>
      <c r="I806" s="77"/>
      <c r="J806" s="77"/>
      <c r="K806" s="77"/>
      <c r="L806" s="78"/>
      <c r="M806" s="1159"/>
      <c r="N806" s="1159"/>
      <c r="O806" s="1159"/>
      <c r="P806" s="1159"/>
      <c r="Q806" s="1159"/>
      <c r="R806" s="1159"/>
      <c r="S806" s="1159"/>
      <c r="T806" s="1159"/>
      <c r="U806" s="1159"/>
      <c r="V806" s="1159"/>
      <c r="W806" s="1159"/>
      <c r="X806" s="1159"/>
      <c r="Y806" s="1159"/>
      <c r="Z806" s="1159"/>
      <c r="AA806" s="1159"/>
      <c r="AB806" s="1159"/>
      <c r="AC806" s="1190"/>
      <c r="AD806" s="1191"/>
      <c r="AE806" s="1191"/>
      <c r="AF806" s="1192"/>
      <c r="AG806" s="1190"/>
      <c r="AH806" s="1191"/>
      <c r="AI806" s="1191"/>
      <c r="AJ806" s="1192"/>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0" t="s">
        <v>47</v>
      </c>
      <c r="D807" s="1161"/>
      <c r="E807" s="1161"/>
      <c r="F807" s="1161"/>
      <c r="G807" s="1161"/>
      <c r="H807" s="1161"/>
      <c r="I807" s="96"/>
      <c r="J807" s="96"/>
      <c r="K807" s="96"/>
      <c r="L807" s="97"/>
      <c r="M807" s="1159"/>
      <c r="N807" s="1159"/>
      <c r="O807" s="1159"/>
      <c r="P807" s="1159"/>
      <c r="Q807" s="1159"/>
      <c r="R807" s="1159"/>
      <c r="S807" s="1159"/>
      <c r="T807" s="1159"/>
      <c r="U807" s="1159"/>
      <c r="V807" s="1159"/>
      <c r="W807" s="1159"/>
      <c r="X807" s="1159"/>
      <c r="Y807" s="1159"/>
      <c r="Z807" s="1159"/>
      <c r="AA807" s="1159"/>
      <c r="AB807" s="1159"/>
      <c r="AC807" s="1190"/>
      <c r="AD807" s="1191"/>
      <c r="AE807" s="1191"/>
      <c r="AF807" s="1192"/>
      <c r="AG807" s="1190"/>
      <c r="AH807" s="1191"/>
      <c r="AI807" s="1191"/>
      <c r="AJ807" s="1192"/>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0" t="s">
        <v>840</v>
      </c>
      <c r="D808" s="1161"/>
      <c r="E808" s="1161"/>
      <c r="F808" s="1161"/>
      <c r="G808" s="1161"/>
      <c r="H808" s="1161"/>
      <c r="I808" s="96"/>
      <c r="J808" s="96"/>
      <c r="K808" s="96"/>
      <c r="L808" s="97"/>
      <c r="M808" s="1159"/>
      <c r="N808" s="1159"/>
      <c r="O808" s="1159"/>
      <c r="P808" s="1159"/>
      <c r="Q808" s="1159"/>
      <c r="R808" s="1159"/>
      <c r="S808" s="1159"/>
      <c r="T808" s="1159"/>
      <c r="U808" s="1159"/>
      <c r="V808" s="1159"/>
      <c r="W808" s="1159"/>
      <c r="X808" s="1159"/>
      <c r="Y808" s="1159"/>
      <c r="Z808" s="1159"/>
      <c r="AA808" s="1159"/>
      <c r="AB808" s="1159"/>
      <c r="AC808" s="1190"/>
      <c r="AD808" s="1191"/>
      <c r="AE808" s="1191"/>
      <c r="AF808" s="1192"/>
      <c r="AG808" s="1190"/>
      <c r="AH808" s="1191"/>
      <c r="AI808" s="1191"/>
      <c r="AJ808" s="1192"/>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0" t="s">
        <v>505</v>
      </c>
      <c r="D809" s="1161"/>
      <c r="E809" s="1161"/>
      <c r="F809" s="1161"/>
      <c r="G809" s="1161"/>
      <c r="H809" s="1161"/>
      <c r="I809" s="96"/>
      <c r="J809" s="96"/>
      <c r="K809" s="96"/>
      <c r="L809" s="97"/>
      <c r="M809" s="1159"/>
      <c r="N809" s="1159"/>
      <c r="O809" s="1159"/>
      <c r="P809" s="1159"/>
      <c r="Q809" s="1159"/>
      <c r="R809" s="1159"/>
      <c r="S809" s="1159"/>
      <c r="T809" s="1159"/>
      <c r="U809" s="1159"/>
      <c r="V809" s="1159"/>
      <c r="W809" s="1159"/>
      <c r="X809" s="1159"/>
      <c r="Y809" s="1159"/>
      <c r="Z809" s="1159"/>
      <c r="AA809" s="1159"/>
      <c r="AB809" s="1159"/>
      <c r="AC809" s="1190"/>
      <c r="AD809" s="1191"/>
      <c r="AE809" s="1191"/>
      <c r="AF809" s="1192"/>
      <c r="AG809" s="1190"/>
      <c r="AH809" s="1191"/>
      <c r="AI809" s="1191"/>
      <c r="AJ809" s="1192"/>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7" t="s">
        <v>864</v>
      </c>
      <c r="D810" s="1161"/>
      <c r="E810" s="1161"/>
      <c r="F810" s="1161"/>
      <c r="G810" s="1161"/>
      <c r="H810" s="1161"/>
      <c r="I810" s="96"/>
      <c r="J810" s="96"/>
      <c r="K810" s="96"/>
      <c r="L810" s="97"/>
      <c r="M810" s="1159"/>
      <c r="N810" s="1159"/>
      <c r="O810" s="1159"/>
      <c r="P810" s="1159"/>
      <c r="Q810" s="1159"/>
      <c r="R810" s="1159"/>
      <c r="S810" s="1159"/>
      <c r="T810" s="1159"/>
      <c r="U810" s="1159"/>
      <c r="V810" s="1159"/>
      <c r="W810" s="1159"/>
      <c r="X810" s="1159"/>
      <c r="Y810" s="1159"/>
      <c r="Z810" s="1159"/>
      <c r="AA810" s="1159"/>
      <c r="AB810" s="1159"/>
      <c r="AC810" s="1190"/>
      <c r="AD810" s="1191"/>
      <c r="AE810" s="1191"/>
      <c r="AF810" s="1192"/>
      <c r="AG810" s="1190"/>
      <c r="AH810" s="1191"/>
      <c r="AI810" s="1191"/>
      <c r="AJ810" s="1192"/>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2" t="s">
        <v>357</v>
      </c>
      <c r="G811" s="1163"/>
      <c r="H811" s="1163"/>
      <c r="I811" s="1163"/>
      <c r="J811" s="1163"/>
      <c r="K811" s="1163"/>
      <c r="L811" s="1164"/>
      <c r="M811" s="1159"/>
      <c r="N811" s="1159"/>
      <c r="O811" s="1159"/>
      <c r="P811" s="1159"/>
      <c r="Q811" s="1159"/>
      <c r="R811" s="1159"/>
      <c r="S811" s="1159"/>
      <c r="T811" s="1159"/>
      <c r="U811" s="1159"/>
      <c r="V811" s="1159"/>
      <c r="W811" s="1159"/>
      <c r="X811" s="1159"/>
      <c r="Y811" s="1159"/>
      <c r="Z811" s="1159"/>
      <c r="AA811" s="1159"/>
      <c r="AB811" s="1159"/>
      <c r="AC811" s="1190"/>
      <c r="AD811" s="1191"/>
      <c r="AE811" s="1191"/>
      <c r="AF811" s="1192"/>
      <c r="AG811" s="1190"/>
      <c r="AH811" s="1191"/>
      <c r="AI811" s="1191"/>
      <c r="AJ811" s="1192"/>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5" t="s">
        <v>131</v>
      </c>
      <c r="D812" s="1166"/>
      <c r="E812" s="1166"/>
      <c r="F812" s="1166"/>
      <c r="G812" s="1166"/>
      <c r="H812" s="1166"/>
      <c r="I812" s="1166"/>
      <c r="J812" s="1166"/>
      <c r="K812" s="1166"/>
      <c r="L812" s="1167"/>
      <c r="M812" s="1193">
        <f>SUM(M805:P811)</f>
        <v>0</v>
      </c>
      <c r="N812" s="1193"/>
      <c r="O812" s="1193"/>
      <c r="P812" s="1193"/>
      <c r="Q812" s="1193">
        <f>SUM(Q805:T811)</f>
        <v>0</v>
      </c>
      <c r="R812" s="1193"/>
      <c r="S812" s="1193"/>
      <c r="T812" s="1193"/>
      <c r="U812" s="1193">
        <f>SUM(U805:X811)</f>
        <v>0</v>
      </c>
      <c r="V812" s="1193"/>
      <c r="W812" s="1193"/>
      <c r="X812" s="1193"/>
      <c r="Y812" s="1193">
        <f>SUM(Y805:AB811)</f>
        <v>0</v>
      </c>
      <c r="Z812" s="1193"/>
      <c r="AA812" s="1193"/>
      <c r="AB812" s="1193"/>
      <c r="AC812" s="1193">
        <f>SUM(AC805:AF811)</f>
        <v>0</v>
      </c>
      <c r="AD812" s="1193"/>
      <c r="AE812" s="1193"/>
      <c r="AF812" s="1193"/>
      <c r="AG812" s="1193">
        <f>SUM(AG805:AJ811)</f>
        <v>0</v>
      </c>
      <c r="AH812" s="1193"/>
      <c r="AI812" s="1193"/>
      <c r="AJ812" s="1193"/>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1" t="s">
        <v>1758</v>
      </c>
      <c r="D817" s="1322"/>
      <c r="E817" s="1322"/>
      <c r="F817" s="1322"/>
      <c r="G817" s="1322"/>
      <c r="H817" s="1322"/>
      <c r="I817" s="1322"/>
      <c r="J817" s="1322"/>
      <c r="K817" s="1322"/>
      <c r="L817" s="1322"/>
      <c r="M817" s="1322"/>
      <c r="N817" s="1322"/>
      <c r="O817" s="1322"/>
      <c r="P817" s="1322"/>
      <c r="Q817" s="1322"/>
      <c r="R817" s="1322"/>
      <c r="S817" s="1322"/>
      <c r="T817" s="1322"/>
      <c r="U817" s="1322"/>
      <c r="V817" s="1322"/>
      <c r="W817" s="1322"/>
      <c r="X817" s="1322"/>
      <c r="Y817" s="1322"/>
      <c r="Z817" s="1322"/>
      <c r="AA817" s="1322"/>
      <c r="AB817" s="1322"/>
      <c r="AC817" s="1322"/>
      <c r="AD817" s="1322"/>
      <c r="AE817" s="1322"/>
      <c r="AF817" s="1322"/>
      <c r="AG817" s="1322"/>
      <c r="AH817" s="1322"/>
      <c r="AI817" s="1322"/>
      <c r="AJ817" s="1323"/>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9">
        <v>1000</v>
      </c>
      <c r="X822" s="1229"/>
      <c r="Y822" s="1229"/>
      <c r="Z822" s="1229"/>
      <c r="AA822" s="1229"/>
      <c r="AB822" s="1229"/>
      <c r="AC822" s="1229"/>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9">
        <v>6000</v>
      </c>
      <c r="X823" s="1229"/>
      <c r="Y823" s="1229"/>
      <c r="Z823" s="1229"/>
      <c r="AA823" s="1229"/>
      <c r="AB823" s="1229"/>
      <c r="AC823" s="1229"/>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9">
        <v>12000</v>
      </c>
      <c r="X824" s="1229"/>
      <c r="Y824" s="1229"/>
      <c r="Z824" s="1229"/>
      <c r="AA824" s="1229"/>
      <c r="AB824" s="1229"/>
      <c r="AC824" s="1229"/>
      <c r="AD824" s="12"/>
      <c r="AE824" s="12"/>
      <c r="AF824" s="12"/>
      <c r="AG824" s="12"/>
      <c r="AH824" s="12"/>
      <c r="AI824" s="12"/>
      <c r="AJ824" s="12"/>
      <c r="AK824" s="12"/>
      <c r="AL824" s="12"/>
      <c r="AS824" s="21"/>
      <c r="AT824" s="56"/>
      <c r="AV824" s="1150">
        <f>ROUNDDOWN(AP908*2,2)</f>
        <v>0</v>
      </c>
      <c r="AW824" s="1150"/>
      <c r="AX824" s="1150"/>
      <c r="AY824" s="1150"/>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9">
        <v>80000</v>
      </c>
      <c r="X825" s="1229"/>
      <c r="Y825" s="1229"/>
      <c r="Z825" s="1229"/>
      <c r="AA825" s="1229"/>
      <c r="AB825" s="1229"/>
      <c r="AC825" s="122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327" t="s">
        <v>1779</v>
      </c>
      <c r="N826" s="1163"/>
      <c r="O826" s="1163"/>
      <c r="P826" s="1163"/>
      <c r="Q826" s="1163"/>
      <c r="R826" s="1163"/>
      <c r="S826" s="1163"/>
      <c r="T826" s="1163"/>
      <c r="U826" s="1163"/>
      <c r="V826" s="1164"/>
      <c r="W826" s="1229">
        <v>9000</v>
      </c>
      <c r="X826" s="1229"/>
      <c r="Y826" s="1229"/>
      <c r="Z826" s="1229"/>
      <c r="AA826" s="1229"/>
      <c r="AB826" s="1229"/>
      <c r="AC826" s="1229"/>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9">
        <f>SUM(W822:AC826)</f>
        <v>108000</v>
      </c>
      <c r="X827" s="1210"/>
      <c r="Y827" s="1210"/>
      <c r="Z827" s="1210"/>
      <c r="AA827" s="1210"/>
      <c r="AB827" s="1210"/>
      <c r="AC827" s="1211"/>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5" t="s">
        <v>369</v>
      </c>
      <c r="K829" s="1166"/>
      <c r="L829" s="1166"/>
      <c r="M829" s="1166"/>
      <c r="N829" s="1166"/>
      <c r="O829" s="1166"/>
      <c r="P829" s="1166"/>
      <c r="Q829" s="1166"/>
      <c r="R829" s="1166"/>
      <c r="S829" s="1166"/>
      <c r="T829" s="1166"/>
      <c r="U829" s="1166"/>
      <c r="V829" s="1167"/>
      <c r="W829" s="1142">
        <v>49885</v>
      </c>
      <c r="X829" s="1143"/>
      <c r="Y829" s="1143"/>
      <c r="Z829" s="1143"/>
      <c r="AA829" s="1143"/>
      <c r="AB829" s="1143"/>
      <c r="AC829" s="1144"/>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384"/>
      <c r="X831" s="1384"/>
      <c r="Y831" s="1384"/>
      <c r="Z831" s="1384"/>
      <c r="AA831" s="1384"/>
      <c r="AB831" s="1384"/>
      <c r="AC831" s="1384"/>
      <c r="AD831" s="12"/>
      <c r="AE831" s="12"/>
      <c r="AF831" s="12"/>
      <c r="AG831" s="12"/>
      <c r="AH831" s="12"/>
      <c r="AI831" s="12"/>
      <c r="AJ831" s="12"/>
      <c r="AK831" s="12"/>
      <c r="AL831" s="12"/>
      <c r="AM831" s="130"/>
      <c r="AN831" s="130"/>
      <c r="AO831" s="21"/>
      <c r="AP831" s="21"/>
      <c r="AQ831" s="21"/>
      <c r="AR831" s="21"/>
      <c r="AS831" s="21"/>
      <c r="AT831" s="1149"/>
      <c r="AU831" s="1149"/>
      <c r="AV831" s="1149"/>
      <c r="AW831" s="1149"/>
      <c r="AX831" s="1149"/>
      <c r="AY831" s="1149"/>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4">
        <v>10000</v>
      </c>
      <c r="X832" s="1384"/>
      <c r="Y832" s="1384"/>
      <c r="Z832" s="1384"/>
      <c r="AA832" s="1384"/>
      <c r="AB832" s="1384"/>
      <c r="AC832" s="1384"/>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84">
        <v>40000</v>
      </c>
      <c r="X833" s="1384"/>
      <c r="Y833" s="1384"/>
      <c r="Z833" s="1384"/>
      <c r="AA833" s="1384"/>
      <c r="AB833" s="1384"/>
      <c r="AC833" s="138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84">
        <v>30000</v>
      </c>
      <c r="X834" s="1384"/>
      <c r="Y834" s="1384"/>
      <c r="Z834" s="1384"/>
      <c r="AA834" s="1384"/>
      <c r="AB834" s="1384"/>
      <c r="AC834" s="1384"/>
      <c r="AD834" s="12"/>
      <c r="AE834" s="12"/>
      <c r="AF834" s="12"/>
      <c r="AG834" s="12"/>
      <c r="AH834" s="12"/>
      <c r="AI834" s="12"/>
      <c r="AJ834" s="12"/>
      <c r="AK834" s="12"/>
      <c r="AL834" s="12"/>
      <c r="AM834" s="1411">
        <f>SUM(AM801:AM829)</f>
        <v>7.5000000000000011E-2</v>
      </c>
      <c r="AN834" s="1411"/>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9">
        <f>SUM(W831:AC834)</f>
        <v>80000</v>
      </c>
      <c r="X835" s="1409"/>
      <c r="Y835" s="1409"/>
      <c r="Z835" s="1409"/>
      <c r="AA835" s="1409"/>
      <c r="AB835" s="1409"/>
      <c r="AC835" s="1409"/>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385">
        <v>40000</v>
      </c>
      <c r="X837" s="1386"/>
      <c r="Y837" s="1386"/>
      <c r="Z837" s="1386"/>
      <c r="AA837" s="1386"/>
      <c r="AB837" s="1386"/>
      <c r="AC837" s="1387"/>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385">
        <v>35000</v>
      </c>
      <c r="X838" s="1386"/>
      <c r="Y838" s="1386"/>
      <c r="Z838" s="1386"/>
      <c r="AA838" s="1386"/>
      <c r="AB838" s="1386"/>
      <c r="AC838" s="1387"/>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27" t="s">
        <v>1759</v>
      </c>
      <c r="N839" s="1163"/>
      <c r="O839" s="1163"/>
      <c r="P839" s="1163"/>
      <c r="Q839" s="1163"/>
      <c r="R839" s="1163"/>
      <c r="S839" s="1163"/>
      <c r="T839" s="1163"/>
      <c r="U839" s="1163"/>
      <c r="V839" s="1164"/>
      <c r="W839" s="1385">
        <v>18000</v>
      </c>
      <c r="X839" s="1386"/>
      <c r="Y839" s="1386"/>
      <c r="Z839" s="1386"/>
      <c r="AA839" s="1386"/>
      <c r="AB839" s="1386"/>
      <c r="AC839" s="1387"/>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3">
        <f>SUM(W837:AC839)</f>
        <v>93000</v>
      </c>
      <c r="X840" s="1394"/>
      <c r="Y840" s="1394"/>
      <c r="Z840" s="1394"/>
      <c r="AA840" s="1394"/>
      <c r="AB840" s="1394"/>
      <c r="AC840" s="1395"/>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5">
        <v>28000</v>
      </c>
      <c r="X841" s="1386"/>
      <c r="Y841" s="1386"/>
      <c r="Z841" s="1386"/>
      <c r="AA841" s="1386"/>
      <c r="AB841" s="1386"/>
      <c r="AC841" s="1387"/>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29">
        <v>2000</v>
      </c>
      <c r="X843" s="1229"/>
      <c r="Y843" s="1229"/>
      <c r="Z843" s="1229"/>
      <c r="AA843" s="1229"/>
      <c r="AB843" s="1229"/>
      <c r="AC843" s="1229"/>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29">
        <v>10000</v>
      </c>
      <c r="X844" s="1229"/>
      <c r="Y844" s="1229"/>
      <c r="Z844" s="1229"/>
      <c r="AA844" s="1229"/>
      <c r="AB844" s="1229"/>
      <c r="AC844" s="1229"/>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29">
        <v>10000</v>
      </c>
      <c r="X845" s="1229"/>
      <c r="Y845" s="1229"/>
      <c r="Z845" s="1229"/>
      <c r="AA845" s="1229"/>
      <c r="AB845" s="1229"/>
      <c r="AC845" s="1229"/>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29">
        <v>5000</v>
      </c>
      <c r="X846" s="1229"/>
      <c r="Y846" s="1229"/>
      <c r="Z846" s="1229"/>
      <c r="AA846" s="1229"/>
      <c r="AB846" s="1229"/>
      <c r="AC846" s="1229"/>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29">
        <v>5000</v>
      </c>
      <c r="X847" s="1229"/>
      <c r="Y847" s="1229"/>
      <c r="Z847" s="1229"/>
      <c r="AA847" s="1229"/>
      <c r="AB847" s="1229"/>
      <c r="AC847" s="122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29">
        <v>6500</v>
      </c>
      <c r="X848" s="1229"/>
      <c r="Y848" s="1229"/>
      <c r="Z848" s="1229"/>
      <c r="AA848" s="1229"/>
      <c r="AB848" s="1229"/>
      <c r="AC848" s="122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27" t="s">
        <v>1760</v>
      </c>
      <c r="N849" s="1163"/>
      <c r="O849" s="1163"/>
      <c r="P849" s="1163"/>
      <c r="Q849" s="1163"/>
      <c r="R849" s="1163"/>
      <c r="S849" s="1163"/>
      <c r="T849" s="1163"/>
      <c r="U849" s="1163"/>
      <c r="V849" s="1164"/>
      <c r="W849" s="1229">
        <v>7000</v>
      </c>
      <c r="X849" s="1229"/>
      <c r="Y849" s="1229"/>
      <c r="Z849" s="1229"/>
      <c r="AA849" s="1229"/>
      <c r="AB849" s="1229"/>
      <c r="AC849" s="122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9">
        <f>SUM(W843:AC849)</f>
        <v>45500</v>
      </c>
      <c r="X850" s="1189"/>
      <c r="Y850" s="1189"/>
      <c r="Z850" s="1189"/>
      <c r="AA850" s="1189"/>
      <c r="AB850" s="1189"/>
      <c r="AC850" s="118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62" t="s">
        <v>357</v>
      </c>
      <c r="N852" s="1163"/>
      <c r="O852" s="1163"/>
      <c r="P852" s="1163"/>
      <c r="Q852" s="1163"/>
      <c r="R852" s="1163"/>
      <c r="S852" s="1163"/>
      <c r="T852" s="1163"/>
      <c r="U852" s="1163"/>
      <c r="V852" s="1164"/>
      <c r="W852" s="1142"/>
      <c r="X852" s="1143"/>
      <c r="Y852" s="1143"/>
      <c r="Z852" s="1143"/>
      <c r="AA852" s="1143"/>
      <c r="AB852" s="1143"/>
      <c r="AC852" s="114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62" t="s">
        <v>357</v>
      </c>
      <c r="N853" s="1163"/>
      <c r="O853" s="1163"/>
      <c r="P853" s="1163"/>
      <c r="Q853" s="1163"/>
      <c r="R853" s="1163"/>
      <c r="S853" s="1163"/>
      <c r="T853" s="1163"/>
      <c r="U853" s="1163"/>
      <c r="V853" s="1164"/>
      <c r="W853" s="1142"/>
      <c r="X853" s="1143"/>
      <c r="Y853" s="1143"/>
      <c r="Z853" s="1143"/>
      <c r="AA853" s="1143"/>
      <c r="AB853" s="1143"/>
      <c r="AC853" s="114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2" t="s">
        <v>357</v>
      </c>
      <c r="N854" s="1163"/>
      <c r="O854" s="1163"/>
      <c r="P854" s="1163"/>
      <c r="Q854" s="1163"/>
      <c r="R854" s="1163"/>
      <c r="S854" s="1163"/>
      <c r="T854" s="1163"/>
      <c r="U854" s="1163"/>
      <c r="V854" s="1164"/>
      <c r="W854" s="1142"/>
      <c r="X854" s="1143"/>
      <c r="Y854" s="1143"/>
      <c r="Z854" s="1143"/>
      <c r="AA854" s="1143"/>
      <c r="AB854" s="1143"/>
      <c r="AC854" s="114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2" t="s">
        <v>357</v>
      </c>
      <c r="N855" s="1163"/>
      <c r="O855" s="1163"/>
      <c r="P855" s="1163"/>
      <c r="Q855" s="1163"/>
      <c r="R855" s="1163"/>
      <c r="S855" s="1163"/>
      <c r="T855" s="1163"/>
      <c r="U855" s="1163"/>
      <c r="V855" s="1164"/>
      <c r="W855" s="1142"/>
      <c r="X855" s="1143"/>
      <c r="Y855" s="1143"/>
      <c r="Z855" s="1143"/>
      <c r="AA855" s="1143"/>
      <c r="AB855" s="1143"/>
      <c r="AC855" s="114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2" t="s">
        <v>357</v>
      </c>
      <c r="N856" s="1163"/>
      <c r="O856" s="1163"/>
      <c r="P856" s="1163"/>
      <c r="Q856" s="1163"/>
      <c r="R856" s="1163"/>
      <c r="S856" s="1163"/>
      <c r="T856" s="1163"/>
      <c r="U856" s="1163"/>
      <c r="V856" s="1164"/>
      <c r="W856" s="1142"/>
      <c r="X856" s="1143"/>
      <c r="Y856" s="1143"/>
      <c r="Z856" s="1143"/>
      <c r="AA856" s="1143"/>
      <c r="AB856" s="1143"/>
      <c r="AC856" s="114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9">
        <f>SUM(W852:AC856)</f>
        <v>0</v>
      </c>
      <c r="X857" s="1210"/>
      <c r="Y857" s="1210"/>
      <c r="Z857" s="1210"/>
      <c r="AA857" s="1210"/>
      <c r="AB857" s="1210"/>
      <c r="AC857" s="1211"/>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9">
        <f>W827+W835+W840+W841+W850+W857+W829</f>
        <v>404385</v>
      </c>
      <c r="AD861" s="1210"/>
      <c r="AE861" s="1210"/>
      <c r="AF861" s="1210"/>
      <c r="AG861" s="1210"/>
      <c r="AH861" s="1211"/>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56">
        <f>O778+O758+G734</f>
        <v>55</v>
      </c>
      <c r="AD862" s="1557"/>
      <c r="AE862" s="1557"/>
      <c r="AF862" s="1557"/>
      <c r="AG862" s="1557"/>
      <c r="AH862" s="155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4" t="s">
        <v>35</v>
      </c>
      <c r="F863" s="1325"/>
      <c r="G863" s="1325"/>
      <c r="H863" s="1325"/>
      <c r="I863" s="1325"/>
      <c r="J863" s="1325"/>
      <c r="K863" s="1325"/>
      <c r="L863" s="1325"/>
      <c r="M863" s="1325"/>
      <c r="N863" s="1325"/>
      <c r="O863" s="1325"/>
      <c r="P863" s="1325"/>
      <c r="Q863" s="1325"/>
      <c r="R863" s="1325"/>
      <c r="S863" s="1325"/>
      <c r="T863" s="1325"/>
      <c r="U863" s="1325"/>
      <c r="V863" s="1325"/>
      <c r="W863" s="1325"/>
      <c r="X863" s="1325"/>
      <c r="Y863" s="1325"/>
      <c r="Z863" s="1325"/>
      <c r="AA863" s="1325"/>
      <c r="AB863" s="1326"/>
      <c r="AC863" s="1559">
        <f>IF(ISERROR((ROUNDDOWN(AC861/AC862,0))),0,(ROUNDDOWN(AC861/AC862,0)))</f>
        <v>7352</v>
      </c>
      <c r="AD863" s="1560"/>
      <c r="AE863" s="1560"/>
      <c r="AF863" s="1560"/>
      <c r="AG863" s="1560"/>
      <c r="AH863" s="1560"/>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88">
        <v>194000</v>
      </c>
      <c r="AD864" s="1410"/>
      <c r="AE864" s="1410"/>
      <c r="AF864" s="1410"/>
      <c r="AG864" s="1410"/>
      <c r="AH864" s="141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4"/>
      <c r="AD865" s="1229"/>
      <c r="AE865" s="1229"/>
      <c r="AF865" s="1229"/>
      <c r="AG865" s="1229"/>
      <c r="AH865" s="122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2">
        <v>20000</v>
      </c>
      <c r="AD866" s="1143"/>
      <c r="AE866" s="1143"/>
      <c r="AF866" s="1143"/>
      <c r="AG866" s="1143"/>
      <c r="AH866" s="114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2">
        <v>27500</v>
      </c>
      <c r="AD867" s="1143"/>
      <c r="AE867" s="1143"/>
      <c r="AF867" s="1143"/>
      <c r="AG867" s="1143"/>
      <c r="AH867" s="114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2">
        <v>5000</v>
      </c>
      <c r="AD868" s="1143"/>
      <c r="AE868" s="1143"/>
      <c r="AF868" s="1143"/>
      <c r="AG868" s="1143"/>
      <c r="AH868" s="114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0" t="s">
        <v>1761</v>
      </c>
      <c r="F869" s="1391"/>
      <c r="G869" s="1391"/>
      <c r="H869" s="1391"/>
      <c r="I869" s="1391"/>
      <c r="J869" s="1391"/>
      <c r="K869" s="1391"/>
      <c r="L869" s="1391"/>
      <c r="M869" s="1391"/>
      <c r="N869" s="1391"/>
      <c r="O869" s="1391"/>
      <c r="P869" s="1391"/>
      <c r="Q869" s="1391"/>
      <c r="R869" s="1391"/>
      <c r="S869" s="1391"/>
      <c r="T869" s="1391"/>
      <c r="U869" s="1391"/>
      <c r="V869" s="1391"/>
      <c r="W869" s="1391"/>
      <c r="X869" s="1391"/>
      <c r="Y869" s="1391"/>
      <c r="Z869" s="1391"/>
      <c r="AA869" s="1391"/>
      <c r="AB869" s="1392"/>
      <c r="AC869" s="1229">
        <v>14000</v>
      </c>
      <c r="AD869" s="1229"/>
      <c r="AE869" s="1229"/>
      <c r="AF869" s="1229"/>
      <c r="AG869" s="1229"/>
      <c r="AH869" s="122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0" t="s">
        <v>1065</v>
      </c>
      <c r="F870" s="1391"/>
      <c r="G870" s="1391"/>
      <c r="H870" s="1391"/>
      <c r="I870" s="1391"/>
      <c r="J870" s="1391"/>
      <c r="K870" s="1391"/>
      <c r="L870" s="1391"/>
      <c r="M870" s="1391"/>
      <c r="N870" s="1391"/>
      <c r="O870" s="1391"/>
      <c r="P870" s="1391"/>
      <c r="Q870" s="1391"/>
      <c r="R870" s="1391"/>
      <c r="S870" s="1391"/>
      <c r="T870" s="1391"/>
      <c r="U870" s="1391"/>
      <c r="V870" s="1391"/>
      <c r="W870" s="1391"/>
      <c r="X870" s="1391"/>
      <c r="Y870" s="1391"/>
      <c r="Z870" s="1391"/>
      <c r="AA870" s="1391"/>
      <c r="AB870" s="1392"/>
      <c r="AC870" s="1229"/>
      <c r="AD870" s="1229"/>
      <c r="AE870" s="1229"/>
      <c r="AF870" s="1229"/>
      <c r="AG870" s="1229"/>
      <c r="AH870" s="122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2"/>
      <c r="AA874" s="1143"/>
      <c r="AB874" s="1143"/>
      <c r="AC874" s="1143"/>
      <c r="AD874" s="1143"/>
      <c r="AE874" s="114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2"/>
      <c r="AA875" s="1143"/>
      <c r="AB875" s="1143"/>
      <c r="AC875" s="1143"/>
      <c r="AD875" s="1143"/>
      <c r="AE875" s="114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2"/>
      <c r="AA876" s="1143"/>
      <c r="AB876" s="1143"/>
      <c r="AC876" s="1143"/>
      <c r="AD876" s="1143"/>
      <c r="AE876" s="114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9">
        <f>Z874-(Z875+Z876)</f>
        <v>0</v>
      </c>
      <c r="AA877" s="1210"/>
      <c r="AB877" s="1210"/>
      <c r="AC877" s="1210"/>
      <c r="AD877" s="1210"/>
      <c r="AE877" s="1211"/>
      <c r="AM877" s="61"/>
      <c r="AO877" s="52" t="s">
        <v>180</v>
      </c>
      <c r="AP877" s="177">
        <v>20</v>
      </c>
      <c r="AQ877" s="1140">
        <f>IF(AD955&gt;0,0.2,0)</f>
        <v>0.2</v>
      </c>
      <c r="AR877" s="114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8">
        <f>IF(AD958&gt;0,0.05,0)</f>
        <v>0</v>
      </c>
      <c r="AR878" s="140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1">
        <f>IF(AD965&gt;0,0.07,0)</f>
        <v>0</v>
      </c>
      <c r="AR879" s="1141"/>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1">
        <f>IF(AD969&gt;0,0.02,0)</f>
        <v>0</v>
      </c>
      <c r="AR880" s="1141"/>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1">
        <f>IF(AD971&gt;0,0.02,0)</f>
        <v>0.02</v>
      </c>
      <c r="AR881" s="1141"/>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0">
        <f>AN891</f>
        <v>0</v>
      </c>
      <c r="AR882" s="1141"/>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2"/>
      <c r="AR883" s="1152"/>
      <c r="AS883" s="1152"/>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5"/>
      <c r="AR884" s="1405"/>
      <c r="AS884" s="1405"/>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1" t="s">
        <v>103</v>
      </c>
      <c r="B885" s="1261"/>
      <c r="C885" s="1261"/>
      <c r="D885" s="1261"/>
      <c r="E885" s="1261"/>
      <c r="F885" s="1261"/>
      <c r="G885" s="1261"/>
      <c r="H885" s="1261"/>
      <c r="I885" s="1261"/>
      <c r="J885" s="1261"/>
      <c r="K885" s="1261"/>
      <c r="L885" s="1261"/>
      <c r="M885" s="1261"/>
      <c r="N885" s="1261"/>
      <c r="O885" s="1261"/>
      <c r="P885" s="1261"/>
      <c r="Q885" s="1261"/>
      <c r="R885" s="1261"/>
      <c r="S885" s="1261"/>
      <c r="T885" s="1261"/>
      <c r="U885" s="1261"/>
      <c r="V885" s="1261"/>
      <c r="W885" s="1261"/>
      <c r="X885" s="1261"/>
      <c r="Y885" s="1261"/>
      <c r="Z885" s="1261"/>
      <c r="AA885" s="1261"/>
      <c r="AB885" s="1261"/>
      <c r="AC885" s="1261"/>
      <c r="AD885" s="1261"/>
      <c r="AE885" s="1261"/>
      <c r="AF885" s="1261"/>
      <c r="AG885" s="1261"/>
      <c r="AH885" s="1261"/>
      <c r="AI885" s="1261"/>
      <c r="AJ885" s="1261"/>
      <c r="AK885" s="1261"/>
      <c r="AL885" s="1261"/>
      <c r="AM885" s="61"/>
      <c r="AO885" s="52" t="s">
        <v>323</v>
      </c>
      <c r="AP885" s="177">
        <v>10</v>
      </c>
      <c r="AQ885" s="1141">
        <f>IF(AD988&gt;0,0.1,0)</f>
        <v>0.1</v>
      </c>
      <c r="AR885" s="1141"/>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2"/>
      <c r="B886" s="1262"/>
      <c r="C886" s="1262"/>
      <c r="D886" s="1262"/>
      <c r="E886" s="1262"/>
      <c r="F886" s="1262"/>
      <c r="G886" s="1262"/>
      <c r="H886" s="1262"/>
      <c r="I886" s="1262"/>
      <c r="J886" s="1262"/>
      <c r="K886" s="1262"/>
      <c r="L886" s="1262"/>
      <c r="M886" s="1262"/>
      <c r="N886" s="1262"/>
      <c r="O886" s="1262"/>
      <c r="P886" s="1262"/>
      <c r="Q886" s="1262"/>
      <c r="R886" s="1262"/>
      <c r="S886" s="1262"/>
      <c r="T886" s="1262"/>
      <c r="U886" s="1262"/>
      <c r="V886" s="1262"/>
      <c r="W886" s="1262"/>
      <c r="X886" s="1262"/>
      <c r="Y886" s="1262"/>
      <c r="Z886" s="1262"/>
      <c r="AA886" s="1262"/>
      <c r="AB886" s="1262"/>
      <c r="AC886" s="1262"/>
      <c r="AD886" s="1262"/>
      <c r="AE886" s="1262"/>
      <c r="AF886" s="1262"/>
      <c r="AG886" s="1262"/>
      <c r="AH886" s="1262"/>
      <c r="AI886" s="1262"/>
      <c r="AJ886" s="1262"/>
      <c r="AK886" s="1262"/>
      <c r="AL886" s="1262"/>
      <c r="AM886" s="61"/>
      <c r="AO886" s="52"/>
      <c r="AP886" s="177"/>
      <c r="AQ886" s="1140">
        <f>SUM(AQ877:AQ885)</f>
        <v>0.32</v>
      </c>
      <c r="AR886" s="1141"/>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0">
        <f>SUM(AQ877:AR881)+AQ885</f>
        <v>0.32</v>
      </c>
      <c r="AR888" s="1141"/>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6" t="s">
        <v>873</v>
      </c>
      <c r="G890" s="1397"/>
      <c r="H890" s="1397"/>
      <c r="I890" s="1397"/>
      <c r="J890" s="1397"/>
      <c r="K890" s="1397"/>
      <c r="L890" s="1397"/>
      <c r="M890" s="1397"/>
      <c r="N890" s="1397"/>
      <c r="O890" s="1397"/>
      <c r="P890" s="1397"/>
      <c r="Q890" s="1397"/>
      <c r="R890" s="1397"/>
      <c r="S890" s="1397"/>
      <c r="T890" s="1398"/>
      <c r="U890" s="1333" t="s">
        <v>34</v>
      </c>
      <c r="V890" s="1334"/>
      <c r="W890" s="1334"/>
      <c r="X890" s="1334"/>
      <c r="Y890" s="1334"/>
      <c r="Z890" s="1334"/>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5" t="s">
        <v>902</v>
      </c>
      <c r="G891" s="1336"/>
      <c r="H891" s="1336"/>
      <c r="I891" s="1336"/>
      <c r="J891" s="1336"/>
      <c r="K891" s="1336"/>
      <c r="L891" s="1336"/>
      <c r="M891" s="1336"/>
      <c r="N891" s="1336"/>
      <c r="O891" s="1336"/>
      <c r="P891" s="1336"/>
      <c r="Q891" s="1336"/>
      <c r="R891" s="1336"/>
      <c r="S891" s="1336"/>
      <c r="T891" s="1554"/>
      <c r="U891" s="1335"/>
      <c r="V891" s="1336"/>
      <c r="W891" s="1336"/>
      <c r="X891" s="1336"/>
      <c r="Y891" s="1336"/>
      <c r="Z891" s="133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7"/>
      <c r="G892" s="1338"/>
      <c r="H892" s="1338"/>
      <c r="I892" s="1338"/>
      <c r="J892" s="1338"/>
      <c r="K892" s="1338"/>
      <c r="L892" s="1338"/>
      <c r="M892" s="1338"/>
      <c r="N892" s="1338"/>
      <c r="O892" s="1338"/>
      <c r="P892" s="1338"/>
      <c r="Q892" s="1338"/>
      <c r="R892" s="1338"/>
      <c r="S892" s="1338"/>
      <c r="T892" s="1555"/>
      <c r="U892" s="1337"/>
      <c r="V892" s="1338"/>
      <c r="W892" s="1338"/>
      <c r="X892" s="1338"/>
      <c r="Y892" s="1338"/>
      <c r="Z892" s="1338"/>
      <c r="AA892" s="168"/>
      <c r="AB892" s="1212" t="s">
        <v>424</v>
      </c>
      <c r="AC892" s="1212"/>
      <c r="AD892" s="1212"/>
      <c r="AE892" s="121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25" t="s">
        <v>591</v>
      </c>
      <c r="V893" s="1226"/>
      <c r="W893" s="1226"/>
      <c r="X893" s="1226"/>
      <c r="Y893" s="1226"/>
      <c r="Z893" s="1227"/>
      <c r="AA893" s="1186">
        <v>15761456</v>
      </c>
      <c r="AB893" s="1187"/>
      <c r="AC893" s="1187"/>
      <c r="AD893" s="1187"/>
      <c r="AE893" s="1187"/>
      <c r="AF893" s="1188"/>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25" t="s">
        <v>641</v>
      </c>
      <c r="V894" s="1226"/>
      <c r="W894" s="1226"/>
      <c r="X894" s="1226"/>
      <c r="Y894" s="1226"/>
      <c r="Z894" s="1227"/>
      <c r="AA894" s="1186"/>
      <c r="AB894" s="1187"/>
      <c r="AC894" s="1187"/>
      <c r="AD894" s="1187"/>
      <c r="AE894" s="1187"/>
      <c r="AF894" s="1188"/>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25" t="s">
        <v>641</v>
      </c>
      <c r="V895" s="1226"/>
      <c r="W895" s="1226"/>
      <c r="X895" s="1226"/>
      <c r="Y895" s="1226"/>
      <c r="Z895" s="1227"/>
      <c r="AA895" s="1186"/>
      <c r="AB895" s="1187"/>
      <c r="AC895" s="1187"/>
      <c r="AD895" s="1187"/>
      <c r="AE895" s="1187"/>
      <c r="AF895" s="1188"/>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25" t="s">
        <v>641</v>
      </c>
      <c r="V896" s="1226"/>
      <c r="W896" s="1226"/>
      <c r="X896" s="1226"/>
      <c r="Y896" s="1226"/>
      <c r="Z896" s="1227"/>
      <c r="AA896" s="1186"/>
      <c r="AB896" s="1187"/>
      <c r="AC896" s="1187"/>
      <c r="AD896" s="1187"/>
      <c r="AE896" s="1187"/>
      <c r="AF896" s="1188"/>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25" t="s">
        <v>641</v>
      </c>
      <c r="V897" s="1226"/>
      <c r="W897" s="1226"/>
      <c r="X897" s="1226"/>
      <c r="Y897" s="1226"/>
      <c r="Z897" s="1227"/>
      <c r="AA897" s="1186"/>
      <c r="AB897" s="1187"/>
      <c r="AC897" s="1187"/>
      <c r="AD897" s="1187"/>
      <c r="AE897" s="1187"/>
      <c r="AF897" s="1188"/>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25" t="s">
        <v>641</v>
      </c>
      <c r="V898" s="1226"/>
      <c r="W898" s="1226"/>
      <c r="X898" s="1226"/>
      <c r="Y898" s="1226"/>
      <c r="Z898" s="1227"/>
      <c r="AA898" s="1186"/>
      <c r="AB898" s="1187"/>
      <c r="AC898" s="1187"/>
      <c r="AD898" s="1187"/>
      <c r="AE898" s="1187"/>
      <c r="AF898" s="1188"/>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25" t="s">
        <v>641</v>
      </c>
      <c r="V899" s="1226"/>
      <c r="W899" s="1226"/>
      <c r="X899" s="1226"/>
      <c r="Y899" s="1226"/>
      <c r="Z899" s="1227"/>
      <c r="AA899" s="1186"/>
      <c r="AB899" s="1187"/>
      <c r="AC899" s="1187"/>
      <c r="AD899" s="1187"/>
      <c r="AE899" s="1187"/>
      <c r="AF899" s="1188"/>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25" t="s">
        <v>641</v>
      </c>
      <c r="V900" s="1226"/>
      <c r="W900" s="1226"/>
      <c r="X900" s="1226"/>
      <c r="Y900" s="1226"/>
      <c r="Z900" s="1227"/>
      <c r="AA900" s="1186"/>
      <c r="AB900" s="1187"/>
      <c r="AC900" s="1187"/>
      <c r="AD900" s="1187"/>
      <c r="AE900" s="1187"/>
      <c r="AF900" s="1188"/>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25" t="s">
        <v>641</v>
      </c>
      <c r="V901" s="1226"/>
      <c r="W901" s="1226"/>
      <c r="X901" s="1226"/>
      <c r="Y901" s="1226"/>
      <c r="Z901" s="1227"/>
      <c r="AA901" s="1186"/>
      <c r="AB901" s="1187"/>
      <c r="AC901" s="1187"/>
      <c r="AD901" s="1187"/>
      <c r="AE901" s="1187"/>
      <c r="AF901" s="1188"/>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25" t="s">
        <v>641</v>
      </c>
      <c r="V902" s="1226"/>
      <c r="W902" s="1226"/>
      <c r="X902" s="1226"/>
      <c r="Y902" s="1226"/>
      <c r="Z902" s="1227"/>
      <c r="AA902" s="1186"/>
      <c r="AB902" s="1187"/>
      <c r="AC902" s="1187"/>
      <c r="AD902" s="1187"/>
      <c r="AE902" s="1187"/>
      <c r="AF902" s="1188"/>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25" t="s">
        <v>641</v>
      </c>
      <c r="V903" s="1226"/>
      <c r="W903" s="1226"/>
      <c r="X903" s="1226"/>
      <c r="Y903" s="1226"/>
      <c r="Z903" s="1227"/>
      <c r="AA903" s="1186"/>
      <c r="AB903" s="1187"/>
      <c r="AC903" s="1187"/>
      <c r="AD903" s="1187"/>
      <c r="AE903" s="1187"/>
      <c r="AF903" s="1188"/>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25" t="s">
        <v>641</v>
      </c>
      <c r="V904" s="1226"/>
      <c r="W904" s="1226"/>
      <c r="X904" s="1226"/>
      <c r="Y904" s="1226"/>
      <c r="Z904" s="1227"/>
      <c r="AA904" s="1186"/>
      <c r="AB904" s="1187"/>
      <c r="AC904" s="1187"/>
      <c r="AD904" s="1187"/>
      <c r="AE904" s="1187"/>
      <c r="AF904" s="1188"/>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25" t="s">
        <v>641</v>
      </c>
      <c r="V905" s="1226"/>
      <c r="W905" s="1226"/>
      <c r="X905" s="1226"/>
      <c r="Y905" s="1226"/>
      <c r="Z905" s="1227"/>
      <c r="AA905" s="1186"/>
      <c r="AB905" s="1187"/>
      <c r="AC905" s="1187"/>
      <c r="AD905" s="1187"/>
      <c r="AE905" s="1187"/>
      <c r="AF905" s="1188"/>
      <c r="AM905" s="1406">
        <f>G734+O778</f>
        <v>54</v>
      </c>
      <c r="AN905" s="1407"/>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25" t="s">
        <v>641</v>
      </c>
      <c r="V906" s="1226"/>
      <c r="W906" s="1226"/>
      <c r="X906" s="1226"/>
      <c r="Y906" s="1226"/>
      <c r="Z906" s="1227"/>
      <c r="AA906" s="1186"/>
      <c r="AB906" s="1187"/>
      <c r="AC906" s="1187"/>
      <c r="AD906" s="1187"/>
      <c r="AE906" s="1187"/>
      <c r="AF906" s="1188"/>
      <c r="AM906" s="52"/>
      <c r="AN906" s="21"/>
      <c r="AO906" s="1381">
        <f>ROUNDDOWN(X999/I999,2)</f>
        <v>1</v>
      </c>
      <c r="AP906" s="1382"/>
      <c r="AQ906" s="1382"/>
      <c r="AR906" s="1383"/>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25" t="s">
        <v>641</v>
      </c>
      <c r="V907" s="1226"/>
      <c r="W907" s="1226"/>
      <c r="X907" s="1226"/>
      <c r="Y907" s="1226"/>
      <c r="Z907" s="1227"/>
      <c r="AA907" s="1186"/>
      <c r="AB907" s="1187"/>
      <c r="AC907" s="1187"/>
      <c r="AD907" s="1187"/>
      <c r="AE907" s="1187"/>
      <c r="AF907" s="1188"/>
      <c r="AM907" s="52"/>
      <c r="AN907" s="52"/>
      <c r="AO907" s="1360">
        <f>ROUNDDOWN(X1003/I1003,2)</f>
        <v>0</v>
      </c>
      <c r="AP907" s="1361"/>
      <c r="AQ907" s="1361"/>
      <c r="AR907" s="136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25" t="s">
        <v>722</v>
      </c>
      <c r="Q908" s="1226"/>
      <c r="R908" s="1226"/>
      <c r="S908" s="1226"/>
      <c r="T908" s="1227"/>
      <c r="U908" s="1225" t="s">
        <v>641</v>
      </c>
      <c r="V908" s="1226"/>
      <c r="W908" s="1226"/>
      <c r="X908" s="1226"/>
      <c r="Y908" s="1226"/>
      <c r="Z908" s="1227"/>
      <c r="AA908" s="1186"/>
      <c r="AB908" s="1187"/>
      <c r="AC908" s="1187"/>
      <c r="AD908" s="1187"/>
      <c r="AE908" s="1187"/>
      <c r="AF908" s="1188"/>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53" t="s">
        <v>357</v>
      </c>
      <c r="J909" s="1388"/>
      <c r="K909" s="1388"/>
      <c r="L909" s="1388"/>
      <c r="M909" s="1388"/>
      <c r="N909" s="1388"/>
      <c r="O909" s="1388"/>
      <c r="P909" s="1388"/>
      <c r="Q909" s="1388"/>
      <c r="R909" s="1388"/>
      <c r="S909" s="1388"/>
      <c r="T909" s="1389"/>
      <c r="U909" s="1225" t="s">
        <v>641</v>
      </c>
      <c r="V909" s="1226"/>
      <c r="W909" s="1226"/>
      <c r="X909" s="1226"/>
      <c r="Y909" s="1226"/>
      <c r="Z909" s="1227"/>
      <c r="AA909" s="1186"/>
      <c r="AB909" s="1187"/>
      <c r="AC909" s="1187"/>
      <c r="AD909" s="1187"/>
      <c r="AE909" s="1187"/>
      <c r="AF909" s="1188"/>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348" t="s">
        <v>357</v>
      </c>
      <c r="J910" s="1154"/>
      <c r="K910" s="1154"/>
      <c r="L910" s="1154"/>
      <c r="M910" s="1154"/>
      <c r="N910" s="1154"/>
      <c r="O910" s="1154"/>
      <c r="P910" s="1154"/>
      <c r="Q910" s="1154"/>
      <c r="R910" s="1154"/>
      <c r="S910" s="1154"/>
      <c r="T910" s="1155"/>
      <c r="U910" s="1225" t="s">
        <v>641</v>
      </c>
      <c r="V910" s="1226"/>
      <c r="W910" s="1226"/>
      <c r="X910" s="1226"/>
      <c r="Y910" s="1226"/>
      <c r="Z910" s="1227"/>
      <c r="AA910" s="1186"/>
      <c r="AB910" s="1187"/>
      <c r="AC910" s="1187"/>
      <c r="AD910" s="1187"/>
      <c r="AE910" s="1187"/>
      <c r="AF910" s="1188"/>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53" t="s">
        <v>1762</v>
      </c>
      <c r="J911" s="1154"/>
      <c r="K911" s="1154"/>
      <c r="L911" s="1154"/>
      <c r="M911" s="1154"/>
      <c r="N911" s="1154"/>
      <c r="O911" s="1154"/>
      <c r="P911" s="1154"/>
      <c r="Q911" s="1154"/>
      <c r="R911" s="1154"/>
      <c r="S911" s="1154"/>
      <c r="T911" s="1155"/>
      <c r="U911" s="1225" t="s">
        <v>591</v>
      </c>
      <c r="V911" s="1226"/>
      <c r="W911" s="1226"/>
      <c r="X911" s="1226"/>
      <c r="Y911" s="1226"/>
      <c r="Z911" s="1227"/>
      <c r="AA911" s="1186">
        <v>11880000</v>
      </c>
      <c r="AB911" s="1187"/>
      <c r="AC911" s="1187"/>
      <c r="AD911" s="1187"/>
      <c r="AE911" s="1187"/>
      <c r="AF911" s="1188"/>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348"/>
      <c r="J912" s="1154"/>
      <c r="K912" s="1154"/>
      <c r="L912" s="1154"/>
      <c r="M912" s="1154"/>
      <c r="N912" s="1154"/>
      <c r="O912" s="1154"/>
      <c r="P912" s="1154"/>
      <c r="Q912" s="1154"/>
      <c r="R912" s="1154"/>
      <c r="S912" s="1154"/>
      <c r="T912" s="1155"/>
      <c r="U912" s="1225" t="s">
        <v>641</v>
      </c>
      <c r="V912" s="1226"/>
      <c r="W912" s="1226"/>
      <c r="X912" s="1226"/>
      <c r="Y912" s="1226"/>
      <c r="Z912" s="1227"/>
      <c r="AA912" s="1186"/>
      <c r="AB912" s="1187"/>
      <c r="AC912" s="1187"/>
      <c r="AD912" s="1187"/>
      <c r="AE912" s="1187"/>
      <c r="AF912" s="1188"/>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9">
        <v>44007</v>
      </c>
      <c r="N917" s="1270"/>
      <c r="O917" s="1270"/>
      <c r="P917" s="1270"/>
      <c r="Q917" s="1270"/>
      <c r="R917" s="1270"/>
      <c r="S917" s="1271"/>
      <c r="U917" s="103" t="s">
        <v>11</v>
      </c>
      <c r="V917" s="77"/>
      <c r="W917" s="77"/>
      <c r="X917" s="77"/>
      <c r="Y917" s="77"/>
      <c r="Z917" s="77"/>
      <c r="AA917" s="77"/>
      <c r="AB917" s="77"/>
      <c r="AC917" s="77"/>
      <c r="AD917" s="78"/>
      <c r="AE917" s="1269"/>
      <c r="AF917" s="1270"/>
      <c r="AG917" s="1270"/>
      <c r="AH917" s="1270"/>
      <c r="AI917" s="1270"/>
      <c r="AJ917" s="1270"/>
      <c r="AK917" s="127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1" t="s">
        <v>1763</v>
      </c>
      <c r="N918" s="1352"/>
      <c r="O918" s="1352"/>
      <c r="P918" s="1352"/>
      <c r="Q918" s="1352"/>
      <c r="R918" s="1352"/>
      <c r="S918" s="1353"/>
      <c r="U918" s="103" t="s">
        <v>12</v>
      </c>
      <c r="V918" s="77"/>
      <c r="W918" s="77"/>
      <c r="X918" s="77"/>
      <c r="Y918" s="77"/>
      <c r="Z918" s="77"/>
      <c r="AA918" s="77"/>
      <c r="AB918" s="77"/>
      <c r="AC918" s="77"/>
      <c r="AD918" s="78"/>
      <c r="AE918" s="1351"/>
      <c r="AF918" s="1352"/>
      <c r="AG918" s="1352"/>
      <c r="AH918" s="1352"/>
      <c r="AI918" s="1352"/>
      <c r="AJ918" s="1352"/>
      <c r="AK918" s="1353"/>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74" t="s">
        <v>1764</v>
      </c>
      <c r="K919" s="1375"/>
      <c r="L919" s="1375"/>
      <c r="M919" s="1375"/>
      <c r="N919" s="1375"/>
      <c r="O919" s="1375"/>
      <c r="P919" s="1375"/>
      <c r="Q919" s="1375"/>
      <c r="R919" s="1375"/>
      <c r="S919" s="1376"/>
      <c r="U919" s="103" t="s">
        <v>974</v>
      </c>
      <c r="V919" s="77"/>
      <c r="W919" s="77"/>
      <c r="AB919" s="1374" t="s">
        <v>329</v>
      </c>
      <c r="AC919" s="1375"/>
      <c r="AD919" s="1375"/>
      <c r="AE919" s="1375"/>
      <c r="AF919" s="1375"/>
      <c r="AG919" s="1375"/>
      <c r="AH919" s="1375"/>
      <c r="AI919" s="1375"/>
      <c r="AJ919" s="1375"/>
      <c r="AK919" s="1376"/>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7">
        <v>1</v>
      </c>
      <c r="N920" s="1364"/>
      <c r="O920" s="1364"/>
      <c r="P920" s="1364"/>
      <c r="Q920" s="1364"/>
      <c r="R920" s="1364"/>
      <c r="S920" s="1365"/>
      <c r="U920" s="103" t="s">
        <v>13</v>
      </c>
      <c r="V920" s="77"/>
      <c r="W920" s="77"/>
      <c r="X920" s="77"/>
      <c r="Y920" s="77"/>
      <c r="Z920" s="77"/>
      <c r="AA920" s="77"/>
      <c r="AB920" s="77"/>
      <c r="AC920" s="77"/>
      <c r="AD920" s="78"/>
      <c r="AE920" s="1363"/>
      <c r="AF920" s="1364"/>
      <c r="AG920" s="1364"/>
      <c r="AH920" s="1364"/>
      <c r="AI920" s="1364"/>
      <c r="AJ920" s="1364"/>
      <c r="AK920" s="136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5">
        <v>54</v>
      </c>
      <c r="N921" s="1146"/>
      <c r="O921" s="1146"/>
      <c r="P921" s="1146"/>
      <c r="Q921" s="1146"/>
      <c r="R921" s="1146"/>
      <c r="S921" s="1147"/>
      <c r="U921" s="103" t="s">
        <v>14</v>
      </c>
      <c r="V921" s="77"/>
      <c r="W921" s="77"/>
      <c r="X921" s="77"/>
      <c r="Y921" s="77"/>
      <c r="Z921" s="77"/>
      <c r="AA921" s="77"/>
      <c r="AB921" s="77"/>
      <c r="AC921" s="77"/>
      <c r="AD921" s="78"/>
      <c r="AE921" s="1145"/>
      <c r="AF921" s="1146"/>
      <c r="AG921" s="1146"/>
      <c r="AH921" s="1146"/>
      <c r="AI921" s="1146"/>
      <c r="AJ921" s="1146"/>
      <c r="AK921" s="1147"/>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6">
        <v>917484</v>
      </c>
      <c r="N922" s="1187"/>
      <c r="O922" s="1187"/>
      <c r="P922" s="1187"/>
      <c r="Q922" s="1187"/>
      <c r="R922" s="1187"/>
      <c r="S922" s="1188"/>
      <c r="U922" s="103" t="s">
        <v>15</v>
      </c>
      <c r="V922" s="77"/>
      <c r="W922" s="77"/>
      <c r="X922" s="77"/>
      <c r="Y922" s="77"/>
      <c r="Z922" s="77"/>
      <c r="AA922" s="77"/>
      <c r="AB922" s="77"/>
      <c r="AC922" s="77"/>
      <c r="AD922" s="78"/>
      <c r="AE922" s="1186"/>
      <c r="AF922" s="1187"/>
      <c r="AG922" s="1187"/>
      <c r="AH922" s="1187"/>
      <c r="AI922" s="1187"/>
      <c r="AJ922" s="1187"/>
      <c r="AK922" s="1188"/>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6">
        <v>18349680</v>
      </c>
      <c r="N923" s="1187"/>
      <c r="O923" s="1187"/>
      <c r="P923" s="1187"/>
      <c r="Q923" s="1187"/>
      <c r="R923" s="1187"/>
      <c r="S923" s="1188"/>
      <c r="U923" s="103" t="s">
        <v>16</v>
      </c>
      <c r="V923" s="77"/>
      <c r="W923" s="77"/>
      <c r="X923" s="77"/>
      <c r="Y923" s="77"/>
      <c r="Z923" s="77"/>
      <c r="AA923" s="77"/>
      <c r="AB923" s="77"/>
      <c r="AC923" s="77"/>
      <c r="AD923" s="78"/>
      <c r="AE923" s="1186"/>
      <c r="AF923" s="1187"/>
      <c r="AG923" s="1187"/>
      <c r="AH923" s="1187"/>
      <c r="AI923" s="1187"/>
      <c r="AJ923" s="1187"/>
      <c r="AK923" s="1188"/>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45">
        <v>20</v>
      </c>
      <c r="N924" s="1346"/>
      <c r="O924" s="1346"/>
      <c r="P924" s="1346"/>
      <c r="Q924" s="1346"/>
      <c r="R924" s="1346"/>
      <c r="S924" s="1347"/>
      <c r="U924" s="103" t="s">
        <v>620</v>
      </c>
      <c r="V924" s="77"/>
      <c r="W924" s="77"/>
      <c r="X924" s="77"/>
      <c r="Y924" s="77"/>
      <c r="Z924" s="77"/>
      <c r="AA924" s="77"/>
      <c r="AB924" s="77"/>
      <c r="AC924" s="77"/>
      <c r="AD924" s="78"/>
      <c r="AE924" s="1345"/>
      <c r="AF924" s="1346"/>
      <c r="AG924" s="1346"/>
      <c r="AH924" s="1346"/>
      <c r="AI924" s="1346"/>
      <c r="AJ924" s="1346"/>
      <c r="AK924" s="134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03"/>
      <c r="N929" s="1204"/>
      <c r="O929" s="1204"/>
      <c r="P929" s="1204"/>
      <c r="Q929" s="1204"/>
      <c r="R929" s="1204"/>
      <c r="S929" s="1205"/>
      <c r="T929" s="103" t="s">
        <v>871</v>
      </c>
      <c r="U929" s="77"/>
      <c r="V929" s="77"/>
      <c r="W929" s="77"/>
      <c r="X929" s="77"/>
      <c r="Y929" s="77"/>
      <c r="Z929" s="78"/>
      <c r="AA929" s="1203"/>
      <c r="AB929" s="1204"/>
      <c r="AC929" s="1204"/>
      <c r="AD929" s="1204"/>
      <c r="AE929" s="1204"/>
      <c r="AF929" s="1204"/>
      <c r="AG929" s="1205"/>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03"/>
      <c r="N930" s="1204"/>
      <c r="O930" s="1204"/>
      <c r="P930" s="1204"/>
      <c r="Q930" s="1204"/>
      <c r="R930" s="1204"/>
      <c r="S930" s="1205"/>
      <c r="T930" s="103" t="s">
        <v>870</v>
      </c>
      <c r="U930" s="77"/>
      <c r="V930" s="77"/>
      <c r="W930" s="77"/>
      <c r="X930" s="77"/>
      <c r="Y930" s="77"/>
      <c r="Z930" s="78"/>
      <c r="AA930" s="1203"/>
      <c r="AB930" s="1204"/>
      <c r="AC930" s="1204"/>
      <c r="AD930" s="1204"/>
      <c r="AE930" s="1204"/>
      <c r="AF930" s="1204"/>
      <c r="AG930" s="1205"/>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68" t="s">
        <v>641</v>
      </c>
      <c r="N931" s="1369"/>
      <c r="O931" s="1369"/>
      <c r="P931" s="1369"/>
      <c r="Q931" s="1369"/>
      <c r="R931" s="1369"/>
      <c r="S931" s="1370"/>
      <c r="T931" s="76" t="s">
        <v>360</v>
      </c>
      <c r="U931" s="77"/>
      <c r="V931" s="77"/>
      <c r="W931" s="77"/>
      <c r="X931" s="77"/>
      <c r="Y931" s="77"/>
      <c r="Z931" s="78"/>
      <c r="AA931" s="1203"/>
      <c r="AB931" s="1204"/>
      <c r="AC931" s="1204"/>
      <c r="AD931" s="1204"/>
      <c r="AE931" s="1204"/>
      <c r="AF931" s="1204"/>
      <c r="AG931" s="1205"/>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03"/>
      <c r="N932" s="1204"/>
      <c r="O932" s="1204"/>
      <c r="P932" s="1204"/>
      <c r="Q932" s="1204"/>
      <c r="R932" s="1204"/>
      <c r="S932" s="1205"/>
      <c r="T932" s="76" t="s">
        <v>361</v>
      </c>
      <c r="U932" s="77"/>
      <c r="V932" s="77"/>
      <c r="W932" s="77"/>
      <c r="X932" s="77"/>
      <c r="Y932" s="77"/>
      <c r="Z932" s="78"/>
      <c r="AA932" s="1203"/>
      <c r="AB932" s="1204"/>
      <c r="AC932" s="1204"/>
      <c r="AD932" s="1204"/>
      <c r="AE932" s="1204"/>
      <c r="AF932" s="1204"/>
      <c r="AG932" s="1205"/>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03"/>
      <c r="N933" s="1204"/>
      <c r="O933" s="1204"/>
      <c r="P933" s="1204"/>
      <c r="Q933" s="1204"/>
      <c r="R933" s="1204"/>
      <c r="S933" s="1205"/>
      <c r="T933" s="76" t="s">
        <v>408</v>
      </c>
      <c r="U933" s="77"/>
      <c r="V933" s="77"/>
      <c r="W933" s="77"/>
      <c r="X933" s="77"/>
      <c r="Y933" s="77"/>
      <c r="Z933" s="78"/>
      <c r="AA933" s="1203"/>
      <c r="AB933" s="1204"/>
      <c r="AC933" s="1204"/>
      <c r="AD933" s="1204"/>
      <c r="AE933" s="1204"/>
      <c r="AF933" s="1204"/>
      <c r="AG933" s="1205"/>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57" t="s">
        <v>329</v>
      </c>
      <c r="N934" s="1358"/>
      <c r="O934" s="1358"/>
      <c r="P934" s="1358"/>
      <c r="Q934" s="1358"/>
      <c r="R934" s="1358"/>
      <c r="S934" s="1359"/>
      <c r="T934" s="1328"/>
      <c r="U934" s="1329"/>
      <c r="V934" s="1329"/>
      <c r="W934" s="1329"/>
      <c r="X934" s="1329"/>
      <c r="Y934" s="1329"/>
      <c r="Z934" s="1330"/>
      <c r="AA934" s="1203"/>
      <c r="AB934" s="1204"/>
      <c r="AC934" s="1204"/>
      <c r="AD934" s="1204"/>
      <c r="AE934" s="1204"/>
      <c r="AF934" s="1204"/>
      <c r="AG934" s="1205"/>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03"/>
      <c r="N935" s="1204"/>
      <c r="O935" s="1204"/>
      <c r="P935" s="1204"/>
      <c r="Q935" s="1204"/>
      <c r="R935" s="1204"/>
      <c r="S935" s="1205"/>
      <c r="T935" s="1328"/>
      <c r="U935" s="1329"/>
      <c r="V935" s="1329"/>
      <c r="W935" s="1329"/>
      <c r="X935" s="1329"/>
      <c r="Y935" s="1329"/>
      <c r="Z935" s="1330"/>
      <c r="AA935" s="1203"/>
      <c r="AB935" s="1204"/>
      <c r="AC935" s="1204"/>
      <c r="AD935" s="1204"/>
      <c r="AE935" s="1204"/>
      <c r="AF935" s="1204"/>
      <c r="AG935" s="1205"/>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8" t="s">
        <v>722</v>
      </c>
      <c r="P936" s="1299"/>
      <c r="Q936" s="142"/>
      <c r="R936" s="142"/>
      <c r="S936" s="143"/>
      <c r="T936" s="71" t="s">
        <v>177</v>
      </c>
      <c r="U936" s="72"/>
      <c r="V936" s="72"/>
      <c r="W936" s="1162" t="s">
        <v>357</v>
      </c>
      <c r="X936" s="1163"/>
      <c r="Y936" s="1163"/>
      <c r="Z936" s="1163"/>
      <c r="AA936" s="1163"/>
      <c r="AB936" s="1163"/>
      <c r="AC936" s="1163"/>
      <c r="AD936" s="1163"/>
      <c r="AE936" s="1163"/>
      <c r="AF936" s="1163"/>
      <c r="AG936" s="116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0" t="s">
        <v>36</v>
      </c>
      <c r="G937" s="1301"/>
      <c r="H937" s="1301"/>
      <c r="I937" s="1301"/>
      <c r="J937" s="1301"/>
      <c r="K937" s="1301"/>
      <c r="L937" s="1301"/>
      <c r="M937" s="1203"/>
      <c r="N937" s="1204"/>
      <c r="O937" s="1204"/>
      <c r="P937" s="1204"/>
      <c r="Q937" s="1204"/>
      <c r="R937" s="1204"/>
      <c r="S937" s="1205"/>
      <c r="T937" s="79"/>
      <c r="U937" s="80"/>
      <c r="V937" s="80"/>
      <c r="W937" s="80"/>
      <c r="X937" s="80"/>
      <c r="Y937" s="80"/>
      <c r="Z937" s="196" t="s">
        <v>141</v>
      </c>
      <c r="AA937" s="1402"/>
      <c r="AB937" s="1403"/>
      <c r="AC937" s="1403"/>
      <c r="AD937" s="1403"/>
      <c r="AE937" s="1403"/>
      <c r="AF937" s="1403"/>
      <c r="AG937" s="1404"/>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1" t="s">
        <v>594</v>
      </c>
      <c r="B941" s="1261"/>
      <c r="C941" s="1261"/>
      <c r="D941" s="1261"/>
      <c r="E941" s="1261"/>
      <c r="F941" s="1261"/>
      <c r="G941" s="1261"/>
      <c r="H941" s="1261"/>
      <c r="I941" s="1261"/>
      <c r="J941" s="1261"/>
      <c r="K941" s="1261"/>
      <c r="L941" s="1261"/>
      <c r="M941" s="1261"/>
      <c r="N941" s="1261"/>
      <c r="O941" s="1261"/>
      <c r="P941" s="1261"/>
      <c r="Q941" s="1261"/>
      <c r="R941" s="1261"/>
      <c r="S941" s="1261"/>
      <c r="T941" s="1261"/>
      <c r="U941" s="1261"/>
      <c r="V941" s="1261"/>
      <c r="W941" s="1261"/>
      <c r="X941" s="1261"/>
      <c r="Y941" s="1261"/>
      <c r="Z941" s="1261"/>
      <c r="AA941" s="1261"/>
      <c r="AB941" s="1261"/>
      <c r="AC941" s="1261"/>
      <c r="AD941" s="1261"/>
      <c r="AE941" s="1261"/>
      <c r="AF941" s="1261"/>
      <c r="AG941" s="1261"/>
      <c r="AH941" s="1261"/>
      <c r="AI941" s="1261"/>
      <c r="AJ941" s="1261"/>
      <c r="AK941" s="1261"/>
      <c r="AL941" s="1261"/>
      <c r="AM941" s="52"/>
      <c r="AN941" s="52"/>
      <c r="AO941" s="21"/>
      <c r="AP941" s="21"/>
      <c r="AQ941" s="21"/>
      <c r="AR941" s="21"/>
      <c r="AS941" s="21"/>
      <c r="AT941" s="1149"/>
      <c r="AU941" s="1149"/>
      <c r="AV941" s="1149"/>
      <c r="AW941" s="1149"/>
      <c r="AX941" s="1149"/>
      <c r="AY941" s="114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2"/>
      <c r="B942" s="1262"/>
      <c r="C942" s="1262"/>
      <c r="D942" s="1262"/>
      <c r="E942" s="1262"/>
      <c r="F942" s="1262"/>
      <c r="G942" s="1262"/>
      <c r="H942" s="1262"/>
      <c r="I942" s="1262"/>
      <c r="J942" s="1262"/>
      <c r="K942" s="1262"/>
      <c r="L942" s="1262"/>
      <c r="M942" s="1262"/>
      <c r="N942" s="1262"/>
      <c r="O942" s="1262"/>
      <c r="P942" s="1262"/>
      <c r="Q942" s="1262"/>
      <c r="R942" s="1262"/>
      <c r="S942" s="1262"/>
      <c r="T942" s="1262"/>
      <c r="U942" s="1262"/>
      <c r="V942" s="1262"/>
      <c r="W942" s="1262"/>
      <c r="X942" s="1262"/>
      <c r="Y942" s="1262"/>
      <c r="Z942" s="1262"/>
      <c r="AA942" s="1262"/>
      <c r="AB942" s="1262"/>
      <c r="AC942" s="1262"/>
      <c r="AD942" s="1262"/>
      <c r="AE942" s="1262"/>
      <c r="AF942" s="1262"/>
      <c r="AG942" s="1262"/>
      <c r="AH942" s="1262"/>
      <c r="AI942" s="1262"/>
      <c r="AJ942" s="1262"/>
      <c r="AK942" s="1262"/>
      <c r="AL942" s="126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6" t="s">
        <v>688</v>
      </c>
      <c r="C946" s="1366"/>
      <c r="D946" s="1366"/>
      <c r="E946" s="1366"/>
      <c r="F946" s="1366"/>
      <c r="G946" s="1366"/>
      <c r="H946" s="1366"/>
      <c r="I946" s="1366"/>
      <c r="J946" s="1366"/>
      <c r="K946" s="1366"/>
      <c r="L946" s="1366" t="s">
        <v>689</v>
      </c>
      <c r="M946" s="1366"/>
      <c r="N946" s="1366"/>
      <c r="O946" s="1366"/>
      <c r="P946" s="1366"/>
      <c r="Q946" s="1366"/>
      <c r="R946" s="1366"/>
      <c r="S946" s="1366"/>
      <c r="T946" s="1366"/>
      <c r="U946" s="1366"/>
      <c r="V946" s="1366" t="s">
        <v>690</v>
      </c>
      <c r="W946" s="1366"/>
      <c r="X946" s="1366"/>
      <c r="Y946" s="1366"/>
      <c r="Z946" s="1366"/>
      <c r="AA946" s="1366"/>
      <c r="AB946" s="1366"/>
      <c r="AC946" s="1366"/>
      <c r="AD946" s="1377" t="s">
        <v>691</v>
      </c>
      <c r="AE946" s="1378"/>
      <c r="AF946" s="1378"/>
      <c r="AG946" s="1378"/>
      <c r="AH946" s="1378"/>
      <c r="AI946" s="1378"/>
      <c r="AJ946" s="1378"/>
      <c r="AK946" s="1379"/>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1" t="s">
        <v>683</v>
      </c>
      <c r="C947" s="1202"/>
      <c r="D947" s="1202"/>
      <c r="E947" s="1202"/>
      <c r="F947" s="1202"/>
      <c r="G947" s="1202"/>
      <c r="H947" s="1202"/>
      <c r="I947" s="1202"/>
      <c r="J947" s="1202"/>
      <c r="K947" s="1202"/>
      <c r="L947" s="1342">
        <f>IF(ISNA(IF($BA$779="4%",(INDEX($BC$789:$BG$846,MATCH($BO$779,$BB$789:$BB$846,0),MATCH(B947,$BC$788:$BG$788,0))),(INDEX($BJ$789:$BN$846,MATCH($BO$779,$BI$789:$BI$846,0),MATCH(B947,$BJ$788:$BN$788,0))))),0,IF($BA$779="4%",(INDEX($BC$789:$BG$846,MATCH($BO$779,$BB$789:$BB$846,0),MATCH(B947,$BC$788:$BG$788,0))),(INDEX($BJ$789:$BN$846,MATCH($BO$779,$BI$789:$BI$846,0),MATCH(B947,$BJ$788:$BN$788,0)))))</f>
        <v>293352</v>
      </c>
      <c r="M947" s="1343"/>
      <c r="N947" s="1343"/>
      <c r="O947" s="1343"/>
      <c r="P947" s="1343"/>
      <c r="Q947" s="1343"/>
      <c r="R947" s="1343"/>
      <c r="S947" s="1343"/>
      <c r="T947" s="1343"/>
      <c r="U947" s="1344"/>
      <c r="V947" s="1373">
        <f>BA635</f>
        <v>35</v>
      </c>
      <c r="W947" s="1373"/>
      <c r="X947" s="1373"/>
      <c r="Y947" s="1373"/>
      <c r="Z947" s="1373"/>
      <c r="AA947" s="1373"/>
      <c r="AB947" s="1373"/>
      <c r="AC947" s="1373"/>
      <c r="AD947" s="1286">
        <f>IF(ISERROR((L947*V947)),0,(L947*V947))</f>
        <v>10267320</v>
      </c>
      <c r="AE947" s="1287"/>
      <c r="AF947" s="1287"/>
      <c r="AG947" s="1287"/>
      <c r="AH947" s="1287"/>
      <c r="AI947" s="1287"/>
      <c r="AJ947" s="1287"/>
      <c r="AK947" s="1288"/>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1" t="s">
        <v>348</v>
      </c>
      <c r="C948" s="1201"/>
      <c r="D948" s="1201"/>
      <c r="E948" s="1201"/>
      <c r="F948" s="1201"/>
      <c r="G948" s="1201"/>
      <c r="H948" s="1201"/>
      <c r="I948" s="1201"/>
      <c r="J948" s="1201"/>
      <c r="K948" s="1201"/>
      <c r="L948" s="1342">
        <f>IF(ISNA(IF($BA$779="4%",(INDEX($BC$789:$BG$846,MATCH($BO$779,$BB$789:$BB$846,0),MATCH(B948,$BC$788:$BG$788,0))),(INDEX($BJ$789:$BN$846,MATCH($BO$779,$BI$789:$BI$846,0),MATCH(B948,$BJ$788:$BN$788,0))))),0,IF($BA$779="4%",(INDEX($BC$789:$BG$846,MATCH($BO$779,$BB$789:$BB$846,0),MATCH(B948,$BC$788:$BG$788,0))),(INDEX($BJ$789:$BN$846,MATCH($BO$779,$BI$789:$BI$846,0),MATCH(B948,$BJ$788:$BN$788,0)))))</f>
        <v>338232</v>
      </c>
      <c r="M948" s="1343"/>
      <c r="N948" s="1343"/>
      <c r="O948" s="1343"/>
      <c r="P948" s="1343"/>
      <c r="Q948" s="1343"/>
      <c r="R948" s="1343"/>
      <c r="S948" s="1343"/>
      <c r="T948" s="1343"/>
      <c r="U948" s="1344"/>
      <c r="V948" s="1373">
        <f>BF635</f>
        <v>19</v>
      </c>
      <c r="W948" s="1373"/>
      <c r="X948" s="1373"/>
      <c r="Y948" s="1373"/>
      <c r="Z948" s="1373"/>
      <c r="AA948" s="1373"/>
      <c r="AB948" s="1373"/>
      <c r="AC948" s="1373"/>
      <c r="AD948" s="1286">
        <f>IF(ISERROR((L948*V948)),0,(L948*V948))</f>
        <v>6426408</v>
      </c>
      <c r="AE948" s="1287"/>
      <c r="AF948" s="1287"/>
      <c r="AG948" s="1287"/>
      <c r="AH948" s="1287"/>
      <c r="AI948" s="1287"/>
      <c r="AJ948" s="1287"/>
      <c r="AK948" s="1288"/>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1" t="s">
        <v>170</v>
      </c>
      <c r="C949" s="1201"/>
      <c r="D949" s="1201"/>
      <c r="E949" s="1201"/>
      <c r="F949" s="1201"/>
      <c r="G949" s="1201"/>
      <c r="H949" s="1201"/>
      <c r="I949" s="1201"/>
      <c r="J949" s="1201"/>
      <c r="K949" s="1201"/>
      <c r="L949" s="1342">
        <f>IF(ISNA(IF($BA$779="4%",(INDEX($BC$789:$BG$846,MATCH($BO$779,$BB$789:$BB$846,0),MATCH(B949,$BC$788:$BG$788,0))),(INDEX($BJ$789:$BN$846,MATCH($BO$779,$BI$789:$BI$846,0),MATCH(B949,$BJ$788:$BN$788,0))))),0,IF($BA$779="4%",(INDEX($BC$789:$BG$846,MATCH($BO$779,$BB$789:$BB$846,0),MATCH(B949,$BC$788:$BG$788,0))),(INDEX($BJ$789:$BN$846,MATCH($BO$779,$BI$789:$BI$846,0),MATCH(B949,$BJ$788:$BN$788,0)))))</f>
        <v>408000</v>
      </c>
      <c r="M949" s="1343"/>
      <c r="N949" s="1343"/>
      <c r="O949" s="1343"/>
      <c r="P949" s="1343"/>
      <c r="Q949" s="1343"/>
      <c r="R949" s="1343"/>
      <c r="S949" s="1343"/>
      <c r="T949" s="1343"/>
      <c r="U949" s="1344"/>
      <c r="V949" s="1373">
        <f>BK635</f>
        <v>1</v>
      </c>
      <c r="W949" s="1373"/>
      <c r="X949" s="1373"/>
      <c r="Y949" s="1373"/>
      <c r="Z949" s="1373"/>
      <c r="AA949" s="1373"/>
      <c r="AB949" s="1373"/>
      <c r="AC949" s="1373"/>
      <c r="AD949" s="1286">
        <f>IF(ISERROR((L949*V949)),0,(L949*V949))</f>
        <v>408000</v>
      </c>
      <c r="AE949" s="1287"/>
      <c r="AF949" s="1287"/>
      <c r="AG949" s="1287"/>
      <c r="AH949" s="1287"/>
      <c r="AI949" s="1287"/>
      <c r="AJ949" s="1287"/>
      <c r="AK949" s="1288"/>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1" t="s">
        <v>171</v>
      </c>
      <c r="C950" s="1201"/>
      <c r="D950" s="1201"/>
      <c r="E950" s="1201"/>
      <c r="F950" s="1201"/>
      <c r="G950" s="1201"/>
      <c r="H950" s="1201"/>
      <c r="I950" s="1201"/>
      <c r="J950" s="1201"/>
      <c r="K950" s="1201"/>
      <c r="L950" s="1342">
        <f>IF(ISNA(IF($BA$779="4%",(INDEX($BC$789:$BG$846,MATCH($BO$779,$BB$789:$BB$846,0),MATCH(B950,$BC$788:$BG$788,0))),(INDEX($BJ$789:$BN$846,MATCH($BO$779,$BI$789:$BI$846,0),MATCH(B950,$BJ$788:$BN$788,0))))),0,IF($BA$779="4%",(INDEX($BC$789:$BG$846,MATCH($BO$779,$BB$789:$BB$846,0),MATCH(B950,$BC$788:$BG$788,0))),(INDEX($BJ$789:$BN$846,MATCH($BO$779,$BI$789:$BI$846,0),MATCH(B950,$BJ$788:$BN$788,0)))))</f>
        <v>522240</v>
      </c>
      <c r="M950" s="1343"/>
      <c r="N950" s="1343"/>
      <c r="O950" s="1343"/>
      <c r="P950" s="1343"/>
      <c r="Q950" s="1343"/>
      <c r="R950" s="1343"/>
      <c r="S950" s="1343"/>
      <c r="T950" s="1343"/>
      <c r="U950" s="1344"/>
      <c r="V950" s="1373">
        <f>BP635</f>
        <v>0</v>
      </c>
      <c r="W950" s="1373"/>
      <c r="X950" s="1373"/>
      <c r="Y950" s="1373"/>
      <c r="Z950" s="1373"/>
      <c r="AA950" s="1373"/>
      <c r="AB950" s="1373"/>
      <c r="AC950" s="1373"/>
      <c r="AD950" s="1286">
        <f>IF(ISERROR((L950*V950)),0,(L950*V950))</f>
        <v>0</v>
      </c>
      <c r="AE950" s="1287"/>
      <c r="AF950" s="1287"/>
      <c r="AG950" s="1287"/>
      <c r="AH950" s="1287"/>
      <c r="AI950" s="1287"/>
      <c r="AJ950" s="1287"/>
      <c r="AK950" s="1288"/>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1" t="s">
        <v>506</v>
      </c>
      <c r="C951" s="1201"/>
      <c r="D951" s="1201"/>
      <c r="E951" s="1201"/>
      <c r="F951" s="1201"/>
      <c r="G951" s="1201"/>
      <c r="H951" s="1201"/>
      <c r="I951" s="1201"/>
      <c r="J951" s="1201"/>
      <c r="K951" s="1201"/>
      <c r="L951" s="1342">
        <f>IF(ISNA(IF($BA$779="4%",(INDEX($BC$789:$BG$846,MATCH($BO$779,$BB$789:$BB$846,0),MATCH(B951,$BC$788:$BG$788,0))),(INDEX($BJ$789:$BN$846,MATCH($BO$779,$BI$789:$BI$846,0),MATCH(B951,$BJ$788:$BN$788,0))))),0,IF($BA$779="4%",(INDEX($BC$789:$BG$846,MATCH($BO$779,$BB$789:$BB$846,0),MATCH(B951,$BC$788:$BG$788,0))),(INDEX($BJ$789:$BN$846,MATCH($BO$779,$BI$789:$BI$846,0),MATCH(B951,$BJ$788:$BN$788,0)))))</f>
        <v>581808</v>
      </c>
      <c r="M951" s="1343"/>
      <c r="N951" s="1343"/>
      <c r="O951" s="1343"/>
      <c r="P951" s="1343"/>
      <c r="Q951" s="1343"/>
      <c r="R951" s="1343"/>
      <c r="S951" s="1343"/>
      <c r="T951" s="1343"/>
      <c r="U951" s="1344"/>
      <c r="V951" s="1373">
        <f>BZ635+BU635</f>
        <v>0</v>
      </c>
      <c r="W951" s="1373"/>
      <c r="X951" s="1373"/>
      <c r="Y951" s="1373"/>
      <c r="Z951" s="1373"/>
      <c r="AA951" s="1373"/>
      <c r="AB951" s="1373"/>
      <c r="AC951" s="1373"/>
      <c r="AD951" s="1286">
        <f>IF(ISERROR((L951*V951)),0,(L951*V951))</f>
        <v>0</v>
      </c>
      <c r="AE951" s="1287"/>
      <c r="AF951" s="1287"/>
      <c r="AG951" s="1287"/>
      <c r="AH951" s="1287"/>
      <c r="AI951" s="1287"/>
      <c r="AJ951" s="1287"/>
      <c r="AK951" s="1288"/>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6" t="s">
        <v>872</v>
      </c>
      <c r="C952" s="1157"/>
      <c r="D952" s="1157"/>
      <c r="E952" s="1157"/>
      <c r="F952" s="1157"/>
      <c r="G952" s="1157"/>
      <c r="H952" s="1157"/>
      <c r="I952" s="1157"/>
      <c r="J952" s="1157"/>
      <c r="K952" s="1157"/>
      <c r="L952" s="1157"/>
      <c r="M952" s="1157"/>
      <c r="N952" s="1157"/>
      <c r="O952" s="1157"/>
      <c r="P952" s="1157"/>
      <c r="Q952" s="1157"/>
      <c r="R952" s="1157"/>
      <c r="S952" s="1157"/>
      <c r="T952" s="1157"/>
      <c r="U952" s="1158"/>
      <c r="V952" s="1399">
        <f>SUM(V947:AC951)</f>
        <v>55</v>
      </c>
      <c r="W952" s="1400"/>
      <c r="X952" s="1400"/>
      <c r="Y952" s="1400"/>
      <c r="Z952" s="1400"/>
      <c r="AA952" s="1400"/>
      <c r="AB952" s="1400"/>
      <c r="AC952" s="1401"/>
      <c r="AD952" s="1286"/>
      <c r="AE952" s="1287"/>
      <c r="AF952" s="1287"/>
      <c r="AG952" s="1287"/>
      <c r="AH952" s="1287"/>
      <c r="AI952" s="1287"/>
      <c r="AJ952" s="1287"/>
      <c r="AK952" s="1288"/>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9" t="s">
        <v>558</v>
      </c>
      <c r="C953" s="1340"/>
      <c r="D953" s="1340"/>
      <c r="E953" s="1340"/>
      <c r="F953" s="1340"/>
      <c r="G953" s="1340"/>
      <c r="H953" s="1340"/>
      <c r="I953" s="1340"/>
      <c r="J953" s="1340"/>
      <c r="K953" s="1340"/>
      <c r="L953" s="1340"/>
      <c r="M953" s="1340"/>
      <c r="N953" s="1340"/>
      <c r="O953" s="1340"/>
      <c r="P953" s="1340"/>
      <c r="Q953" s="1340"/>
      <c r="R953" s="1340"/>
      <c r="S953" s="1340"/>
      <c r="T953" s="1340"/>
      <c r="U953" s="1340"/>
      <c r="V953" s="1340"/>
      <c r="W953" s="1340"/>
      <c r="X953" s="1340"/>
      <c r="Y953" s="1340"/>
      <c r="Z953" s="1340"/>
      <c r="AA953" s="1340"/>
      <c r="AB953" s="1340"/>
      <c r="AC953" s="1341"/>
      <c r="AD953" s="1266">
        <f>SUM(AD947:AK951)</f>
        <v>17101728</v>
      </c>
      <c r="AE953" s="1267"/>
      <c r="AF953" s="1267"/>
      <c r="AG953" s="1267"/>
      <c r="AH953" s="1267"/>
      <c r="AI953" s="1267"/>
      <c r="AJ953" s="1267"/>
      <c r="AK953" s="126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0" t="s">
        <v>719</v>
      </c>
      <c r="AA954" s="1551"/>
      <c r="AB954" s="1551"/>
      <c r="AC954" s="1552"/>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250" t="s">
        <v>1483</v>
      </c>
      <c r="E955" s="1251"/>
      <c r="F955" s="1251"/>
      <c r="G955" s="1251"/>
      <c r="H955" s="1251"/>
      <c r="I955" s="1251"/>
      <c r="J955" s="1251"/>
      <c r="K955" s="1251"/>
      <c r="L955" s="1251"/>
      <c r="M955" s="1251"/>
      <c r="N955" s="1251"/>
      <c r="O955" s="1251"/>
      <c r="P955" s="1251"/>
      <c r="Q955" s="1251"/>
      <c r="R955" s="1251"/>
      <c r="S955" s="1251"/>
      <c r="T955" s="1251"/>
      <c r="U955" s="1251"/>
      <c r="V955" s="1251"/>
      <c r="W955" s="1251"/>
      <c r="X955" s="1251"/>
      <c r="Y955" s="1252"/>
      <c r="Z955" s="115"/>
      <c r="AA955" s="1371" t="s">
        <v>591</v>
      </c>
      <c r="AB955" s="1372"/>
      <c r="AC955" s="128"/>
      <c r="AD955" s="1177">
        <f>ROUND(IF(AND(AA955="yes",D957&gt;0),AD953*0.2,0),0)</f>
        <v>3420346</v>
      </c>
      <c r="AE955" s="1177"/>
      <c r="AF955" s="1177"/>
      <c r="AG955" s="1177"/>
      <c r="AH955" s="1177"/>
      <c r="AI955" s="1177"/>
      <c r="AJ955" s="1177"/>
      <c r="AK955" s="117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80" t="s">
        <v>1484</v>
      </c>
      <c r="E956" s="1581"/>
      <c r="F956" s="1581"/>
      <c r="G956" s="1581"/>
      <c r="H956" s="1581"/>
      <c r="I956" s="1581"/>
      <c r="J956" s="1581"/>
      <c r="K956" s="1581"/>
      <c r="L956" s="1581"/>
      <c r="M956" s="1581"/>
      <c r="N956" s="1581"/>
      <c r="O956" s="1581"/>
      <c r="P956" s="1581"/>
      <c r="Q956" s="1581"/>
      <c r="R956" s="1581"/>
      <c r="S956" s="1581"/>
      <c r="T956" s="1581"/>
      <c r="U956" s="1581"/>
      <c r="V956" s="1581"/>
      <c r="W956" s="1581"/>
      <c r="X956" s="1581"/>
      <c r="Y956" s="1582"/>
      <c r="Z956" s="115"/>
      <c r="AA956" s="115"/>
      <c r="AB956" s="115"/>
      <c r="AC956" s="124"/>
      <c r="AD956" s="1180"/>
      <c r="AE956" s="1180"/>
      <c r="AF956" s="1180"/>
      <c r="AG956" s="1180"/>
      <c r="AH956" s="1180"/>
      <c r="AI956" s="1180"/>
      <c r="AJ956" s="1180"/>
      <c r="AK956" s="1181"/>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4" t="s">
        <v>1765</v>
      </c>
      <c r="E957" s="1355"/>
      <c r="F957" s="1355"/>
      <c r="G957" s="1355"/>
      <c r="H957" s="1355"/>
      <c r="I957" s="1355"/>
      <c r="J957" s="1355"/>
      <c r="K957" s="1355"/>
      <c r="L957" s="1355"/>
      <c r="M957" s="1355"/>
      <c r="N957" s="1355"/>
      <c r="O957" s="1355"/>
      <c r="P957" s="1355"/>
      <c r="Q957" s="1355"/>
      <c r="R957" s="1355"/>
      <c r="S957" s="1355"/>
      <c r="T957" s="1355"/>
      <c r="U957" s="1355"/>
      <c r="V957" s="1355"/>
      <c r="W957" s="1355"/>
      <c r="X957" s="1355"/>
      <c r="Y957" s="1356"/>
      <c r="Z957" s="115"/>
      <c r="AA957" s="115"/>
      <c r="AB957" s="115"/>
      <c r="AC957" s="124"/>
      <c r="AD957" s="1180"/>
      <c r="AE957" s="1180"/>
      <c r="AF957" s="1180"/>
      <c r="AG957" s="1180"/>
      <c r="AH957" s="1180"/>
      <c r="AI957" s="1180"/>
      <c r="AJ957" s="1180"/>
      <c r="AK957" s="1181"/>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0" t="s">
        <v>1609</v>
      </c>
      <c r="E958" s="1251"/>
      <c r="F958" s="1251"/>
      <c r="G958" s="1251"/>
      <c r="H958" s="1251"/>
      <c r="I958" s="1251"/>
      <c r="J958" s="1251"/>
      <c r="K958" s="1251"/>
      <c r="L958" s="1251"/>
      <c r="M958" s="1251"/>
      <c r="N958" s="1251"/>
      <c r="O958" s="1251"/>
      <c r="P958" s="1251"/>
      <c r="Q958" s="1251"/>
      <c r="R958" s="1251"/>
      <c r="S958" s="1251"/>
      <c r="T958" s="1251"/>
      <c r="U958" s="1251"/>
      <c r="V958" s="1251"/>
      <c r="W958" s="1251"/>
      <c r="X958" s="1251"/>
      <c r="Y958" s="1252"/>
      <c r="Z958" s="127"/>
      <c r="AA958" s="1174" t="s">
        <v>722</v>
      </c>
      <c r="AB958" s="1175"/>
      <c r="AC958" s="128"/>
      <c r="AD958" s="1176">
        <f>ROUND(IF(AA958="yes",AD953*0.05,0),0)</f>
        <v>0</v>
      </c>
      <c r="AE958" s="1177"/>
      <c r="AF958" s="1177"/>
      <c r="AG958" s="1177"/>
      <c r="AH958" s="1177"/>
      <c r="AI958" s="1177"/>
      <c r="AJ958" s="1177"/>
      <c r="AK958" s="117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9" t="s">
        <v>1606</v>
      </c>
      <c r="E959" s="1590"/>
      <c r="F959" s="1590"/>
      <c r="G959" s="1590"/>
      <c r="H959" s="1590"/>
      <c r="I959" s="1590"/>
      <c r="J959" s="1590"/>
      <c r="K959" s="1590"/>
      <c r="L959" s="1590"/>
      <c r="M959" s="1590"/>
      <c r="N959" s="1590"/>
      <c r="O959" s="1590"/>
      <c r="P959" s="1590"/>
      <c r="Q959" s="1590"/>
      <c r="R959" s="1590"/>
      <c r="S959" s="1590"/>
      <c r="T959" s="1590"/>
      <c r="U959" s="1590"/>
      <c r="V959" s="1590"/>
      <c r="W959" s="1590"/>
      <c r="X959" s="1590"/>
      <c r="Y959" s="1591"/>
      <c r="Z959" s="115"/>
      <c r="AA959" s="115"/>
      <c r="AB959" s="115"/>
      <c r="AC959" s="124"/>
      <c r="AD959" s="1179"/>
      <c r="AE959" s="1180"/>
      <c r="AF959" s="1180"/>
      <c r="AG959" s="1180"/>
      <c r="AH959" s="1180"/>
      <c r="AI959" s="1180"/>
      <c r="AJ959" s="1180"/>
      <c r="AK959" s="1181"/>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9"/>
      <c r="E960" s="1590"/>
      <c r="F960" s="1590"/>
      <c r="G960" s="1590"/>
      <c r="H960" s="1590"/>
      <c r="I960" s="1590"/>
      <c r="J960" s="1590"/>
      <c r="K960" s="1590"/>
      <c r="L960" s="1590"/>
      <c r="M960" s="1590"/>
      <c r="N960" s="1590"/>
      <c r="O960" s="1590"/>
      <c r="P960" s="1590"/>
      <c r="Q960" s="1590"/>
      <c r="R960" s="1590"/>
      <c r="S960" s="1590"/>
      <c r="T960" s="1590"/>
      <c r="U960" s="1590"/>
      <c r="V960" s="1590"/>
      <c r="W960" s="1590"/>
      <c r="X960" s="1590"/>
      <c r="Y960" s="1591"/>
      <c r="Z960" s="115"/>
      <c r="AA960" s="115"/>
      <c r="AB960" s="115"/>
      <c r="AC960" s="124"/>
      <c r="AD960" s="1179"/>
      <c r="AE960" s="1180"/>
      <c r="AF960" s="1180"/>
      <c r="AG960" s="1180"/>
      <c r="AH960" s="1180"/>
      <c r="AI960" s="1180"/>
      <c r="AJ960" s="1180"/>
      <c r="AK960" s="1181"/>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9"/>
      <c r="E961" s="1590"/>
      <c r="F961" s="1590"/>
      <c r="G961" s="1590"/>
      <c r="H961" s="1590"/>
      <c r="I961" s="1590"/>
      <c r="J961" s="1590"/>
      <c r="K961" s="1590"/>
      <c r="L961" s="1590"/>
      <c r="M961" s="1590"/>
      <c r="N961" s="1590"/>
      <c r="O961" s="1590"/>
      <c r="P961" s="1590"/>
      <c r="Q961" s="1590"/>
      <c r="R961" s="1590"/>
      <c r="S961" s="1590"/>
      <c r="T961" s="1590"/>
      <c r="U961" s="1590"/>
      <c r="V961" s="1590"/>
      <c r="W961" s="1590"/>
      <c r="X961" s="1590"/>
      <c r="Y961" s="1591"/>
      <c r="Z961" s="115"/>
      <c r="AA961" s="115"/>
      <c r="AB961" s="115"/>
      <c r="AC961" s="124"/>
      <c r="AD961" s="1179"/>
      <c r="AE961" s="1180"/>
      <c r="AF961" s="1180"/>
      <c r="AG961" s="1180"/>
      <c r="AH961" s="1180"/>
      <c r="AI961" s="1180"/>
      <c r="AJ961" s="1180"/>
      <c r="AK961" s="1181"/>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9"/>
      <c r="E962" s="1590"/>
      <c r="F962" s="1590"/>
      <c r="G962" s="1590"/>
      <c r="H962" s="1590"/>
      <c r="I962" s="1590"/>
      <c r="J962" s="1590"/>
      <c r="K962" s="1590"/>
      <c r="L962" s="1590"/>
      <c r="M962" s="1590"/>
      <c r="N962" s="1590"/>
      <c r="O962" s="1590"/>
      <c r="P962" s="1590"/>
      <c r="Q962" s="1590"/>
      <c r="R962" s="1590"/>
      <c r="S962" s="1590"/>
      <c r="T962" s="1590"/>
      <c r="U962" s="1590"/>
      <c r="V962" s="1590"/>
      <c r="W962" s="1590"/>
      <c r="X962" s="1590"/>
      <c r="Y962" s="1591"/>
      <c r="Z962" s="115"/>
      <c r="AA962" s="115"/>
      <c r="AB962" s="115"/>
      <c r="AC962" s="124"/>
      <c r="AD962" s="1179"/>
      <c r="AE962" s="1180"/>
      <c r="AF962" s="1180"/>
      <c r="AG962" s="1180"/>
      <c r="AH962" s="1180"/>
      <c r="AI962" s="1180"/>
      <c r="AJ962" s="1180"/>
      <c r="AK962" s="1181"/>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9"/>
      <c r="E963" s="1590"/>
      <c r="F963" s="1590"/>
      <c r="G963" s="1590"/>
      <c r="H963" s="1590"/>
      <c r="I963" s="1590"/>
      <c r="J963" s="1590"/>
      <c r="K963" s="1590"/>
      <c r="L963" s="1590"/>
      <c r="M963" s="1590"/>
      <c r="N963" s="1590"/>
      <c r="O963" s="1590"/>
      <c r="P963" s="1590"/>
      <c r="Q963" s="1590"/>
      <c r="R963" s="1590"/>
      <c r="S963" s="1590"/>
      <c r="T963" s="1590"/>
      <c r="U963" s="1590"/>
      <c r="V963" s="1590"/>
      <c r="W963" s="1590"/>
      <c r="X963" s="1590"/>
      <c r="Y963" s="1591"/>
      <c r="Z963" s="115"/>
      <c r="AA963" s="115"/>
      <c r="AB963" s="115"/>
      <c r="AC963" s="124"/>
      <c r="AD963" s="1179"/>
      <c r="AE963" s="1180"/>
      <c r="AF963" s="1180"/>
      <c r="AG963" s="1180"/>
      <c r="AH963" s="1180"/>
      <c r="AI963" s="1180"/>
      <c r="AJ963" s="1180"/>
      <c r="AK963" s="1181"/>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0"/>
      <c r="E964" s="1592"/>
      <c r="F964" s="1592"/>
      <c r="G964" s="1592"/>
      <c r="H964" s="1592"/>
      <c r="I964" s="1592"/>
      <c r="J964" s="1592"/>
      <c r="K964" s="1592"/>
      <c r="L964" s="1592"/>
      <c r="M964" s="1592"/>
      <c r="N964" s="1592"/>
      <c r="O964" s="1592"/>
      <c r="P964" s="1592"/>
      <c r="Q964" s="1592"/>
      <c r="R964" s="1592"/>
      <c r="S964" s="1592"/>
      <c r="T964" s="1592"/>
      <c r="U964" s="1592"/>
      <c r="V964" s="1592"/>
      <c r="W964" s="1592"/>
      <c r="X964" s="1592"/>
      <c r="Y964" s="1593"/>
      <c r="Z964" s="11"/>
      <c r="AA964" s="11"/>
      <c r="AB964" s="11"/>
      <c r="AC964" s="119"/>
      <c r="AD964" s="1244"/>
      <c r="AE964" s="1245"/>
      <c r="AF964" s="1245"/>
      <c r="AG964" s="1245"/>
      <c r="AH964" s="1245"/>
      <c r="AI964" s="1245"/>
      <c r="AJ964" s="1245"/>
      <c r="AK964" s="1246"/>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50" t="s">
        <v>1608</v>
      </c>
      <c r="E965" s="1251"/>
      <c r="F965" s="1251"/>
      <c r="G965" s="1251"/>
      <c r="H965" s="1251"/>
      <c r="I965" s="1251"/>
      <c r="J965" s="1251"/>
      <c r="K965" s="1251"/>
      <c r="L965" s="1251"/>
      <c r="M965" s="1251"/>
      <c r="N965" s="1251"/>
      <c r="O965" s="1251"/>
      <c r="P965" s="1251"/>
      <c r="Q965" s="1251"/>
      <c r="R965" s="1251"/>
      <c r="S965" s="1251"/>
      <c r="T965" s="1251"/>
      <c r="U965" s="1251"/>
      <c r="V965" s="1251"/>
      <c r="W965" s="1251"/>
      <c r="X965" s="1251"/>
      <c r="Y965" s="1252"/>
      <c r="Z965" s="127"/>
      <c r="AA965" s="1174" t="s">
        <v>722</v>
      </c>
      <c r="AB965" s="1175"/>
      <c r="AC965" s="128"/>
      <c r="AD965" s="1177">
        <f>ROUND(IF(AA965="yes",AD953*0.07,0),0)</f>
        <v>0</v>
      </c>
      <c r="AE965" s="1177"/>
      <c r="AF965" s="1177"/>
      <c r="AG965" s="1177"/>
      <c r="AH965" s="1177"/>
      <c r="AI965" s="1177"/>
      <c r="AJ965" s="1177"/>
      <c r="AK965" s="117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7" t="s">
        <v>1607</v>
      </c>
      <c r="E966" s="1248"/>
      <c r="F966" s="1248"/>
      <c r="G966" s="1248"/>
      <c r="H966" s="1248"/>
      <c r="I966" s="1248"/>
      <c r="J966" s="1248"/>
      <c r="K966" s="1248"/>
      <c r="L966" s="1248"/>
      <c r="M966" s="1248"/>
      <c r="N966" s="1248"/>
      <c r="O966" s="1248"/>
      <c r="P966" s="1248"/>
      <c r="Q966" s="1248"/>
      <c r="R966" s="1248"/>
      <c r="S966" s="1248"/>
      <c r="T966" s="1248"/>
      <c r="U966" s="1248"/>
      <c r="V966" s="1248"/>
      <c r="W966" s="1248"/>
      <c r="X966" s="1248"/>
      <c r="Y966" s="1249"/>
      <c r="Z966" s="115"/>
      <c r="AA966" s="25"/>
      <c r="AB966" s="25"/>
      <c r="AC966" s="124"/>
      <c r="AD966" s="1180"/>
      <c r="AE966" s="1180"/>
      <c r="AF966" s="1180"/>
      <c r="AG966" s="1180"/>
      <c r="AH966" s="1180"/>
      <c r="AI966" s="1180"/>
      <c r="AJ966" s="1180"/>
      <c r="AK966" s="1181"/>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7"/>
      <c r="E967" s="1248"/>
      <c r="F967" s="1248"/>
      <c r="G967" s="1248"/>
      <c r="H967" s="1248"/>
      <c r="I967" s="1248"/>
      <c r="J967" s="1248"/>
      <c r="K967" s="1248"/>
      <c r="L967" s="1248"/>
      <c r="M967" s="1248"/>
      <c r="N967" s="1248"/>
      <c r="O967" s="1248"/>
      <c r="P967" s="1248"/>
      <c r="Q967" s="1248"/>
      <c r="R967" s="1248"/>
      <c r="S967" s="1248"/>
      <c r="T967" s="1248"/>
      <c r="U967" s="1248"/>
      <c r="V967" s="1248"/>
      <c r="W967" s="1248"/>
      <c r="X967" s="1248"/>
      <c r="Y967" s="1249"/>
      <c r="Z967" s="115"/>
      <c r="AA967" s="115"/>
      <c r="AB967" s="115"/>
      <c r="AC967" s="124"/>
      <c r="AD967" s="1180"/>
      <c r="AE967" s="1180"/>
      <c r="AF967" s="1180"/>
      <c r="AG967" s="1180"/>
      <c r="AH967" s="1180"/>
      <c r="AI967" s="1180"/>
      <c r="AJ967" s="1180"/>
      <c r="AK967" s="1181"/>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3"/>
      <c r="E968" s="1254"/>
      <c r="F968" s="1254"/>
      <c r="G968" s="1254"/>
      <c r="H968" s="1254"/>
      <c r="I968" s="1254"/>
      <c r="J968" s="1254"/>
      <c r="K968" s="1254"/>
      <c r="L968" s="1254"/>
      <c r="M968" s="1254"/>
      <c r="N968" s="1254"/>
      <c r="O968" s="1254"/>
      <c r="P968" s="1254"/>
      <c r="Q968" s="1254"/>
      <c r="R968" s="1254"/>
      <c r="S968" s="1254"/>
      <c r="T968" s="1254"/>
      <c r="U968" s="1254"/>
      <c r="V968" s="1254"/>
      <c r="W968" s="1254"/>
      <c r="X968" s="1254"/>
      <c r="Y968" s="1255"/>
      <c r="Z968" s="11"/>
      <c r="AA968" s="11"/>
      <c r="AB968" s="11"/>
      <c r="AC968" s="119"/>
      <c r="AD968" s="1245"/>
      <c r="AE968" s="1245"/>
      <c r="AF968" s="1245"/>
      <c r="AG968" s="1245"/>
      <c r="AH968" s="1245"/>
      <c r="AI968" s="1245"/>
      <c r="AJ968" s="1245"/>
      <c r="AK968" s="1246"/>
      <c r="AL968" s="105"/>
      <c r="AO968" s="61"/>
      <c r="AP968" s="61"/>
      <c r="AQ968" s="61"/>
      <c r="AR968" s="61"/>
      <c r="AS968" s="61"/>
    </row>
    <row r="969" spans="1:96" ht="12.75" customHeight="1">
      <c r="A969" s="51"/>
      <c r="B969" s="120"/>
      <c r="C969" s="121" t="s">
        <v>227</v>
      </c>
      <c r="D969" s="1250" t="s">
        <v>1610</v>
      </c>
      <c r="E969" s="1251"/>
      <c r="F969" s="1251"/>
      <c r="G969" s="1251"/>
      <c r="H969" s="1251"/>
      <c r="I969" s="1251"/>
      <c r="J969" s="1251"/>
      <c r="K969" s="1251"/>
      <c r="L969" s="1251"/>
      <c r="M969" s="1251"/>
      <c r="N969" s="1251"/>
      <c r="O969" s="1251"/>
      <c r="P969" s="1251"/>
      <c r="Q969" s="1251"/>
      <c r="R969" s="1251"/>
      <c r="S969" s="1251"/>
      <c r="T969" s="1251"/>
      <c r="U969" s="1251"/>
      <c r="V969" s="1251"/>
      <c r="W969" s="1251"/>
      <c r="X969" s="1251"/>
      <c r="Y969" s="1252"/>
      <c r="Z969" s="113"/>
      <c r="AA969" s="1242" t="s">
        <v>722</v>
      </c>
      <c r="AB969" s="1243"/>
      <c r="AC969" s="51"/>
      <c r="AD969" s="1176">
        <f>ROUND(IF(AA969="yes",AD953*0.02,0),0)</f>
        <v>0</v>
      </c>
      <c r="AE969" s="1177"/>
      <c r="AF969" s="1177"/>
      <c r="AG969" s="1177"/>
      <c r="AH969" s="1177"/>
      <c r="AI969" s="1177"/>
      <c r="AJ969" s="1177"/>
      <c r="AK969" s="1178"/>
      <c r="AL969" s="105"/>
      <c r="AO969" s="32"/>
      <c r="AP969" s="32"/>
      <c r="AQ969" s="32"/>
      <c r="AR969" s="32"/>
      <c r="AS969" s="32"/>
    </row>
    <row r="970" spans="1:96" s="743" customFormat="1" ht="12.75" customHeight="1">
      <c r="A970" s="51"/>
      <c r="B970" s="113"/>
      <c r="C970" s="114"/>
      <c r="D970" s="1253" t="s">
        <v>1611</v>
      </c>
      <c r="E970" s="1254"/>
      <c r="F970" s="1254"/>
      <c r="G970" s="1254"/>
      <c r="H970" s="1254"/>
      <c r="I970" s="1254"/>
      <c r="J970" s="1254"/>
      <c r="K970" s="1254"/>
      <c r="L970" s="1254"/>
      <c r="M970" s="1254"/>
      <c r="N970" s="1254"/>
      <c r="O970" s="1254"/>
      <c r="P970" s="1254"/>
      <c r="Q970" s="1254"/>
      <c r="R970" s="1254"/>
      <c r="S970" s="1254"/>
      <c r="T970" s="1254"/>
      <c r="U970" s="1254"/>
      <c r="V970" s="1254"/>
      <c r="W970" s="1254"/>
      <c r="X970" s="1254"/>
      <c r="Y970" s="1255"/>
      <c r="Z970" s="113"/>
      <c r="AA970" s="51"/>
      <c r="AB970" s="51"/>
      <c r="AC970" s="51"/>
      <c r="AD970" s="1179"/>
      <c r="AE970" s="1180"/>
      <c r="AF970" s="1180"/>
      <c r="AG970" s="1180"/>
      <c r="AH970" s="1180"/>
      <c r="AI970" s="1180"/>
      <c r="AJ970" s="1180"/>
      <c r="AK970" s="1181"/>
      <c r="AL970" s="105"/>
      <c r="AO970" s="945"/>
      <c r="AP970" s="945"/>
      <c r="AQ970" s="945"/>
      <c r="AR970" s="945"/>
      <c r="AS970" s="945"/>
    </row>
    <row r="971" spans="1:96" ht="12.75" customHeight="1">
      <c r="A971" s="51"/>
      <c r="B971" s="120"/>
      <c r="C971" s="121" t="s">
        <v>230</v>
      </c>
      <c r="D971" s="1250" t="s">
        <v>1612</v>
      </c>
      <c r="E971" s="1251"/>
      <c r="F971" s="1251"/>
      <c r="G971" s="1251"/>
      <c r="H971" s="1251"/>
      <c r="I971" s="1251"/>
      <c r="J971" s="1251"/>
      <c r="K971" s="1251"/>
      <c r="L971" s="1251"/>
      <c r="M971" s="1251"/>
      <c r="N971" s="1251"/>
      <c r="O971" s="1251"/>
      <c r="P971" s="1251"/>
      <c r="Q971" s="1251"/>
      <c r="R971" s="1251"/>
      <c r="S971" s="1251"/>
      <c r="T971" s="1251"/>
      <c r="U971" s="1251"/>
      <c r="V971" s="1251"/>
      <c r="W971" s="1251"/>
      <c r="X971" s="1251"/>
      <c r="Y971" s="1252"/>
      <c r="Z971" s="120"/>
      <c r="AA971" s="1174" t="s">
        <v>591</v>
      </c>
      <c r="AB971" s="1175"/>
      <c r="AC971" s="120"/>
      <c r="AD971" s="1176">
        <f>ROUND(IF(AA971="yes",AD953*0.02,0),0)</f>
        <v>342035</v>
      </c>
      <c r="AE971" s="1177"/>
      <c r="AF971" s="1177"/>
      <c r="AG971" s="1177"/>
      <c r="AH971" s="1177"/>
      <c r="AI971" s="1177"/>
      <c r="AJ971" s="1177"/>
      <c r="AK971" s="1178"/>
      <c r="AL971" s="105"/>
    </row>
    <row r="972" spans="1:96" s="743" customFormat="1" ht="12.75" customHeight="1">
      <c r="A972" s="51"/>
      <c r="B972" s="113"/>
      <c r="C972" s="114"/>
      <c r="D972" s="1247" t="s">
        <v>1613</v>
      </c>
      <c r="E972" s="1248"/>
      <c r="F972" s="1248"/>
      <c r="G972" s="1248"/>
      <c r="H972" s="1248"/>
      <c r="I972" s="1248"/>
      <c r="J972" s="1248"/>
      <c r="K972" s="1248"/>
      <c r="L972" s="1248"/>
      <c r="M972" s="1248"/>
      <c r="N972" s="1248"/>
      <c r="O972" s="1248"/>
      <c r="P972" s="1248"/>
      <c r="Q972" s="1248"/>
      <c r="R972" s="1248"/>
      <c r="S972" s="1248"/>
      <c r="T972" s="1248"/>
      <c r="U972" s="1248"/>
      <c r="V972" s="1248"/>
      <c r="W972" s="1248"/>
      <c r="X972" s="1248"/>
      <c r="Y972" s="1249"/>
      <c r="Z972" s="113"/>
      <c r="AA972" s="25"/>
      <c r="AB972" s="25"/>
      <c r="AC972" s="115"/>
      <c r="AD972" s="1179"/>
      <c r="AE972" s="1180"/>
      <c r="AF972" s="1180"/>
      <c r="AG972" s="1180"/>
      <c r="AH972" s="1180"/>
      <c r="AI972" s="1180"/>
      <c r="AJ972" s="1180"/>
      <c r="AK972" s="1181"/>
      <c r="AL972" s="105"/>
    </row>
    <row r="973" spans="1:96" ht="12.75" customHeight="1">
      <c r="A973" s="51"/>
      <c r="B973" s="116"/>
      <c r="C973" s="117"/>
      <c r="D973" s="1253"/>
      <c r="E973" s="1254"/>
      <c r="F973" s="1254"/>
      <c r="G973" s="1254"/>
      <c r="H973" s="1254"/>
      <c r="I973" s="1254"/>
      <c r="J973" s="1254"/>
      <c r="K973" s="1254"/>
      <c r="L973" s="1254"/>
      <c r="M973" s="1254"/>
      <c r="N973" s="1254"/>
      <c r="O973" s="1254"/>
      <c r="P973" s="1254"/>
      <c r="Q973" s="1254"/>
      <c r="R973" s="1254"/>
      <c r="S973" s="1254"/>
      <c r="T973" s="1254"/>
      <c r="U973" s="1254"/>
      <c r="V973" s="1254"/>
      <c r="W973" s="1254"/>
      <c r="X973" s="1254"/>
      <c r="Y973" s="1255"/>
      <c r="Z973" s="118"/>
      <c r="AA973" s="11"/>
      <c r="AB973" s="11"/>
      <c r="AC973" s="119"/>
      <c r="AD973" s="1244"/>
      <c r="AE973" s="1245"/>
      <c r="AF973" s="1245"/>
      <c r="AG973" s="1245"/>
      <c r="AH973" s="1245"/>
      <c r="AI973" s="1245"/>
      <c r="AJ973" s="1245"/>
      <c r="AK973" s="1246"/>
      <c r="AL973" s="105"/>
    </row>
    <row r="974" spans="1:96" ht="12.75" customHeight="1">
      <c r="A974" s="51"/>
      <c r="B974" s="120"/>
      <c r="C974" s="121" t="s">
        <v>233</v>
      </c>
      <c r="D974" s="1250" t="s">
        <v>1614</v>
      </c>
      <c r="E974" s="1251"/>
      <c r="F974" s="1251"/>
      <c r="G974" s="1251"/>
      <c r="H974" s="1251"/>
      <c r="I974" s="1251"/>
      <c r="J974" s="1251"/>
      <c r="K974" s="1251"/>
      <c r="L974" s="1251"/>
      <c r="M974" s="1251"/>
      <c r="N974" s="1251"/>
      <c r="O974" s="1251"/>
      <c r="P974" s="1251"/>
      <c r="Q974" s="1251"/>
      <c r="R974" s="1251"/>
      <c r="S974" s="1251"/>
      <c r="T974" s="1251"/>
      <c r="U974" s="1251"/>
      <c r="V974" s="1251"/>
      <c r="W974" s="1251"/>
      <c r="X974" s="1251"/>
      <c r="Y974" s="1252"/>
      <c r="Z974" s="120"/>
      <c r="AA974" s="1174" t="s">
        <v>722</v>
      </c>
      <c r="AB974" s="1175"/>
      <c r="AC974" s="128"/>
      <c r="AD974" s="1176">
        <f>IF(AA974="yes",AD953*AN891,0)</f>
        <v>0</v>
      </c>
      <c r="AE974" s="1177"/>
      <c r="AF974" s="1177"/>
      <c r="AG974" s="1177"/>
      <c r="AH974" s="1177"/>
      <c r="AI974" s="1177"/>
      <c r="AJ974" s="1177"/>
      <c r="AK974" s="1178"/>
      <c r="AL974" s="105"/>
    </row>
    <row r="975" spans="1:96" ht="15" customHeight="1">
      <c r="A975" s="51"/>
      <c r="B975" s="113"/>
      <c r="C975" s="114"/>
      <c r="D975" s="1247" t="s">
        <v>1615</v>
      </c>
      <c r="E975" s="1248"/>
      <c r="F975" s="1248"/>
      <c r="G975" s="1248"/>
      <c r="H975" s="1248"/>
      <c r="I975" s="1248"/>
      <c r="J975" s="1248"/>
      <c r="K975" s="1248"/>
      <c r="L975" s="1248"/>
      <c r="M975" s="1248"/>
      <c r="N975" s="1248"/>
      <c r="O975" s="1248"/>
      <c r="P975" s="1248"/>
      <c r="Q975" s="1248"/>
      <c r="R975" s="1248"/>
      <c r="S975" s="1248"/>
      <c r="T975" s="1248"/>
      <c r="U975" s="1248"/>
      <c r="V975" s="1248"/>
      <c r="W975" s="1248"/>
      <c r="X975" s="1248"/>
      <c r="Y975" s="1249"/>
      <c r="Z975" s="113"/>
      <c r="AA975" s="115"/>
      <c r="AB975" s="115"/>
      <c r="AC975" s="124"/>
      <c r="AD975" s="1179"/>
      <c r="AE975" s="1180"/>
      <c r="AF975" s="1180"/>
      <c r="AG975" s="1180"/>
      <c r="AH975" s="1180"/>
      <c r="AI975" s="1180"/>
      <c r="AJ975" s="1180"/>
      <c r="AK975" s="1181"/>
      <c r="AL975" s="105"/>
    </row>
    <row r="976" spans="1:96" s="743" customFormat="1" ht="15" customHeight="1">
      <c r="A976" s="51"/>
      <c r="B976" s="113"/>
      <c r="C976" s="114"/>
      <c r="D976" s="1247"/>
      <c r="E976" s="1248"/>
      <c r="F976" s="1248"/>
      <c r="G976" s="1248"/>
      <c r="H976" s="1248"/>
      <c r="I976" s="1248"/>
      <c r="J976" s="1248"/>
      <c r="K976" s="1248"/>
      <c r="L976" s="1248"/>
      <c r="M976" s="1248"/>
      <c r="N976" s="1248"/>
      <c r="O976" s="1248"/>
      <c r="P976" s="1248"/>
      <c r="Q976" s="1248"/>
      <c r="R976" s="1248"/>
      <c r="S976" s="1248"/>
      <c r="T976" s="1248"/>
      <c r="U976" s="1248"/>
      <c r="V976" s="1248"/>
      <c r="W976" s="1248"/>
      <c r="X976" s="1248"/>
      <c r="Y976" s="1249"/>
      <c r="Z976" s="113"/>
      <c r="AA976" s="115"/>
      <c r="AB976" s="115"/>
      <c r="AC976" s="124"/>
      <c r="AD976" s="1179"/>
      <c r="AE976" s="1180"/>
      <c r="AF976" s="1180"/>
      <c r="AG976" s="1180"/>
      <c r="AH976" s="1180"/>
      <c r="AI976" s="1180"/>
      <c r="AJ976" s="1180"/>
      <c r="AK976" s="1181"/>
      <c r="AL976" s="105"/>
    </row>
    <row r="977" spans="1:38" ht="12.75">
      <c r="A977" s="51"/>
      <c r="B977" s="122"/>
      <c r="C977" s="123"/>
      <c r="D977" s="1247"/>
      <c r="E977" s="1248"/>
      <c r="F977" s="1248"/>
      <c r="G977" s="1248"/>
      <c r="H977" s="1248"/>
      <c r="I977" s="1248"/>
      <c r="J977" s="1248"/>
      <c r="K977" s="1248"/>
      <c r="L977" s="1248"/>
      <c r="M977" s="1248"/>
      <c r="N977" s="1248"/>
      <c r="O977" s="1248"/>
      <c r="P977" s="1248"/>
      <c r="Q977" s="1248"/>
      <c r="R977" s="1248"/>
      <c r="S977" s="1248"/>
      <c r="T977" s="1248"/>
      <c r="U977" s="1248"/>
      <c r="V977" s="1248"/>
      <c r="W977" s="1248"/>
      <c r="X977" s="1248"/>
      <c r="Y977" s="1249"/>
      <c r="Z977" s="118"/>
      <c r="AA977" s="11"/>
      <c r="AB977" s="11"/>
      <c r="AC977" s="119"/>
      <c r="AD977" s="1244"/>
      <c r="AE977" s="1245"/>
      <c r="AF977" s="1245"/>
      <c r="AG977" s="1245"/>
      <c r="AH977" s="1245"/>
      <c r="AI977" s="1245"/>
      <c r="AJ977" s="1245"/>
      <c r="AK977" s="1246"/>
      <c r="AL977" s="105"/>
    </row>
    <row r="978" spans="1:38" ht="12.75" customHeight="1">
      <c r="A978" s="51"/>
      <c r="B978" s="120"/>
      <c r="C978" s="121" t="s">
        <v>238</v>
      </c>
      <c r="D978" s="1594" t="s">
        <v>1616</v>
      </c>
      <c r="E978" s="1595"/>
      <c r="F978" s="1595"/>
      <c r="G978" s="1595"/>
      <c r="H978" s="1595"/>
      <c r="I978" s="1595"/>
      <c r="J978" s="1595"/>
      <c r="K978" s="1595"/>
      <c r="L978" s="1595"/>
      <c r="M978" s="1595"/>
      <c r="N978" s="1595"/>
      <c r="O978" s="1595"/>
      <c r="P978" s="1595"/>
      <c r="Q978" s="1595"/>
      <c r="R978" s="1595"/>
      <c r="S978" s="1595"/>
      <c r="T978" s="1595"/>
      <c r="U978" s="1595"/>
      <c r="V978" s="1595"/>
      <c r="W978" s="1595"/>
      <c r="X978" s="1595"/>
      <c r="Y978" s="1596"/>
      <c r="Z978" s="115"/>
      <c r="AA978" s="1242" t="s">
        <v>722</v>
      </c>
      <c r="AB978" s="1243"/>
      <c r="AC978" s="51"/>
      <c r="AD978" s="1289"/>
      <c r="AE978" s="1290"/>
      <c r="AF978" s="1290"/>
      <c r="AG978" s="1290"/>
      <c r="AH978" s="1290"/>
      <c r="AI978" s="1290"/>
      <c r="AJ978" s="1290"/>
      <c r="AK978" s="1291"/>
      <c r="AL978" s="105"/>
    </row>
    <row r="979" spans="1:38" ht="12.75" customHeight="1">
      <c r="A979" s="51"/>
      <c r="B979" s="122"/>
      <c r="C979" s="125"/>
      <c r="D979" s="1597"/>
      <c r="E979" s="1598"/>
      <c r="F979" s="1598"/>
      <c r="G979" s="1598"/>
      <c r="H979" s="1598"/>
      <c r="I979" s="1598"/>
      <c r="J979" s="1598"/>
      <c r="K979" s="1598"/>
      <c r="L979" s="1598"/>
      <c r="M979" s="1598"/>
      <c r="N979" s="1598"/>
      <c r="O979" s="1598"/>
      <c r="P979" s="1598"/>
      <c r="Q979" s="1598"/>
      <c r="R979" s="1598"/>
      <c r="S979" s="1598"/>
      <c r="T979" s="1598"/>
      <c r="U979" s="1598"/>
      <c r="V979" s="1598"/>
      <c r="W979" s="1598"/>
      <c r="X979" s="1598"/>
      <c r="Y979" s="1599"/>
      <c r="Z979" s="1311">
        <f>IF(AA978="yes","Please Select Type and Enter Amount:",0)</f>
        <v>0</v>
      </c>
      <c r="AA979" s="1311"/>
      <c r="AB979" s="1311"/>
      <c r="AC979" s="1312"/>
      <c r="AD979" s="1292"/>
      <c r="AE979" s="1293"/>
      <c r="AF979" s="1293"/>
      <c r="AG979" s="1293"/>
      <c r="AH979" s="1293"/>
      <c r="AI979" s="1293"/>
      <c r="AJ979" s="1293"/>
      <c r="AK979" s="1294"/>
      <c r="AL979" s="105"/>
    </row>
    <row r="980" spans="1:38" ht="12.75" customHeight="1">
      <c r="A980" s="51"/>
      <c r="B980" s="122"/>
      <c r="C980" s="125"/>
      <c r="D980" s="1247" t="s">
        <v>1617</v>
      </c>
      <c r="E980" s="1248"/>
      <c r="F980" s="1248"/>
      <c r="G980" s="1248"/>
      <c r="H980" s="1248"/>
      <c r="I980" s="1248"/>
      <c r="J980" s="1248"/>
      <c r="K980" s="1248"/>
      <c r="L980" s="1248"/>
      <c r="M980" s="1248"/>
      <c r="N980" s="1248"/>
      <c r="O980" s="1248"/>
      <c r="P980" s="1248"/>
      <c r="Q980" s="1248"/>
      <c r="R980" s="1248"/>
      <c r="S980" s="1248"/>
      <c r="T980" s="1248"/>
      <c r="U980" s="1248"/>
      <c r="V980" s="1248"/>
      <c r="W980" s="1248"/>
      <c r="X980" s="1248"/>
      <c r="Y980" s="1249"/>
      <c r="Z980" s="1313"/>
      <c r="AA980" s="1311"/>
      <c r="AB980" s="1311"/>
      <c r="AC980" s="1312"/>
      <c r="AD980" s="1292"/>
      <c r="AE980" s="1293"/>
      <c r="AF980" s="1293"/>
      <c r="AG980" s="1293"/>
      <c r="AH980" s="1293"/>
      <c r="AI980" s="1293"/>
      <c r="AJ980" s="1293"/>
      <c r="AK980" s="1294"/>
      <c r="AL980" s="105"/>
    </row>
    <row r="981" spans="1:38" s="743" customFormat="1" ht="12.75">
      <c r="A981" s="51"/>
      <c r="B981" s="122"/>
      <c r="C981" s="125"/>
      <c r="D981" s="1247"/>
      <c r="E981" s="1248"/>
      <c r="F981" s="1248"/>
      <c r="G981" s="1248"/>
      <c r="H981" s="1248"/>
      <c r="I981" s="1248"/>
      <c r="J981" s="1248"/>
      <c r="K981" s="1248"/>
      <c r="L981" s="1248"/>
      <c r="M981" s="1248"/>
      <c r="N981" s="1248"/>
      <c r="O981" s="1248"/>
      <c r="P981" s="1248"/>
      <c r="Q981" s="1248"/>
      <c r="R981" s="1248"/>
      <c r="S981" s="1248"/>
      <c r="T981" s="1248"/>
      <c r="U981" s="1248"/>
      <c r="V981" s="1248"/>
      <c r="W981" s="1248"/>
      <c r="X981" s="1248"/>
      <c r="Y981" s="1249"/>
      <c r="Z981" s="1313"/>
      <c r="AA981" s="1311"/>
      <c r="AB981" s="1311"/>
      <c r="AC981" s="1312"/>
      <c r="AD981" s="1292"/>
      <c r="AE981" s="1293"/>
      <c r="AF981" s="1293"/>
      <c r="AG981" s="1293"/>
      <c r="AH981" s="1293"/>
      <c r="AI981" s="1293"/>
      <c r="AJ981" s="1293"/>
      <c r="AK981" s="1294"/>
      <c r="AL981" s="105"/>
    </row>
    <row r="982" spans="1:38" ht="12.75" customHeight="1">
      <c r="A982" s="51"/>
      <c r="B982" s="122"/>
      <c r="C982" s="125"/>
      <c r="D982" s="1247"/>
      <c r="E982" s="1248"/>
      <c r="F982" s="1248"/>
      <c r="G982" s="1248"/>
      <c r="H982" s="1248"/>
      <c r="I982" s="1248"/>
      <c r="J982" s="1248"/>
      <c r="K982" s="1248"/>
      <c r="L982" s="1248"/>
      <c r="M982" s="1248"/>
      <c r="N982" s="1248"/>
      <c r="O982" s="1248"/>
      <c r="P982" s="1248"/>
      <c r="Q982" s="1248"/>
      <c r="R982" s="1248"/>
      <c r="S982" s="1248"/>
      <c r="T982" s="1248"/>
      <c r="U982" s="1248"/>
      <c r="V982" s="1248"/>
      <c r="W982" s="1248"/>
      <c r="X982" s="1248"/>
      <c r="Y982" s="1249"/>
      <c r="Z982" s="1313"/>
      <c r="AA982" s="1311"/>
      <c r="AB982" s="1311"/>
      <c r="AC982" s="1312"/>
      <c r="AD982" s="1292"/>
      <c r="AE982" s="1293"/>
      <c r="AF982" s="1293"/>
      <c r="AG982" s="1293"/>
      <c r="AH982" s="1293"/>
      <c r="AI982" s="1293"/>
      <c r="AJ982" s="1293"/>
      <c r="AK982" s="1294"/>
      <c r="AL982" s="105"/>
    </row>
    <row r="983" spans="1:38" ht="12.75" customHeight="1">
      <c r="A983" s="51"/>
      <c r="B983" s="122"/>
      <c r="C983" s="125"/>
      <c r="D983" s="949" t="s">
        <v>383</v>
      </c>
      <c r="E983" s="136"/>
      <c r="F983" s="136"/>
      <c r="G983" s="163"/>
      <c r="H983" s="7"/>
      <c r="J983" s="1308" t="s">
        <v>641</v>
      </c>
      <c r="K983" s="1309"/>
      <c r="L983" s="1309"/>
      <c r="M983" s="1309"/>
      <c r="N983" s="1309"/>
      <c r="O983" s="1309"/>
      <c r="P983" s="1309"/>
      <c r="Q983" s="1310"/>
      <c r="R983" s="7"/>
      <c r="S983" s="7"/>
      <c r="T983" s="164"/>
      <c r="U983" s="7"/>
      <c r="V983" s="1349" t="str">
        <f>IF(AA978="yes",(AD953*0.15),"")</f>
        <v/>
      </c>
      <c r="W983" s="1349"/>
      <c r="X983" s="1349"/>
      <c r="Y983" s="1350"/>
      <c r="Z983" s="1283"/>
      <c r="AA983" s="1284"/>
      <c r="AB983" s="1284"/>
      <c r="AC983" s="1285"/>
      <c r="AD983" s="1295"/>
      <c r="AE983" s="1296"/>
      <c r="AF983" s="1296"/>
      <c r="AG983" s="1296"/>
      <c r="AH983" s="1296"/>
      <c r="AI983" s="1296"/>
      <c r="AJ983" s="1296"/>
      <c r="AK983" s="1297"/>
      <c r="AL983" s="105"/>
    </row>
    <row r="984" spans="1:38" ht="12.75" customHeight="1">
      <c r="A984" s="51"/>
      <c r="B984" s="120"/>
      <c r="C984" s="121" t="s">
        <v>244</v>
      </c>
      <c r="D984" s="1250" t="s">
        <v>1618</v>
      </c>
      <c r="E984" s="1251"/>
      <c r="F984" s="1251"/>
      <c r="G984" s="1251"/>
      <c r="H984" s="1251"/>
      <c r="I984" s="1251"/>
      <c r="J984" s="1251"/>
      <c r="K984" s="1251"/>
      <c r="L984" s="1251"/>
      <c r="M984" s="1251"/>
      <c r="N984" s="1251"/>
      <c r="O984" s="1251"/>
      <c r="P984" s="1251"/>
      <c r="Q984" s="1251"/>
      <c r="R984" s="1251"/>
      <c r="S984" s="1251"/>
      <c r="T984" s="1251"/>
      <c r="U984" s="1251"/>
      <c r="V984" s="1251"/>
      <c r="W984" s="1251"/>
      <c r="X984" s="1251"/>
      <c r="Y984" s="1252"/>
      <c r="Z984" s="113"/>
      <c r="AA984" s="1242" t="s">
        <v>591</v>
      </c>
      <c r="AB984" s="1243"/>
      <c r="AC984" s="51"/>
      <c r="AD984" s="1289">
        <v>145694</v>
      </c>
      <c r="AE984" s="1290"/>
      <c r="AF984" s="1290"/>
      <c r="AG984" s="1290"/>
      <c r="AH984" s="1290"/>
      <c r="AI984" s="1290"/>
      <c r="AJ984" s="1290"/>
      <c r="AK984" s="1291"/>
      <c r="AL984" s="105"/>
    </row>
    <row r="985" spans="1:38" ht="12.75" customHeight="1">
      <c r="A985" s="51"/>
      <c r="B985" s="113"/>
      <c r="C985" s="114"/>
      <c r="D985" s="1247" t="s">
        <v>1619</v>
      </c>
      <c r="E985" s="1248"/>
      <c r="F985" s="1248"/>
      <c r="G985" s="1248"/>
      <c r="H985" s="1248"/>
      <c r="I985" s="1248"/>
      <c r="J985" s="1248"/>
      <c r="K985" s="1248"/>
      <c r="L985" s="1248"/>
      <c r="M985" s="1248"/>
      <c r="N985" s="1248"/>
      <c r="O985" s="1248"/>
      <c r="P985" s="1248"/>
      <c r="Q985" s="1248"/>
      <c r="R985" s="1248"/>
      <c r="S985" s="1248"/>
      <c r="T985" s="1248"/>
      <c r="U985" s="1248"/>
      <c r="V985" s="1248"/>
      <c r="W985" s="1248"/>
      <c r="X985" s="1248"/>
      <c r="Y985" s="1249"/>
      <c r="Z985" s="1306" t="str">
        <f>IF(AA984="yes","Please Enter Amount:",0)</f>
        <v>Please Enter Amount:</v>
      </c>
      <c r="AA985" s="1307"/>
      <c r="AB985" s="1307"/>
      <c r="AC985" s="1307"/>
      <c r="AD985" s="1292"/>
      <c r="AE985" s="1293"/>
      <c r="AF985" s="1293"/>
      <c r="AG985" s="1293"/>
      <c r="AH985" s="1293"/>
      <c r="AI985" s="1293"/>
      <c r="AJ985" s="1293"/>
      <c r="AK985" s="1294"/>
      <c r="AL985" s="105"/>
    </row>
    <row r="986" spans="1:38" s="743" customFormat="1" ht="12.75" customHeight="1">
      <c r="A986" s="51"/>
      <c r="B986" s="113"/>
      <c r="C986" s="114"/>
      <c r="D986" s="1247"/>
      <c r="E986" s="1248"/>
      <c r="F986" s="1248"/>
      <c r="G986" s="1248"/>
      <c r="H986" s="1248"/>
      <c r="I986" s="1248"/>
      <c r="J986" s="1248"/>
      <c r="K986" s="1248"/>
      <c r="L986" s="1248"/>
      <c r="M986" s="1248"/>
      <c r="N986" s="1248"/>
      <c r="O986" s="1248"/>
      <c r="P986" s="1248"/>
      <c r="Q986" s="1248"/>
      <c r="R986" s="1248"/>
      <c r="S986" s="1248"/>
      <c r="T986" s="1248"/>
      <c r="U986" s="1248"/>
      <c r="V986" s="1248"/>
      <c r="W986" s="1248"/>
      <c r="X986" s="1248"/>
      <c r="Y986" s="1249"/>
      <c r="Z986" s="1306"/>
      <c r="AA986" s="1307"/>
      <c r="AB986" s="1307"/>
      <c r="AC986" s="1307"/>
      <c r="AD986" s="1292"/>
      <c r="AE986" s="1293"/>
      <c r="AF986" s="1293"/>
      <c r="AG986" s="1293"/>
      <c r="AH986" s="1293"/>
      <c r="AI986" s="1293"/>
      <c r="AJ986" s="1293"/>
      <c r="AK986" s="1294"/>
      <c r="AL986" s="105"/>
    </row>
    <row r="987" spans="1:38" ht="12.75" customHeight="1">
      <c r="A987" s="51"/>
      <c r="B987" s="126"/>
      <c r="C987" s="125"/>
      <c r="D987" s="1253"/>
      <c r="E987" s="1254"/>
      <c r="F987" s="1254"/>
      <c r="G987" s="1254"/>
      <c r="H987" s="1254"/>
      <c r="I987" s="1254"/>
      <c r="J987" s="1254"/>
      <c r="K987" s="1254"/>
      <c r="L987" s="1254"/>
      <c r="M987" s="1254"/>
      <c r="N987" s="1254"/>
      <c r="O987" s="1254"/>
      <c r="P987" s="1254"/>
      <c r="Q987" s="1254"/>
      <c r="R987" s="1254"/>
      <c r="S987" s="1254"/>
      <c r="T987" s="1254"/>
      <c r="U987" s="1254"/>
      <c r="V987" s="1254"/>
      <c r="W987" s="1254"/>
      <c r="X987" s="1254"/>
      <c r="Y987" s="1255"/>
      <c r="Z987" s="1306"/>
      <c r="AA987" s="1307"/>
      <c r="AB987" s="1307"/>
      <c r="AC987" s="1307"/>
      <c r="AD987" s="1295"/>
      <c r="AE987" s="1296"/>
      <c r="AF987" s="1296"/>
      <c r="AG987" s="1296"/>
      <c r="AH987" s="1296"/>
      <c r="AI987" s="1296"/>
      <c r="AJ987" s="1296"/>
      <c r="AK987" s="1297"/>
      <c r="AL987" s="105"/>
    </row>
    <row r="988" spans="1:38" ht="12.75" customHeight="1">
      <c r="A988" s="51"/>
      <c r="B988" s="120"/>
      <c r="C988" s="121" t="s">
        <v>249</v>
      </c>
      <c r="D988" s="1250" t="s">
        <v>1620</v>
      </c>
      <c r="E988" s="1251"/>
      <c r="F988" s="1251"/>
      <c r="G988" s="1251"/>
      <c r="H988" s="1251"/>
      <c r="I988" s="1251"/>
      <c r="J988" s="1251"/>
      <c r="K988" s="1251"/>
      <c r="L988" s="1251"/>
      <c r="M988" s="1251"/>
      <c r="N988" s="1251"/>
      <c r="O988" s="1251"/>
      <c r="P988" s="1251"/>
      <c r="Q988" s="1251"/>
      <c r="R988" s="1251"/>
      <c r="S988" s="1251"/>
      <c r="T988" s="1251"/>
      <c r="U988" s="1251"/>
      <c r="V988" s="1251"/>
      <c r="W988" s="1251"/>
      <c r="X988" s="1251"/>
      <c r="Y988" s="1252"/>
      <c r="Z988" s="120"/>
      <c r="AA988" s="1174" t="s">
        <v>591</v>
      </c>
      <c r="AB988" s="1175"/>
      <c r="AC988" s="127"/>
      <c r="AD988" s="1176">
        <f>ROUND(IF(AA988="yes",(AD953*0.1),0),0)</f>
        <v>1710173</v>
      </c>
      <c r="AE988" s="1177"/>
      <c r="AF988" s="1177"/>
      <c r="AG988" s="1177"/>
      <c r="AH988" s="1177"/>
      <c r="AI988" s="1177"/>
      <c r="AJ988" s="1177"/>
      <c r="AK988" s="1178"/>
      <c r="AL988" s="105"/>
    </row>
    <row r="989" spans="1:38" s="743" customFormat="1" ht="12.75" customHeight="1">
      <c r="A989" s="51"/>
      <c r="B989" s="113"/>
      <c r="C989" s="114"/>
      <c r="D989" s="1247" t="s">
        <v>1621</v>
      </c>
      <c r="E989" s="1248"/>
      <c r="F989" s="1248"/>
      <c r="G989" s="1248"/>
      <c r="H989" s="1248"/>
      <c r="I989" s="1248"/>
      <c r="J989" s="1248"/>
      <c r="K989" s="1248"/>
      <c r="L989" s="1248"/>
      <c r="M989" s="1248"/>
      <c r="N989" s="1248"/>
      <c r="O989" s="1248"/>
      <c r="P989" s="1248"/>
      <c r="Q989" s="1248"/>
      <c r="R989" s="1248"/>
      <c r="S989" s="1248"/>
      <c r="T989" s="1248"/>
      <c r="U989" s="1248"/>
      <c r="V989" s="1248"/>
      <c r="W989" s="1248"/>
      <c r="X989" s="1248"/>
      <c r="Y989" s="1249"/>
      <c r="Z989" s="113"/>
      <c r="AA989" s="115"/>
      <c r="AB989" s="115"/>
      <c r="AC989" s="115"/>
      <c r="AD989" s="1179"/>
      <c r="AE989" s="1180"/>
      <c r="AF989" s="1180"/>
      <c r="AG989" s="1180"/>
      <c r="AH989" s="1180"/>
      <c r="AI989" s="1180"/>
      <c r="AJ989" s="1180"/>
      <c r="AK989" s="1181"/>
      <c r="AL989" s="105"/>
    </row>
    <row r="990" spans="1:38" ht="12.75">
      <c r="A990" s="51"/>
      <c r="B990" s="113"/>
      <c r="C990" s="114"/>
      <c r="D990" s="1253"/>
      <c r="E990" s="1254"/>
      <c r="F990" s="1254"/>
      <c r="G990" s="1254"/>
      <c r="H990" s="1254"/>
      <c r="I990" s="1254"/>
      <c r="J990" s="1254"/>
      <c r="K990" s="1254"/>
      <c r="L990" s="1254"/>
      <c r="M990" s="1254"/>
      <c r="N990" s="1254"/>
      <c r="O990" s="1254"/>
      <c r="P990" s="1254"/>
      <c r="Q990" s="1254"/>
      <c r="R990" s="1254"/>
      <c r="S990" s="1254"/>
      <c r="T990" s="1254"/>
      <c r="U990" s="1254"/>
      <c r="V990" s="1254"/>
      <c r="W990" s="1254"/>
      <c r="X990" s="1254"/>
      <c r="Y990" s="1255"/>
      <c r="Z990" s="113"/>
      <c r="AA990" s="115"/>
      <c r="AB990" s="115"/>
      <c r="AC990" s="115"/>
      <c r="AD990" s="1179"/>
      <c r="AE990" s="1180"/>
      <c r="AF990" s="1180"/>
      <c r="AG990" s="1180"/>
      <c r="AH990" s="1180"/>
      <c r="AI990" s="1180"/>
      <c r="AJ990" s="1180"/>
      <c r="AK990" s="1181"/>
      <c r="AL990" s="105"/>
    </row>
    <row r="991" spans="1:38" ht="12.75" customHeight="1">
      <c r="A991" s="51"/>
      <c r="B991" s="120"/>
      <c r="C991" s="555" t="s">
        <v>741</v>
      </c>
      <c r="D991" s="1250" t="s">
        <v>1622</v>
      </c>
      <c r="E991" s="1251"/>
      <c r="F991" s="1251"/>
      <c r="G991" s="1251"/>
      <c r="H991" s="1251"/>
      <c r="I991" s="1251"/>
      <c r="J991" s="1251"/>
      <c r="K991" s="1251"/>
      <c r="L991" s="1251"/>
      <c r="M991" s="1251"/>
      <c r="N991" s="1251"/>
      <c r="O991" s="1251"/>
      <c r="P991" s="1251"/>
      <c r="Q991" s="1251"/>
      <c r="R991" s="1251"/>
      <c r="S991" s="1251"/>
      <c r="T991" s="1251"/>
      <c r="U991" s="1251"/>
      <c r="V991" s="1251"/>
      <c r="W991" s="1251"/>
      <c r="X991" s="1251"/>
      <c r="Y991" s="1252"/>
      <c r="Z991" s="120"/>
      <c r="AA991" s="1174" t="s">
        <v>722</v>
      </c>
      <c r="AB991" s="1175"/>
      <c r="AC991" s="127"/>
      <c r="AD991" s="1176">
        <f>ROUND(IF(AA991="yes",(AD953*0.1),0),0)</f>
        <v>0</v>
      </c>
      <c r="AE991" s="1177"/>
      <c r="AF991" s="1177"/>
      <c r="AG991" s="1177"/>
      <c r="AH991" s="1177"/>
      <c r="AI991" s="1177"/>
      <c r="AJ991" s="1177"/>
      <c r="AK991" s="1178"/>
      <c r="AL991" s="105"/>
    </row>
    <row r="992" spans="1:38" s="706" customFormat="1" ht="12.75" customHeight="1">
      <c r="A992" s="51"/>
      <c r="B992" s="113"/>
      <c r="C992" s="114"/>
      <c r="D992" s="1247" t="s">
        <v>1623</v>
      </c>
      <c r="E992" s="1248"/>
      <c r="F992" s="1248"/>
      <c r="G992" s="1248"/>
      <c r="H992" s="1248"/>
      <c r="I992" s="1248"/>
      <c r="J992" s="1248"/>
      <c r="K992" s="1248"/>
      <c r="L992" s="1248"/>
      <c r="M992" s="1248"/>
      <c r="N992" s="1248"/>
      <c r="O992" s="1248"/>
      <c r="P992" s="1248"/>
      <c r="Q992" s="1248"/>
      <c r="R992" s="1248"/>
      <c r="S992" s="1248"/>
      <c r="T992" s="1248"/>
      <c r="U992" s="1248"/>
      <c r="V992" s="1248"/>
      <c r="W992" s="1248"/>
      <c r="X992" s="1248"/>
      <c r="Y992" s="1249"/>
      <c r="Z992" s="113"/>
      <c r="AA992" s="115"/>
      <c r="AB992" s="115"/>
      <c r="AC992" s="115"/>
      <c r="AD992" s="1179"/>
      <c r="AE992" s="1180"/>
      <c r="AF992" s="1180"/>
      <c r="AG992" s="1180"/>
      <c r="AH992" s="1180"/>
      <c r="AI992" s="1180"/>
      <c r="AJ992" s="1180"/>
      <c r="AK992" s="1181"/>
      <c r="AL992" s="105"/>
    </row>
    <row r="993" spans="1:38" ht="12.75" customHeight="1">
      <c r="A993" s="51"/>
      <c r="B993" s="113"/>
      <c r="C993" s="114"/>
      <c r="D993" s="1247"/>
      <c r="E993" s="1248"/>
      <c r="F993" s="1248"/>
      <c r="G993" s="1248"/>
      <c r="H993" s="1248"/>
      <c r="I993" s="1248"/>
      <c r="J993" s="1248"/>
      <c r="K993" s="1248"/>
      <c r="L993" s="1248"/>
      <c r="M993" s="1248"/>
      <c r="N993" s="1248"/>
      <c r="O993" s="1248"/>
      <c r="P993" s="1248"/>
      <c r="Q993" s="1248"/>
      <c r="R993" s="1248"/>
      <c r="S993" s="1248"/>
      <c r="T993" s="1248"/>
      <c r="U993" s="1248"/>
      <c r="V993" s="1248"/>
      <c r="W993" s="1248"/>
      <c r="X993" s="1248"/>
      <c r="Y993" s="1249"/>
      <c r="Z993" s="113"/>
      <c r="AA993" s="115"/>
      <c r="AB993" s="115"/>
      <c r="AC993" s="115"/>
      <c r="AD993" s="552"/>
      <c r="AE993" s="553"/>
      <c r="AF993" s="553"/>
      <c r="AG993" s="553"/>
      <c r="AH993" s="553"/>
      <c r="AI993" s="553"/>
      <c r="AJ993" s="553"/>
      <c r="AK993" s="554"/>
      <c r="AL993" s="105"/>
    </row>
    <row r="994" spans="1:38" ht="12.75" customHeight="1">
      <c r="A994" s="51"/>
      <c r="B994" s="113"/>
      <c r="C994" s="114"/>
      <c r="D994" s="1247"/>
      <c r="E994" s="1248"/>
      <c r="F994" s="1248"/>
      <c r="G994" s="1248"/>
      <c r="H994" s="1248"/>
      <c r="I994" s="1248"/>
      <c r="J994" s="1248"/>
      <c r="K994" s="1248"/>
      <c r="L994" s="1248"/>
      <c r="M994" s="1248"/>
      <c r="N994" s="1248"/>
      <c r="O994" s="1248"/>
      <c r="P994" s="1248"/>
      <c r="Q994" s="1248"/>
      <c r="R994" s="1248"/>
      <c r="S994" s="1248"/>
      <c r="T994" s="1248"/>
      <c r="U994" s="1248"/>
      <c r="V994" s="1248"/>
      <c r="W994" s="1248"/>
      <c r="X994" s="1248"/>
      <c r="Y994" s="1249"/>
      <c r="Z994" s="113"/>
      <c r="AA994" s="115"/>
      <c r="AB994" s="115"/>
      <c r="AC994" s="115"/>
      <c r="AD994" s="552"/>
      <c r="AE994" s="553"/>
      <c r="AF994" s="553"/>
      <c r="AG994" s="553"/>
      <c r="AH994" s="553"/>
      <c r="AI994" s="553"/>
      <c r="AJ994" s="553"/>
      <c r="AK994" s="554"/>
      <c r="AL994" s="105"/>
    </row>
    <row r="995" spans="1:38" ht="12.75" customHeight="1">
      <c r="A995" s="51"/>
      <c r="B995" s="113"/>
      <c r="C995" s="114"/>
      <c r="D995" s="1253"/>
      <c r="E995" s="1254"/>
      <c r="F995" s="1254"/>
      <c r="G995" s="1254"/>
      <c r="H995" s="1254"/>
      <c r="I995" s="1254"/>
      <c r="J995" s="1254"/>
      <c r="K995" s="1254"/>
      <c r="L995" s="1254"/>
      <c r="M995" s="1254"/>
      <c r="N995" s="1254"/>
      <c r="O995" s="1254"/>
      <c r="P995" s="1254"/>
      <c r="Q995" s="1254"/>
      <c r="R995" s="1254"/>
      <c r="S995" s="1254"/>
      <c r="T995" s="1254"/>
      <c r="U995" s="1254"/>
      <c r="V995" s="1254"/>
      <c r="W995" s="1254"/>
      <c r="X995" s="1254"/>
      <c r="Y995" s="1255"/>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50" t="s">
        <v>1627</v>
      </c>
      <c r="E996" s="1251"/>
      <c r="F996" s="1251"/>
      <c r="G996" s="1251"/>
      <c r="H996" s="1251"/>
      <c r="I996" s="1251"/>
      <c r="J996" s="1251"/>
      <c r="K996" s="1251"/>
      <c r="L996" s="1251"/>
      <c r="M996" s="1251"/>
      <c r="N996" s="1251"/>
      <c r="O996" s="1251"/>
      <c r="P996" s="1251"/>
      <c r="Q996" s="1251"/>
      <c r="R996" s="1251"/>
      <c r="S996" s="1251"/>
      <c r="T996" s="1251"/>
      <c r="U996" s="1251"/>
      <c r="V996" s="1251"/>
      <c r="W996" s="1251"/>
      <c r="X996" s="1251"/>
      <c r="Y996" s="1252"/>
      <c r="Z996" s="120"/>
      <c r="AA996" s="1281" t="str">
        <f>IF(X999&gt;0,"Yes","No")</f>
        <v>Yes</v>
      </c>
      <c r="AB996" s="1282"/>
      <c r="AC996" s="128"/>
      <c r="AD996" s="1272">
        <f>IF((X999=0),"",AO906*AD953)</f>
        <v>17101728</v>
      </c>
      <c r="AE996" s="1273"/>
      <c r="AF996" s="1273"/>
      <c r="AG996" s="1273"/>
      <c r="AH996" s="1273"/>
      <c r="AI996" s="1273"/>
      <c r="AJ996" s="1273"/>
      <c r="AK996" s="1274"/>
      <c r="AL996" s="105"/>
    </row>
    <row r="997" spans="1:38" s="743" customFormat="1" ht="12.75" customHeight="1">
      <c r="A997" s="51"/>
      <c r="B997" s="113"/>
      <c r="C997" s="726"/>
      <c r="D997" s="1247" t="s">
        <v>1626</v>
      </c>
      <c r="E997" s="1248"/>
      <c r="F997" s="1248"/>
      <c r="G997" s="1248"/>
      <c r="H997" s="1248"/>
      <c r="I997" s="1248"/>
      <c r="J997" s="1248"/>
      <c r="K997" s="1248"/>
      <c r="L997" s="1248"/>
      <c r="M997" s="1248"/>
      <c r="N997" s="1248"/>
      <c r="O997" s="1248"/>
      <c r="P997" s="1248"/>
      <c r="Q997" s="1248"/>
      <c r="R997" s="1248"/>
      <c r="S997" s="1248"/>
      <c r="T997" s="1248"/>
      <c r="U997" s="1248"/>
      <c r="V997" s="1248"/>
      <c r="W997" s="1248"/>
      <c r="X997" s="1248"/>
      <c r="Y997" s="1249"/>
      <c r="Z997" s="113"/>
      <c r="AA997" s="727"/>
      <c r="AB997" s="727"/>
      <c r="AC997" s="124"/>
      <c r="AD997" s="1275"/>
      <c r="AE997" s="1276"/>
      <c r="AF997" s="1276"/>
      <c r="AG997" s="1276"/>
      <c r="AH997" s="1276"/>
      <c r="AI997" s="1276"/>
      <c r="AJ997" s="1276"/>
      <c r="AK997" s="1277"/>
      <c r="AL997" s="105"/>
    </row>
    <row r="998" spans="1:38" ht="12.75" customHeight="1">
      <c r="A998" s="51"/>
      <c r="B998" s="113"/>
      <c r="C998" s="726"/>
      <c r="D998" s="1247"/>
      <c r="E998" s="1248"/>
      <c r="F998" s="1248"/>
      <c r="G998" s="1248"/>
      <c r="H998" s="1248"/>
      <c r="I998" s="1248"/>
      <c r="J998" s="1248"/>
      <c r="K998" s="1248"/>
      <c r="L998" s="1248"/>
      <c r="M998" s="1248"/>
      <c r="N998" s="1248"/>
      <c r="O998" s="1248"/>
      <c r="P998" s="1248"/>
      <c r="Q998" s="1248"/>
      <c r="R998" s="1248"/>
      <c r="S998" s="1248"/>
      <c r="T998" s="1248"/>
      <c r="U998" s="1248"/>
      <c r="V998" s="1248"/>
      <c r="W998" s="1248"/>
      <c r="X998" s="1248"/>
      <c r="Y998" s="1249"/>
      <c r="Z998" s="113"/>
      <c r="AA998" s="727"/>
      <c r="AB998" s="727"/>
      <c r="AC998" s="124"/>
      <c r="AD998" s="1275"/>
      <c r="AE998" s="1276"/>
      <c r="AF998" s="1276"/>
      <c r="AG998" s="1276"/>
      <c r="AH998" s="1276"/>
      <c r="AI998" s="1276"/>
      <c r="AJ998" s="1276"/>
      <c r="AK998" s="1277"/>
      <c r="AL998" s="105"/>
    </row>
    <row r="999" spans="1:38" ht="12.75" customHeight="1">
      <c r="A999" s="51"/>
      <c r="B999" s="118"/>
      <c r="C999" s="119"/>
      <c r="D999" s="207" t="s">
        <v>1081</v>
      </c>
      <c r="E999" s="208"/>
      <c r="F999" s="208"/>
      <c r="G999" s="208"/>
      <c r="H999" s="104"/>
      <c r="I999" s="1302">
        <f>AM905</f>
        <v>54</v>
      </c>
      <c r="J999" s="1303"/>
      <c r="K999" s="51"/>
      <c r="L999" s="104"/>
      <c r="M999" s="208"/>
      <c r="N999" s="208"/>
      <c r="O999" s="208"/>
      <c r="P999" s="208"/>
      <c r="Q999" s="208"/>
      <c r="R999" s="208"/>
      <c r="S999" s="208"/>
      <c r="T999" s="208"/>
      <c r="U999" s="208"/>
      <c r="V999" s="104"/>
      <c r="W999" s="209" t="s">
        <v>1082</v>
      </c>
      <c r="X999" s="1304">
        <f>AT614</f>
        <v>54</v>
      </c>
      <c r="Y999" s="1305"/>
      <c r="Z999" s="1283"/>
      <c r="AA999" s="1284"/>
      <c r="AB999" s="1284"/>
      <c r="AC999" s="1285"/>
      <c r="AD999" s="1278"/>
      <c r="AE999" s="1279"/>
      <c r="AF999" s="1279"/>
      <c r="AG999" s="1279"/>
      <c r="AH999" s="1279"/>
      <c r="AI999" s="1279"/>
      <c r="AJ999" s="1279"/>
      <c r="AK999" s="1280"/>
      <c r="AL999" s="105"/>
    </row>
    <row r="1000" spans="1:38" ht="12.75" customHeight="1">
      <c r="A1000" s="51"/>
      <c r="B1000" s="120"/>
      <c r="C1000" s="206" t="s">
        <v>1155</v>
      </c>
      <c r="D1000" s="1250" t="s">
        <v>1625</v>
      </c>
      <c r="E1000" s="1251"/>
      <c r="F1000" s="1251"/>
      <c r="G1000" s="1251"/>
      <c r="H1000" s="1251"/>
      <c r="I1000" s="1251"/>
      <c r="J1000" s="1251"/>
      <c r="K1000" s="1251"/>
      <c r="L1000" s="1251"/>
      <c r="M1000" s="1251"/>
      <c r="N1000" s="1251"/>
      <c r="O1000" s="1251"/>
      <c r="P1000" s="1251"/>
      <c r="Q1000" s="1251"/>
      <c r="R1000" s="1251"/>
      <c r="S1000" s="1251"/>
      <c r="T1000" s="1251"/>
      <c r="U1000" s="1251"/>
      <c r="V1000" s="1251"/>
      <c r="W1000" s="1251"/>
      <c r="X1000" s="1251"/>
      <c r="Y1000" s="1252"/>
      <c r="Z1000" s="113"/>
      <c r="AA1000" s="1281" t="str">
        <f>IF(X1003&gt;0,"Yes","No")</f>
        <v>No</v>
      </c>
      <c r="AB1000" s="1282"/>
      <c r="AC1000" s="124"/>
      <c r="AD1000" s="1272" t="str">
        <f>IF((X1003=0)," ",(2*AO907)*AD953)</f>
        <v xml:space="preserve"> </v>
      </c>
      <c r="AE1000" s="1273"/>
      <c r="AF1000" s="1273"/>
      <c r="AG1000" s="1273"/>
      <c r="AH1000" s="1273"/>
      <c r="AI1000" s="1273"/>
      <c r="AJ1000" s="1273"/>
      <c r="AK1000" s="1274"/>
      <c r="AL1000" s="105"/>
    </row>
    <row r="1001" spans="1:38" s="743" customFormat="1" ht="12.75" customHeight="1">
      <c r="A1001" s="51"/>
      <c r="B1001" s="113"/>
      <c r="C1001" s="726"/>
      <c r="D1001" s="1247" t="s">
        <v>1624</v>
      </c>
      <c r="E1001" s="1248"/>
      <c r="F1001" s="1248"/>
      <c r="G1001" s="1248"/>
      <c r="H1001" s="1248"/>
      <c r="I1001" s="1248"/>
      <c r="J1001" s="1248"/>
      <c r="K1001" s="1248"/>
      <c r="L1001" s="1248"/>
      <c r="M1001" s="1248"/>
      <c r="N1001" s="1248"/>
      <c r="O1001" s="1248"/>
      <c r="P1001" s="1248"/>
      <c r="Q1001" s="1248"/>
      <c r="R1001" s="1248"/>
      <c r="S1001" s="1248"/>
      <c r="T1001" s="1248"/>
      <c r="U1001" s="1248"/>
      <c r="V1001" s="1248"/>
      <c r="W1001" s="1248"/>
      <c r="X1001" s="1248"/>
      <c r="Y1001" s="1249"/>
      <c r="Z1001" s="113"/>
      <c r="AA1001" s="727"/>
      <c r="AB1001" s="727"/>
      <c r="AC1001" s="124"/>
      <c r="AD1001" s="1275"/>
      <c r="AE1001" s="1276"/>
      <c r="AF1001" s="1276"/>
      <c r="AG1001" s="1276"/>
      <c r="AH1001" s="1276"/>
      <c r="AI1001" s="1276"/>
      <c r="AJ1001" s="1276"/>
      <c r="AK1001" s="1277"/>
      <c r="AL1001" s="105"/>
    </row>
    <row r="1002" spans="1:38" ht="12.75" customHeight="1">
      <c r="A1002" s="51"/>
      <c r="B1002" s="113"/>
      <c r="C1002" s="124"/>
      <c r="D1002" s="1247"/>
      <c r="E1002" s="1248"/>
      <c r="F1002" s="1248"/>
      <c r="G1002" s="1248"/>
      <c r="H1002" s="1248"/>
      <c r="I1002" s="1248"/>
      <c r="J1002" s="1248"/>
      <c r="K1002" s="1248"/>
      <c r="L1002" s="1248"/>
      <c r="M1002" s="1248"/>
      <c r="N1002" s="1248"/>
      <c r="O1002" s="1248"/>
      <c r="P1002" s="1248"/>
      <c r="Q1002" s="1248"/>
      <c r="R1002" s="1248"/>
      <c r="S1002" s="1248"/>
      <c r="T1002" s="1248"/>
      <c r="U1002" s="1248"/>
      <c r="V1002" s="1248"/>
      <c r="W1002" s="1248"/>
      <c r="X1002" s="1248"/>
      <c r="Y1002" s="1249"/>
      <c r="Z1002" s="1313"/>
      <c r="AA1002" s="1311"/>
      <c r="AB1002" s="1311"/>
      <c r="AC1002" s="1312"/>
      <c r="AD1002" s="1275"/>
      <c r="AE1002" s="1276"/>
      <c r="AF1002" s="1276"/>
      <c r="AG1002" s="1276"/>
      <c r="AH1002" s="1276"/>
      <c r="AI1002" s="1276"/>
      <c r="AJ1002" s="1276"/>
      <c r="AK1002" s="1277"/>
      <c r="AL1002" s="105"/>
    </row>
    <row r="1003" spans="1:38" ht="12.75" customHeight="1">
      <c r="A1003" s="51"/>
      <c r="B1003" s="118"/>
      <c r="C1003" s="119"/>
      <c r="D1003" s="207" t="s">
        <v>1081</v>
      </c>
      <c r="E1003" s="208"/>
      <c r="F1003" s="208"/>
      <c r="G1003" s="208"/>
      <c r="H1003" s="208"/>
      <c r="I1003" s="1302">
        <f>AM905</f>
        <v>54</v>
      </c>
      <c r="J1003" s="1303"/>
      <c r="K1003" s="51"/>
      <c r="L1003" s="208"/>
      <c r="M1003" s="208"/>
      <c r="N1003" s="208"/>
      <c r="O1003" s="208"/>
      <c r="P1003" s="208"/>
      <c r="Q1003" s="208"/>
      <c r="R1003" s="208"/>
      <c r="S1003" s="208"/>
      <c r="T1003" s="208"/>
      <c r="U1003" s="208"/>
      <c r="V1003" s="208"/>
      <c r="W1003" s="209" t="s">
        <v>1083</v>
      </c>
      <c r="X1003" s="1304">
        <f>AX614</f>
        <v>0</v>
      </c>
      <c r="Y1003" s="1305"/>
      <c r="Z1003" s="1283"/>
      <c r="AA1003" s="1284"/>
      <c r="AB1003" s="1284"/>
      <c r="AC1003" s="1285"/>
      <c r="AD1003" s="1278"/>
      <c r="AE1003" s="1279"/>
      <c r="AF1003" s="1279"/>
      <c r="AG1003" s="1279"/>
      <c r="AH1003" s="1279"/>
      <c r="AI1003" s="1279"/>
      <c r="AJ1003" s="1279"/>
      <c r="AK1003" s="1280"/>
      <c r="AL1003" s="105"/>
    </row>
    <row r="1004" spans="1:38" ht="12.75" customHeight="1">
      <c r="A1004" s="51"/>
      <c r="B1004" s="161"/>
      <c r="C1004" s="162"/>
      <c r="D1004" s="1331" t="s">
        <v>559</v>
      </c>
      <c r="E1004" s="1331"/>
      <c r="F1004" s="1331"/>
      <c r="G1004" s="1331"/>
      <c r="H1004" s="1331"/>
      <c r="I1004" s="1331"/>
      <c r="J1004" s="1331"/>
      <c r="K1004" s="1331"/>
      <c r="L1004" s="1331"/>
      <c r="M1004" s="1331"/>
      <c r="N1004" s="1331"/>
      <c r="O1004" s="1331"/>
      <c r="P1004" s="1331"/>
      <c r="Q1004" s="1331"/>
      <c r="R1004" s="1331"/>
      <c r="S1004" s="1331"/>
      <c r="T1004" s="1331"/>
      <c r="U1004" s="1331"/>
      <c r="V1004" s="1331"/>
      <c r="W1004" s="1331"/>
      <c r="X1004" s="1331"/>
      <c r="Y1004" s="1331"/>
      <c r="Z1004" s="1331"/>
      <c r="AA1004" s="1331"/>
      <c r="AB1004" s="1331"/>
      <c r="AC1004" s="1332"/>
      <c r="AD1004" s="1266">
        <f>SUM(AD953:AK1003)</f>
        <v>39821704</v>
      </c>
      <c r="AE1004" s="1267"/>
      <c r="AF1004" s="1267"/>
      <c r="AG1004" s="1267"/>
      <c r="AH1004" s="1267"/>
      <c r="AI1004" s="1267"/>
      <c r="AJ1004" s="1267"/>
      <c r="AK1004" s="126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9"/>
      <c r="Y1007" s="1199"/>
      <c r="Z1007" s="1199"/>
      <c r="AA1007" s="1199"/>
      <c r="AB1007" s="1199"/>
      <c r="AC1007" s="1199"/>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0"/>
      <c r="Y1008" s="1200"/>
      <c r="Z1008" s="1200"/>
      <c r="AA1008" s="1200"/>
      <c r="AB1008" s="1200"/>
      <c r="AC1008" s="1200"/>
      <c r="AD1008" s="345"/>
      <c r="AE1008" s="345"/>
      <c r="AF1008" s="345"/>
      <c r="AG1008" s="345"/>
      <c r="AH1008" s="345"/>
      <c r="AI1008" s="345"/>
      <c r="AJ1008" s="345"/>
      <c r="AK1008" s="345"/>
      <c r="AL1008" s="105"/>
    </row>
    <row r="1009" spans="1:38" ht="12.75" customHeight="1">
      <c r="A1009" s="51"/>
      <c r="B1009" s="115"/>
      <c r="C1009" s="348"/>
      <c r="D1009" s="1553"/>
      <c r="E1009" s="1553"/>
      <c r="F1009" s="1553"/>
      <c r="G1009" s="1553"/>
      <c r="H1009" s="1553"/>
      <c r="I1009" s="1553"/>
      <c r="J1009" s="1553"/>
      <c r="K1009" s="1553"/>
      <c r="L1009" s="1553"/>
      <c r="M1009" s="1553"/>
      <c r="N1009" s="1553"/>
      <c r="O1009" s="1553"/>
      <c r="P1009" s="1553"/>
      <c r="Q1009" s="1553"/>
      <c r="R1009" s="1553"/>
      <c r="S1009" s="1553"/>
      <c r="T1009" s="1553"/>
      <c r="U1009" s="1553"/>
      <c r="V1009" s="1553"/>
      <c r="W1009" s="1553"/>
      <c r="X1009" s="1553"/>
      <c r="Y1009" s="1553"/>
      <c r="Z1009" s="1553"/>
      <c r="AA1009" s="1553"/>
      <c r="AB1009" s="1553"/>
      <c r="AC1009" s="1553"/>
      <c r="AD1009" s="1553"/>
      <c r="AE1009" s="1553"/>
      <c r="AF1009" s="1553"/>
      <c r="AG1009" s="1553"/>
      <c r="AH1009" s="1553"/>
      <c r="AI1009" s="1553"/>
      <c r="AJ1009" s="1553"/>
      <c r="AK1009" s="1553"/>
      <c r="AL1009" s="105"/>
    </row>
    <row r="1010" spans="1:38" ht="12.75" customHeight="1">
      <c r="A1010" s="51"/>
      <c r="B1010" s="115"/>
      <c r="C1010" s="348"/>
      <c r="D1010" s="1553"/>
      <c r="E1010" s="1553"/>
      <c r="F1010" s="1553"/>
      <c r="G1010" s="1553"/>
      <c r="H1010" s="1553"/>
      <c r="I1010" s="1553"/>
      <c r="J1010" s="1553"/>
      <c r="K1010" s="1553"/>
      <c r="L1010" s="1553"/>
      <c r="M1010" s="1553"/>
      <c r="N1010" s="1553"/>
      <c r="O1010" s="1553"/>
      <c r="P1010" s="1553"/>
      <c r="Q1010" s="1553"/>
      <c r="R1010" s="1553"/>
      <c r="S1010" s="1553"/>
      <c r="T1010" s="1553"/>
      <c r="U1010" s="1553"/>
      <c r="V1010" s="1553"/>
      <c r="W1010" s="1553"/>
      <c r="X1010" s="1553"/>
      <c r="Y1010" s="1553"/>
      <c r="Z1010" s="1553"/>
      <c r="AA1010" s="1553"/>
      <c r="AB1010" s="1553"/>
      <c r="AC1010" s="1553"/>
      <c r="AD1010" s="1553"/>
      <c r="AE1010" s="1553"/>
      <c r="AF1010" s="1553"/>
      <c r="AG1010" s="1553"/>
      <c r="AH1010" s="1553"/>
      <c r="AI1010" s="1553"/>
      <c r="AJ1010" s="1553"/>
      <c r="AK1010" s="1553"/>
      <c r="AL1010" s="105"/>
    </row>
    <row r="1011" spans="1:38" ht="12.75" customHeight="1">
      <c r="A1011" s="51"/>
      <c r="B1011" s="115"/>
      <c r="C1011" s="348"/>
      <c r="D1011" s="1553"/>
      <c r="E1011" s="1553"/>
      <c r="F1011" s="1553"/>
      <c r="G1011" s="1553"/>
      <c r="H1011" s="1553"/>
      <c r="I1011" s="1553"/>
      <c r="J1011" s="1553"/>
      <c r="K1011" s="1553"/>
      <c r="L1011" s="1553"/>
      <c r="M1011" s="1553"/>
      <c r="N1011" s="1553"/>
      <c r="O1011" s="1553"/>
      <c r="P1011" s="1553"/>
      <c r="Q1011" s="1553"/>
      <c r="R1011" s="1553"/>
      <c r="S1011" s="1553"/>
      <c r="T1011" s="1553"/>
      <c r="U1011" s="1553"/>
      <c r="V1011" s="1553"/>
      <c r="W1011" s="1553"/>
      <c r="X1011" s="1553"/>
      <c r="Y1011" s="1553"/>
      <c r="Z1011" s="1553"/>
      <c r="AA1011" s="1553"/>
      <c r="AB1011" s="1553"/>
      <c r="AC1011" s="1553"/>
      <c r="AD1011" s="1553"/>
      <c r="AE1011" s="1553"/>
      <c r="AF1011" s="1553"/>
      <c r="AG1011" s="1553"/>
      <c r="AH1011" s="1553"/>
      <c r="AI1011" s="1553"/>
      <c r="AJ1011" s="1553"/>
      <c r="AK1011" s="1553"/>
      <c r="AL1011" s="105"/>
    </row>
    <row r="1012" spans="1:38" ht="12.6" customHeight="1">
      <c r="A1012" s="51"/>
      <c r="B1012" s="1173"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3"/>
      <c r="D1012" s="1173"/>
      <c r="E1012" s="1173"/>
      <c r="F1012" s="1173"/>
      <c r="G1012" s="1173"/>
      <c r="H1012" s="1173"/>
      <c r="I1012" s="1173"/>
      <c r="J1012" s="1173"/>
      <c r="K1012" s="1173"/>
      <c r="L1012" s="1173"/>
      <c r="M1012" s="1173"/>
      <c r="N1012" s="1173"/>
      <c r="O1012" s="1173"/>
      <c r="P1012" s="1173"/>
      <c r="Q1012" s="1173"/>
      <c r="R1012" s="1173"/>
      <c r="S1012" s="1173"/>
      <c r="T1012" s="1173"/>
      <c r="U1012" s="1173"/>
      <c r="V1012" s="1173"/>
      <c r="W1012" s="1173"/>
      <c r="X1012" s="1173"/>
      <c r="Y1012" s="1173"/>
      <c r="Z1012" s="1173"/>
      <c r="AA1012" s="1173"/>
      <c r="AB1012" s="1173"/>
      <c r="AC1012" s="1173"/>
      <c r="AD1012" s="1173"/>
      <c r="AE1012" s="1173"/>
      <c r="AF1012" s="1173"/>
      <c r="AG1012" s="1173"/>
      <c r="AH1012" s="1173"/>
      <c r="AI1012" s="1173"/>
      <c r="AJ1012" s="1173"/>
      <c r="AK1012" s="1173"/>
      <c r="AL1012" s="105"/>
    </row>
    <row r="1013" spans="1:38" ht="12.6" customHeight="1">
      <c r="A1013" s="131"/>
      <c r="B1013" s="1173"/>
      <c r="C1013" s="1173"/>
      <c r="D1013" s="1173"/>
      <c r="E1013" s="1173"/>
      <c r="F1013" s="1173"/>
      <c r="G1013" s="1173"/>
      <c r="H1013" s="1173"/>
      <c r="I1013" s="1173"/>
      <c r="J1013" s="1173"/>
      <c r="K1013" s="1173"/>
      <c r="L1013" s="1173"/>
      <c r="M1013" s="1173"/>
      <c r="N1013" s="1173"/>
      <c r="O1013" s="1173"/>
      <c r="P1013" s="1173"/>
      <c r="Q1013" s="1173"/>
      <c r="R1013" s="1173"/>
      <c r="S1013" s="1173"/>
      <c r="T1013" s="1173"/>
      <c r="U1013" s="1173"/>
      <c r="V1013" s="1173"/>
      <c r="W1013" s="1173"/>
      <c r="X1013" s="1173"/>
      <c r="Y1013" s="1173"/>
      <c r="Z1013" s="1173"/>
      <c r="AA1013" s="1173"/>
      <c r="AB1013" s="1173"/>
      <c r="AC1013" s="1173"/>
      <c r="AD1013" s="1173"/>
      <c r="AE1013" s="1173"/>
      <c r="AF1013" s="1173"/>
      <c r="AG1013" s="1173"/>
      <c r="AH1013" s="1173"/>
      <c r="AI1013" s="1173"/>
      <c r="AJ1013" s="1173"/>
      <c r="AK1013" s="1173"/>
      <c r="AL1013" s="105"/>
    </row>
    <row r="1014" spans="1:38" ht="12.6" customHeight="1">
      <c r="A1014" s="131"/>
      <c r="B1014" s="1172">
        <f>IF(ISNA(IF((AD978&gt;(AD953*0.15)),"(f) cannot be greater than 15% of unadjusted eligible basis.",0)),"",(IF((AD978&gt;(AD953*0.15)),"(f) cannot be greater than 15% of unadjusted eligible basis.",0)))</f>
        <v>0</v>
      </c>
      <c r="C1014" s="1172"/>
      <c r="D1014" s="1172"/>
      <c r="E1014" s="1172"/>
      <c r="F1014" s="1172"/>
      <c r="G1014" s="1172"/>
      <c r="H1014" s="1172"/>
      <c r="I1014" s="1172"/>
      <c r="J1014" s="1172"/>
      <c r="K1014" s="1172"/>
      <c r="L1014" s="1172"/>
      <c r="M1014" s="1172"/>
      <c r="N1014" s="1172"/>
      <c r="O1014" s="1172"/>
      <c r="P1014" s="1172"/>
      <c r="Q1014" s="1172"/>
      <c r="R1014" s="1172"/>
      <c r="S1014" s="1172"/>
      <c r="T1014" s="1172"/>
      <c r="U1014" s="1172"/>
      <c r="V1014" s="1172"/>
      <c r="W1014" s="1172"/>
      <c r="X1014" s="1172"/>
      <c r="Y1014" s="1172"/>
      <c r="Z1014" s="1172"/>
      <c r="AA1014" s="1172"/>
      <c r="AB1014" s="1172"/>
      <c r="AC1014" s="1172"/>
      <c r="AD1014" s="1172"/>
      <c r="AE1014" s="1172"/>
      <c r="AF1014" s="1172"/>
      <c r="AG1014" s="1172"/>
      <c r="AH1014" s="1172"/>
      <c r="AI1014" s="1172"/>
      <c r="AJ1014" s="1172"/>
      <c r="AK1014" s="1172"/>
      <c r="AL1014" s="105"/>
    </row>
    <row r="1015" spans="1:38" ht="12.6" customHeight="1" thickBot="1">
      <c r="A1015" s="1265" t="s">
        <v>875</v>
      </c>
      <c r="B1015" s="1265"/>
      <c r="C1015" s="1265"/>
      <c r="D1015" s="1265"/>
      <c r="E1015" s="1265"/>
      <c r="F1015" s="1265"/>
      <c r="G1015" s="1265"/>
      <c r="H1015" s="1265"/>
      <c r="I1015" s="1265"/>
      <c r="J1015" s="1265"/>
      <c r="K1015" s="1265"/>
      <c r="L1015" s="1265"/>
      <c r="M1015" s="1265"/>
      <c r="N1015" s="1265"/>
      <c r="O1015" s="1265"/>
      <c r="P1015" s="1265"/>
      <c r="Q1015" s="1265"/>
      <c r="R1015" s="1265"/>
      <c r="S1015" s="1265"/>
      <c r="T1015" s="1265"/>
      <c r="U1015" s="1265"/>
      <c r="V1015" s="1265"/>
      <c r="W1015" s="1265"/>
      <c r="X1015" s="1265"/>
      <c r="Y1015" s="1265"/>
      <c r="Z1015" s="1265"/>
      <c r="AA1015" s="1265"/>
      <c r="AB1015" s="1265"/>
      <c r="AC1015" s="1265"/>
      <c r="AD1015" s="1265"/>
      <c r="AE1015" s="1265"/>
      <c r="AF1015" s="1265"/>
      <c r="AG1015" s="1265"/>
      <c r="AH1015" s="1265"/>
      <c r="AI1015" s="1265"/>
      <c r="AJ1015" s="1265"/>
      <c r="AK1015" s="1265"/>
      <c r="AL1015" s="1265"/>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9" t="s">
        <v>641</v>
      </c>
      <c r="B1019" s="1099"/>
      <c r="C1019" s="13">
        <v>1</v>
      </c>
      <c r="D1019" s="997" t="s">
        <v>1263</v>
      </c>
      <c r="E1019" s="997"/>
      <c r="F1019" s="997"/>
      <c r="G1019" s="997"/>
      <c r="H1019" s="997"/>
      <c r="I1019" s="997"/>
      <c r="J1019" s="997"/>
      <c r="K1019" s="997"/>
      <c r="L1019" s="997"/>
      <c r="M1019" s="997"/>
      <c r="N1019" s="997"/>
      <c r="O1019" s="997"/>
      <c r="P1019" s="997"/>
      <c r="Q1019" s="997"/>
      <c r="R1019" s="997"/>
      <c r="S1019" s="997"/>
      <c r="T1019" s="997"/>
      <c r="U1019" s="997"/>
      <c r="V1019" s="997"/>
      <c r="W1019" s="997"/>
      <c r="X1019" s="997"/>
      <c r="Y1019" s="997"/>
      <c r="Z1019" s="997"/>
      <c r="AA1019" s="997"/>
      <c r="AB1019" s="997"/>
      <c r="AC1019" s="997"/>
      <c r="AD1019" s="997"/>
      <c r="AE1019" s="997"/>
      <c r="AF1019" s="997"/>
      <c r="AG1019" s="997"/>
      <c r="AH1019" s="997"/>
      <c r="AI1019" s="997"/>
      <c r="AJ1019" s="997"/>
      <c r="AK1019" s="997"/>
      <c r="AL1019" s="134"/>
    </row>
    <row r="1020" spans="1:38" ht="12.6" customHeight="1">
      <c r="A1020" s="243"/>
      <c r="B1020" s="243"/>
      <c r="C1020" s="13"/>
      <c r="D1020" s="997"/>
      <c r="E1020" s="997"/>
      <c r="F1020" s="997"/>
      <c r="G1020" s="997"/>
      <c r="H1020" s="997"/>
      <c r="I1020" s="997"/>
      <c r="J1020" s="997"/>
      <c r="K1020" s="997"/>
      <c r="L1020" s="997"/>
      <c r="M1020" s="997"/>
      <c r="N1020" s="997"/>
      <c r="O1020" s="997"/>
      <c r="P1020" s="997"/>
      <c r="Q1020" s="997"/>
      <c r="R1020" s="997"/>
      <c r="S1020" s="997"/>
      <c r="T1020" s="997"/>
      <c r="U1020" s="997"/>
      <c r="V1020" s="997"/>
      <c r="W1020" s="997"/>
      <c r="X1020" s="997"/>
      <c r="Y1020" s="997"/>
      <c r="Z1020" s="997"/>
      <c r="AA1020" s="997"/>
      <c r="AB1020" s="997"/>
      <c r="AC1020" s="997"/>
      <c r="AD1020" s="997"/>
      <c r="AE1020" s="997"/>
      <c r="AF1020" s="997"/>
      <c r="AG1020" s="997"/>
      <c r="AH1020" s="997"/>
      <c r="AI1020" s="997"/>
      <c r="AJ1020" s="997"/>
      <c r="AK1020" s="997"/>
      <c r="AL1020" s="134"/>
    </row>
    <row r="1021" spans="1:38" ht="12.6" customHeight="1">
      <c r="A1021" s="243"/>
      <c r="B1021" s="243"/>
      <c r="C1021" s="13"/>
      <c r="D1021" s="997"/>
      <c r="E1021" s="997"/>
      <c r="F1021" s="997"/>
      <c r="G1021" s="997"/>
      <c r="H1021" s="997"/>
      <c r="I1021" s="997"/>
      <c r="J1021" s="997"/>
      <c r="K1021" s="997"/>
      <c r="L1021" s="997"/>
      <c r="M1021" s="997"/>
      <c r="N1021" s="997"/>
      <c r="O1021" s="997"/>
      <c r="P1021" s="997"/>
      <c r="Q1021" s="997"/>
      <c r="R1021" s="997"/>
      <c r="S1021" s="997"/>
      <c r="T1021" s="997"/>
      <c r="U1021" s="997"/>
      <c r="V1021" s="997"/>
      <c r="W1021" s="997"/>
      <c r="X1021" s="997"/>
      <c r="Y1021" s="997"/>
      <c r="Z1021" s="997"/>
      <c r="AA1021" s="997"/>
      <c r="AB1021" s="997"/>
      <c r="AC1021" s="997"/>
      <c r="AD1021" s="997"/>
      <c r="AE1021" s="997"/>
      <c r="AF1021" s="997"/>
      <c r="AG1021" s="997"/>
      <c r="AH1021" s="997"/>
      <c r="AI1021" s="997"/>
      <c r="AJ1021" s="997"/>
      <c r="AK1021" s="997"/>
      <c r="AL1021" s="105"/>
    </row>
    <row r="1022" spans="1:38" ht="12.6" customHeight="1">
      <c r="A1022" s="243"/>
      <c r="B1022" s="243"/>
      <c r="C1022" s="13"/>
      <c r="D1022" s="997"/>
      <c r="E1022" s="997"/>
      <c r="F1022" s="997"/>
      <c r="G1022" s="997"/>
      <c r="H1022" s="997"/>
      <c r="I1022" s="997"/>
      <c r="J1022" s="997"/>
      <c r="K1022" s="997"/>
      <c r="L1022" s="997"/>
      <c r="M1022" s="997"/>
      <c r="N1022" s="997"/>
      <c r="O1022" s="997"/>
      <c r="P1022" s="997"/>
      <c r="Q1022" s="997"/>
      <c r="R1022" s="997"/>
      <c r="S1022" s="997"/>
      <c r="T1022" s="997"/>
      <c r="U1022" s="997"/>
      <c r="V1022" s="997"/>
      <c r="W1022" s="997"/>
      <c r="X1022" s="997"/>
      <c r="Y1022" s="997"/>
      <c r="Z1022" s="997"/>
      <c r="AA1022" s="997"/>
      <c r="AB1022" s="997"/>
      <c r="AC1022" s="997"/>
      <c r="AD1022" s="997"/>
      <c r="AE1022" s="997"/>
      <c r="AF1022" s="997"/>
      <c r="AG1022" s="997"/>
      <c r="AH1022" s="997"/>
      <c r="AI1022" s="997"/>
      <c r="AJ1022" s="997"/>
      <c r="AK1022" s="997"/>
      <c r="AL1022" s="105"/>
    </row>
    <row r="1023" spans="1:38" ht="12.6" customHeight="1">
      <c r="A1023" s="243"/>
      <c r="B1023" s="243"/>
      <c r="C1023" s="13"/>
      <c r="D1023" s="997"/>
      <c r="E1023" s="997"/>
      <c r="F1023" s="997"/>
      <c r="G1023" s="997"/>
      <c r="H1023" s="997"/>
      <c r="I1023" s="997"/>
      <c r="J1023" s="997"/>
      <c r="K1023" s="997"/>
      <c r="L1023" s="997"/>
      <c r="M1023" s="997"/>
      <c r="N1023" s="997"/>
      <c r="O1023" s="997"/>
      <c r="P1023" s="997"/>
      <c r="Q1023" s="997"/>
      <c r="R1023" s="997"/>
      <c r="S1023" s="997"/>
      <c r="T1023" s="997"/>
      <c r="U1023" s="997"/>
      <c r="V1023" s="997"/>
      <c r="W1023" s="997"/>
      <c r="X1023" s="997"/>
      <c r="Y1023" s="997"/>
      <c r="Z1023" s="997"/>
      <c r="AA1023" s="997"/>
      <c r="AB1023" s="997"/>
      <c r="AC1023" s="997"/>
      <c r="AD1023" s="997"/>
      <c r="AE1023" s="997"/>
      <c r="AF1023" s="997"/>
      <c r="AG1023" s="997"/>
      <c r="AH1023" s="997"/>
      <c r="AI1023" s="997"/>
      <c r="AJ1023" s="997"/>
      <c r="AK1023" s="997"/>
      <c r="AL1023" s="105"/>
    </row>
    <row r="1024" spans="1:38" ht="12.6" customHeight="1">
      <c r="A1024" s="37"/>
      <c r="B1024" s="66"/>
      <c r="C1024" s="13"/>
      <c r="D1024" s="997"/>
      <c r="E1024" s="997"/>
      <c r="F1024" s="997"/>
      <c r="G1024" s="997"/>
      <c r="H1024" s="997"/>
      <c r="I1024" s="997"/>
      <c r="J1024" s="997"/>
      <c r="K1024" s="997"/>
      <c r="L1024" s="997"/>
      <c r="M1024" s="997"/>
      <c r="N1024" s="997"/>
      <c r="O1024" s="997"/>
      <c r="P1024" s="997"/>
      <c r="Q1024" s="997"/>
      <c r="R1024" s="997"/>
      <c r="S1024" s="997"/>
      <c r="T1024" s="997"/>
      <c r="U1024" s="997"/>
      <c r="V1024" s="997"/>
      <c r="W1024" s="997"/>
      <c r="X1024" s="997"/>
      <c r="Y1024" s="997"/>
      <c r="Z1024" s="997"/>
      <c r="AA1024" s="997"/>
      <c r="AB1024" s="997"/>
      <c r="AC1024" s="997"/>
      <c r="AD1024" s="997"/>
      <c r="AE1024" s="997"/>
      <c r="AF1024" s="997"/>
      <c r="AG1024" s="997"/>
      <c r="AH1024" s="997"/>
      <c r="AI1024" s="997"/>
      <c r="AJ1024" s="997"/>
      <c r="AK1024" s="997"/>
      <c r="AL1024" s="105"/>
    </row>
    <row r="1025" spans="1:38" ht="12.6" customHeight="1">
      <c r="A1025" s="1099" t="s">
        <v>641</v>
      </c>
      <c r="B1025" s="1099"/>
      <c r="C1025" s="13">
        <v>2</v>
      </c>
      <c r="D1025" s="997" t="s">
        <v>1262</v>
      </c>
      <c r="E1025" s="997"/>
      <c r="F1025" s="997"/>
      <c r="G1025" s="997"/>
      <c r="H1025" s="997"/>
      <c r="I1025" s="997"/>
      <c r="J1025" s="997"/>
      <c r="K1025" s="997"/>
      <c r="L1025" s="997"/>
      <c r="M1025" s="997"/>
      <c r="N1025" s="997"/>
      <c r="O1025" s="997"/>
      <c r="P1025" s="997"/>
      <c r="Q1025" s="997"/>
      <c r="R1025" s="997"/>
      <c r="S1025" s="997"/>
      <c r="T1025" s="997"/>
      <c r="U1025" s="997"/>
      <c r="V1025" s="997"/>
      <c r="W1025" s="997"/>
      <c r="X1025" s="997"/>
      <c r="Y1025" s="997"/>
      <c r="Z1025" s="997"/>
      <c r="AA1025" s="997"/>
      <c r="AB1025" s="997"/>
      <c r="AC1025" s="997"/>
      <c r="AD1025" s="997"/>
      <c r="AE1025" s="997"/>
      <c r="AF1025" s="997"/>
      <c r="AG1025" s="997"/>
      <c r="AH1025" s="997"/>
      <c r="AI1025" s="997"/>
      <c r="AJ1025" s="997"/>
      <c r="AK1025" s="997"/>
      <c r="AL1025" s="105"/>
    </row>
    <row r="1026" spans="1:38" ht="12.6" customHeight="1">
      <c r="A1026" s="243"/>
      <c r="B1026" s="243"/>
      <c r="C1026" s="13"/>
      <c r="D1026" s="997"/>
      <c r="E1026" s="997"/>
      <c r="F1026" s="997"/>
      <c r="G1026" s="997"/>
      <c r="H1026" s="997"/>
      <c r="I1026" s="997"/>
      <c r="J1026" s="997"/>
      <c r="K1026" s="997"/>
      <c r="L1026" s="997"/>
      <c r="M1026" s="997"/>
      <c r="N1026" s="997"/>
      <c r="O1026" s="997"/>
      <c r="P1026" s="997"/>
      <c r="Q1026" s="997"/>
      <c r="R1026" s="997"/>
      <c r="S1026" s="997"/>
      <c r="T1026" s="997"/>
      <c r="U1026" s="997"/>
      <c r="V1026" s="997"/>
      <c r="W1026" s="997"/>
      <c r="X1026" s="997"/>
      <c r="Y1026" s="997"/>
      <c r="Z1026" s="997"/>
      <c r="AA1026" s="997"/>
      <c r="AB1026" s="997"/>
      <c r="AC1026" s="997"/>
      <c r="AD1026" s="997"/>
      <c r="AE1026" s="997"/>
      <c r="AF1026" s="997"/>
      <c r="AG1026" s="997"/>
      <c r="AH1026" s="997"/>
      <c r="AI1026" s="997"/>
      <c r="AJ1026" s="997"/>
      <c r="AK1026" s="997"/>
      <c r="AL1026" s="105"/>
    </row>
    <row r="1027" spans="1:38" ht="12.6" customHeight="1">
      <c r="A1027" s="243"/>
      <c r="B1027" s="243"/>
      <c r="C1027" s="13"/>
      <c r="D1027" s="997"/>
      <c r="E1027" s="997"/>
      <c r="F1027" s="997"/>
      <c r="G1027" s="997"/>
      <c r="H1027" s="997"/>
      <c r="I1027" s="997"/>
      <c r="J1027" s="997"/>
      <c r="K1027" s="997"/>
      <c r="L1027" s="997"/>
      <c r="M1027" s="997"/>
      <c r="N1027" s="997"/>
      <c r="O1027" s="997"/>
      <c r="P1027" s="997"/>
      <c r="Q1027" s="997"/>
      <c r="R1027" s="997"/>
      <c r="S1027" s="997"/>
      <c r="T1027" s="997"/>
      <c r="U1027" s="997"/>
      <c r="V1027" s="997"/>
      <c r="W1027" s="997"/>
      <c r="X1027" s="997"/>
      <c r="Y1027" s="997"/>
      <c r="Z1027" s="997"/>
      <c r="AA1027" s="997"/>
      <c r="AB1027" s="997"/>
      <c r="AC1027" s="997"/>
      <c r="AD1027" s="997"/>
      <c r="AE1027" s="997"/>
      <c r="AF1027" s="997"/>
      <c r="AG1027" s="997"/>
      <c r="AH1027" s="997"/>
      <c r="AI1027" s="997"/>
      <c r="AJ1027" s="997"/>
      <c r="AK1027" s="997"/>
      <c r="AL1027" s="105"/>
    </row>
    <row r="1028" spans="1:38" ht="12.6" customHeight="1">
      <c r="A1028" s="243"/>
      <c r="B1028" s="243"/>
      <c r="C1028" s="13"/>
      <c r="D1028" s="997"/>
      <c r="E1028" s="997"/>
      <c r="F1028" s="997"/>
      <c r="G1028" s="997"/>
      <c r="H1028" s="997"/>
      <c r="I1028" s="997"/>
      <c r="J1028" s="997"/>
      <c r="K1028" s="997"/>
      <c r="L1028" s="997"/>
      <c r="M1028" s="997"/>
      <c r="N1028" s="997"/>
      <c r="O1028" s="997"/>
      <c r="P1028" s="997"/>
      <c r="Q1028" s="997"/>
      <c r="R1028" s="997"/>
      <c r="S1028" s="997"/>
      <c r="T1028" s="997"/>
      <c r="U1028" s="997"/>
      <c r="V1028" s="997"/>
      <c r="W1028" s="997"/>
      <c r="X1028" s="997"/>
      <c r="Y1028" s="997"/>
      <c r="Z1028" s="997"/>
      <c r="AA1028" s="997"/>
      <c r="AB1028" s="997"/>
      <c r="AC1028" s="997"/>
      <c r="AD1028" s="997"/>
      <c r="AE1028" s="997"/>
      <c r="AF1028" s="997"/>
      <c r="AG1028" s="997"/>
      <c r="AH1028" s="997"/>
      <c r="AI1028" s="997"/>
      <c r="AJ1028" s="997"/>
      <c r="AK1028" s="997"/>
      <c r="AL1028" s="105"/>
    </row>
    <row r="1029" spans="1:38" ht="12.6" customHeight="1">
      <c r="A1029" s="243"/>
      <c r="B1029" s="243"/>
      <c r="C1029" s="13"/>
      <c r="D1029" s="997"/>
      <c r="E1029" s="997"/>
      <c r="F1029" s="997"/>
      <c r="G1029" s="997"/>
      <c r="H1029" s="997"/>
      <c r="I1029" s="997"/>
      <c r="J1029" s="997"/>
      <c r="K1029" s="997"/>
      <c r="L1029" s="997"/>
      <c r="M1029" s="997"/>
      <c r="N1029" s="997"/>
      <c r="O1029" s="997"/>
      <c r="P1029" s="997"/>
      <c r="Q1029" s="997"/>
      <c r="R1029" s="997"/>
      <c r="S1029" s="997"/>
      <c r="T1029" s="997"/>
      <c r="U1029" s="997"/>
      <c r="V1029" s="997"/>
      <c r="W1029" s="997"/>
      <c r="X1029" s="997"/>
      <c r="Y1029" s="997"/>
      <c r="Z1029" s="997"/>
      <c r="AA1029" s="997"/>
      <c r="AB1029" s="997"/>
      <c r="AC1029" s="997"/>
      <c r="AD1029" s="997"/>
      <c r="AE1029" s="997"/>
      <c r="AF1029" s="997"/>
      <c r="AG1029" s="997"/>
      <c r="AH1029" s="997"/>
      <c r="AI1029" s="997"/>
      <c r="AJ1029" s="997"/>
      <c r="AK1029" s="997"/>
      <c r="AL1029" s="105"/>
    </row>
    <row r="1030" spans="1:38" ht="12.6" customHeight="1">
      <c r="A1030" s="243"/>
      <c r="B1030" s="243"/>
      <c r="C1030" s="13"/>
      <c r="D1030" s="997"/>
      <c r="E1030" s="997"/>
      <c r="F1030" s="997"/>
      <c r="G1030" s="997"/>
      <c r="H1030" s="997"/>
      <c r="I1030" s="997"/>
      <c r="J1030" s="997"/>
      <c r="K1030" s="997"/>
      <c r="L1030" s="997"/>
      <c r="M1030" s="997"/>
      <c r="N1030" s="997"/>
      <c r="O1030" s="997"/>
      <c r="P1030" s="997"/>
      <c r="Q1030" s="997"/>
      <c r="R1030" s="997"/>
      <c r="S1030" s="997"/>
      <c r="T1030" s="997"/>
      <c r="U1030" s="997"/>
      <c r="V1030" s="997"/>
      <c r="W1030" s="997"/>
      <c r="X1030" s="997"/>
      <c r="Y1030" s="997"/>
      <c r="Z1030" s="997"/>
      <c r="AA1030" s="997"/>
      <c r="AB1030" s="997"/>
      <c r="AC1030" s="997"/>
      <c r="AD1030" s="997"/>
      <c r="AE1030" s="997"/>
      <c r="AF1030" s="997"/>
      <c r="AG1030" s="997"/>
      <c r="AH1030" s="997"/>
      <c r="AI1030" s="997"/>
      <c r="AJ1030" s="997"/>
      <c r="AK1030" s="997"/>
    </row>
    <row r="1031" spans="1:38" ht="12.6" customHeight="1">
      <c r="A1031" s="1099" t="s">
        <v>641</v>
      </c>
      <c r="B1031" s="1099"/>
      <c r="C1031" s="13">
        <v>3</v>
      </c>
      <c r="D1031" s="997" t="s">
        <v>1605</v>
      </c>
      <c r="E1031" s="997"/>
      <c r="F1031" s="997"/>
      <c r="G1031" s="997"/>
      <c r="H1031" s="997"/>
      <c r="I1031" s="997"/>
      <c r="J1031" s="997"/>
      <c r="K1031" s="997"/>
      <c r="L1031" s="997"/>
      <c r="M1031" s="997"/>
      <c r="N1031" s="997"/>
      <c r="O1031" s="997"/>
      <c r="P1031" s="997"/>
      <c r="Q1031" s="997"/>
      <c r="R1031" s="997"/>
      <c r="S1031" s="997"/>
      <c r="T1031" s="997"/>
      <c r="U1031" s="997"/>
      <c r="V1031" s="997"/>
      <c r="W1031" s="997"/>
      <c r="X1031" s="997"/>
      <c r="Y1031" s="997"/>
      <c r="Z1031" s="997"/>
      <c r="AA1031" s="997"/>
      <c r="AB1031" s="997"/>
      <c r="AC1031" s="997"/>
      <c r="AD1031" s="997"/>
      <c r="AE1031" s="997"/>
      <c r="AF1031" s="997"/>
      <c r="AG1031" s="997"/>
      <c r="AH1031" s="997"/>
      <c r="AI1031" s="997"/>
      <c r="AJ1031" s="997"/>
      <c r="AK1031" s="997"/>
    </row>
    <row r="1032" spans="1:38" s="743" customFormat="1" ht="12.6" customHeight="1">
      <c r="A1032" s="133"/>
      <c r="B1032" s="133"/>
      <c r="C1032" s="13"/>
      <c r="D1032" s="997"/>
      <c r="E1032" s="997"/>
      <c r="F1032" s="997"/>
      <c r="G1032" s="997"/>
      <c r="H1032" s="997"/>
      <c r="I1032" s="997"/>
      <c r="J1032" s="997"/>
      <c r="K1032" s="997"/>
      <c r="L1032" s="997"/>
      <c r="M1032" s="997"/>
      <c r="N1032" s="997"/>
      <c r="O1032" s="997"/>
      <c r="P1032" s="997"/>
      <c r="Q1032" s="997"/>
      <c r="R1032" s="997"/>
      <c r="S1032" s="997"/>
      <c r="T1032" s="997"/>
      <c r="U1032" s="997"/>
      <c r="V1032" s="997"/>
      <c r="W1032" s="997"/>
      <c r="X1032" s="997"/>
      <c r="Y1032" s="997"/>
      <c r="Z1032" s="997"/>
      <c r="AA1032" s="997"/>
      <c r="AB1032" s="997"/>
      <c r="AC1032" s="997"/>
      <c r="AD1032" s="997"/>
      <c r="AE1032" s="997"/>
      <c r="AF1032" s="997"/>
      <c r="AG1032" s="997"/>
      <c r="AH1032" s="997"/>
      <c r="AI1032" s="997"/>
      <c r="AJ1032" s="997"/>
      <c r="AK1032" s="997"/>
    </row>
    <row r="1033" spans="1:38" ht="12.6" customHeight="1">
      <c r="A1033" s="133"/>
      <c r="B1033" s="133"/>
      <c r="C1033" s="13"/>
      <c r="D1033" s="997"/>
      <c r="E1033" s="997"/>
      <c r="F1033" s="997"/>
      <c r="G1033" s="997"/>
      <c r="H1033" s="997"/>
      <c r="I1033" s="997"/>
      <c r="J1033" s="997"/>
      <c r="K1033" s="997"/>
      <c r="L1033" s="997"/>
      <c r="M1033" s="997"/>
      <c r="N1033" s="997"/>
      <c r="O1033" s="997"/>
      <c r="P1033" s="997"/>
      <c r="Q1033" s="997"/>
      <c r="R1033" s="997"/>
      <c r="S1033" s="997"/>
      <c r="T1033" s="997"/>
      <c r="U1033" s="997"/>
      <c r="V1033" s="997"/>
      <c r="W1033" s="997"/>
      <c r="X1033" s="997"/>
      <c r="Y1033" s="997"/>
      <c r="Z1033" s="997"/>
      <c r="AA1033" s="997"/>
      <c r="AB1033" s="997"/>
      <c r="AC1033" s="997"/>
      <c r="AD1033" s="997"/>
      <c r="AE1033" s="997"/>
      <c r="AF1033" s="997"/>
      <c r="AG1033" s="997"/>
      <c r="AH1033" s="997"/>
      <c r="AI1033" s="997"/>
      <c r="AJ1033" s="997"/>
      <c r="AK1033" s="997"/>
    </row>
    <row r="1034" spans="1:38" ht="12.6" customHeight="1">
      <c r="A1034" s="62"/>
      <c r="B1034" s="66"/>
      <c r="C1034" s="13"/>
      <c r="D1034" s="997"/>
      <c r="E1034" s="997"/>
      <c r="F1034" s="997"/>
      <c r="G1034" s="997"/>
      <c r="H1034" s="997"/>
      <c r="I1034" s="997"/>
      <c r="J1034" s="997"/>
      <c r="K1034" s="997"/>
      <c r="L1034" s="997"/>
      <c r="M1034" s="997"/>
      <c r="N1034" s="997"/>
      <c r="O1034" s="997"/>
      <c r="P1034" s="997"/>
      <c r="Q1034" s="997"/>
      <c r="R1034" s="997"/>
      <c r="S1034" s="997"/>
      <c r="T1034" s="997"/>
      <c r="U1034" s="997"/>
      <c r="V1034" s="997"/>
      <c r="W1034" s="997"/>
      <c r="X1034" s="997"/>
      <c r="Y1034" s="997"/>
      <c r="Z1034" s="997"/>
      <c r="AA1034" s="997"/>
      <c r="AB1034" s="997"/>
      <c r="AC1034" s="997"/>
      <c r="AD1034" s="997"/>
      <c r="AE1034" s="997"/>
      <c r="AF1034" s="997"/>
      <c r="AG1034" s="997"/>
      <c r="AH1034" s="997"/>
      <c r="AI1034" s="997"/>
      <c r="AJ1034" s="997"/>
      <c r="AK1034" s="997"/>
    </row>
    <row r="1035" spans="1:38" ht="12.6" customHeight="1">
      <c r="A1035" s="62"/>
      <c r="B1035" s="66"/>
      <c r="C1035" s="13"/>
      <c r="D1035" s="997"/>
      <c r="E1035" s="997"/>
      <c r="F1035" s="997"/>
      <c r="G1035" s="997"/>
      <c r="H1035" s="997"/>
      <c r="I1035" s="997"/>
      <c r="J1035" s="997"/>
      <c r="K1035" s="997"/>
      <c r="L1035" s="997"/>
      <c r="M1035" s="997"/>
      <c r="N1035" s="997"/>
      <c r="O1035" s="997"/>
      <c r="P1035" s="997"/>
      <c r="Q1035" s="997"/>
      <c r="R1035" s="997"/>
      <c r="S1035" s="997"/>
      <c r="T1035" s="997"/>
      <c r="U1035" s="997"/>
      <c r="V1035" s="997"/>
      <c r="W1035" s="997"/>
      <c r="X1035" s="997"/>
      <c r="Y1035" s="997"/>
      <c r="Z1035" s="997"/>
      <c r="AA1035" s="997"/>
      <c r="AB1035" s="997"/>
      <c r="AC1035" s="997"/>
      <c r="AD1035" s="997"/>
      <c r="AE1035" s="997"/>
      <c r="AF1035" s="997"/>
      <c r="AG1035" s="997"/>
      <c r="AH1035" s="997"/>
      <c r="AI1035" s="997"/>
      <c r="AJ1035" s="997"/>
      <c r="AK1035" s="997"/>
    </row>
    <row r="1036" spans="1:38" ht="12.6" customHeight="1">
      <c r="A1036" s="62"/>
      <c r="B1036" s="66"/>
      <c r="C1036" s="13"/>
      <c r="D1036" s="997"/>
      <c r="E1036" s="997"/>
      <c r="F1036" s="997"/>
      <c r="G1036" s="997"/>
      <c r="H1036" s="997"/>
      <c r="I1036" s="997"/>
      <c r="J1036" s="997"/>
      <c r="K1036" s="997"/>
      <c r="L1036" s="997"/>
      <c r="M1036" s="997"/>
      <c r="N1036" s="997"/>
      <c r="O1036" s="997"/>
      <c r="P1036" s="997"/>
      <c r="Q1036" s="997"/>
      <c r="R1036" s="997"/>
      <c r="S1036" s="997"/>
      <c r="T1036" s="997"/>
      <c r="U1036" s="997"/>
      <c r="V1036" s="997"/>
      <c r="W1036" s="997"/>
      <c r="X1036" s="997"/>
      <c r="Y1036" s="997"/>
      <c r="Z1036" s="997"/>
      <c r="AA1036" s="997"/>
      <c r="AB1036" s="997"/>
      <c r="AC1036" s="997"/>
      <c r="AD1036" s="997"/>
      <c r="AE1036" s="997"/>
      <c r="AF1036" s="997"/>
      <c r="AG1036" s="997"/>
      <c r="AH1036" s="997"/>
      <c r="AI1036" s="997"/>
      <c r="AJ1036" s="997"/>
      <c r="AK1036" s="997"/>
    </row>
    <row r="1037" spans="1:38" ht="12.6" customHeight="1">
      <c r="A1037" s="62"/>
      <c r="B1037" s="66"/>
      <c r="C1037" s="13"/>
      <c r="D1037" s="997"/>
      <c r="E1037" s="997"/>
      <c r="F1037" s="997"/>
      <c r="G1037" s="997"/>
      <c r="H1037" s="997"/>
      <c r="I1037" s="997"/>
      <c r="J1037" s="997"/>
      <c r="K1037" s="997"/>
      <c r="L1037" s="997"/>
      <c r="M1037" s="997"/>
      <c r="N1037" s="997"/>
      <c r="O1037" s="997"/>
      <c r="P1037" s="997"/>
      <c r="Q1037" s="997"/>
      <c r="R1037" s="997"/>
      <c r="S1037" s="997"/>
      <c r="T1037" s="997"/>
      <c r="U1037" s="997"/>
      <c r="V1037" s="997"/>
      <c r="W1037" s="997"/>
      <c r="X1037" s="997"/>
      <c r="Y1037" s="997"/>
      <c r="Z1037" s="997"/>
      <c r="AA1037" s="997"/>
      <c r="AB1037" s="997"/>
      <c r="AC1037" s="997"/>
      <c r="AD1037" s="997"/>
      <c r="AE1037" s="997"/>
      <c r="AF1037" s="997"/>
      <c r="AG1037" s="997"/>
      <c r="AH1037" s="997"/>
      <c r="AI1037" s="997"/>
      <c r="AJ1037" s="997"/>
      <c r="AK1037" s="997"/>
    </row>
    <row r="1038" spans="1:38" ht="12.6" customHeight="1">
      <c r="A1038" s="1099" t="s">
        <v>641</v>
      </c>
      <c r="B1038" s="1099"/>
      <c r="C1038" s="13">
        <v>4</v>
      </c>
      <c r="D1038" s="997" t="s">
        <v>1248</v>
      </c>
      <c r="E1038" s="997"/>
      <c r="F1038" s="997"/>
      <c r="G1038" s="997"/>
      <c r="H1038" s="997"/>
      <c r="I1038" s="997"/>
      <c r="J1038" s="997"/>
      <c r="K1038" s="997"/>
      <c r="L1038" s="997"/>
      <c r="M1038" s="997"/>
      <c r="N1038" s="997"/>
      <c r="O1038" s="997"/>
      <c r="P1038" s="997"/>
      <c r="Q1038" s="997"/>
      <c r="R1038" s="997"/>
      <c r="S1038" s="997"/>
      <c r="T1038" s="997"/>
      <c r="U1038" s="997"/>
      <c r="V1038" s="997"/>
      <c r="W1038" s="997"/>
      <c r="X1038" s="997"/>
      <c r="Y1038" s="997"/>
      <c r="Z1038" s="997"/>
      <c r="AA1038" s="997"/>
      <c r="AB1038" s="997"/>
      <c r="AC1038" s="997"/>
      <c r="AD1038" s="997"/>
      <c r="AE1038" s="997"/>
      <c r="AF1038" s="997"/>
      <c r="AG1038" s="997"/>
      <c r="AH1038" s="997"/>
      <c r="AI1038" s="997"/>
      <c r="AJ1038" s="997"/>
      <c r="AK1038" s="997"/>
    </row>
    <row r="1039" spans="1:38" s="706" customFormat="1" ht="12.6" customHeight="1">
      <c r="A1039" s="243"/>
      <c r="B1039" s="243"/>
      <c r="C1039" s="13"/>
      <c r="D1039" s="997"/>
      <c r="E1039" s="997"/>
      <c r="F1039" s="997"/>
      <c r="G1039" s="997"/>
      <c r="H1039" s="997"/>
      <c r="I1039" s="997"/>
      <c r="J1039" s="997"/>
      <c r="K1039" s="997"/>
      <c r="L1039" s="997"/>
      <c r="M1039" s="997"/>
      <c r="N1039" s="997"/>
      <c r="O1039" s="997"/>
      <c r="P1039" s="997"/>
      <c r="Q1039" s="997"/>
      <c r="R1039" s="997"/>
      <c r="S1039" s="997"/>
      <c r="T1039" s="997"/>
      <c r="U1039" s="997"/>
      <c r="V1039" s="997"/>
      <c r="W1039" s="997"/>
      <c r="X1039" s="997"/>
      <c r="Y1039" s="997"/>
      <c r="Z1039" s="997"/>
      <c r="AA1039" s="997"/>
      <c r="AB1039" s="997"/>
      <c r="AC1039" s="997"/>
      <c r="AD1039" s="997"/>
      <c r="AE1039" s="997"/>
      <c r="AF1039" s="997"/>
      <c r="AG1039" s="997"/>
      <c r="AH1039" s="997"/>
      <c r="AI1039" s="997"/>
      <c r="AJ1039" s="997"/>
      <c r="AK1039" s="997"/>
      <c r="AL1039" s="12"/>
    </row>
    <row r="1040" spans="1:38" ht="12.6" customHeight="1">
      <c r="A1040" s="62"/>
      <c r="B1040" s="66"/>
      <c r="C1040" s="13"/>
      <c r="D1040" s="997"/>
      <c r="E1040" s="997"/>
      <c r="F1040" s="997"/>
      <c r="G1040" s="997"/>
      <c r="H1040" s="997"/>
      <c r="I1040" s="997"/>
      <c r="J1040" s="997"/>
      <c r="K1040" s="997"/>
      <c r="L1040" s="997"/>
      <c r="M1040" s="997"/>
      <c r="N1040" s="997"/>
      <c r="O1040" s="997"/>
      <c r="P1040" s="997"/>
      <c r="Q1040" s="997"/>
      <c r="R1040" s="997"/>
      <c r="S1040" s="997"/>
      <c r="T1040" s="997"/>
      <c r="U1040" s="997"/>
      <c r="V1040" s="997"/>
      <c r="W1040" s="997"/>
      <c r="X1040" s="997"/>
      <c r="Y1040" s="997"/>
      <c r="Z1040" s="997"/>
      <c r="AA1040" s="997"/>
      <c r="AB1040" s="997"/>
      <c r="AC1040" s="997"/>
      <c r="AD1040" s="997"/>
      <c r="AE1040" s="997"/>
      <c r="AF1040" s="997"/>
      <c r="AG1040" s="997"/>
      <c r="AH1040" s="997"/>
      <c r="AI1040" s="997"/>
      <c r="AJ1040" s="997"/>
      <c r="AK1040" s="997"/>
    </row>
    <row r="1041" spans="1:38" ht="12.6" customHeight="1">
      <c r="A1041" s="1099" t="s">
        <v>641</v>
      </c>
      <c r="B1041" s="1099"/>
      <c r="C1041" s="13">
        <v>5</v>
      </c>
      <c r="D1041" s="997" t="s">
        <v>1466</v>
      </c>
      <c r="E1041" s="997"/>
      <c r="F1041" s="997"/>
      <c r="G1041" s="997"/>
      <c r="H1041" s="997"/>
      <c r="I1041" s="997"/>
      <c r="J1041" s="997"/>
      <c r="K1041" s="997"/>
      <c r="L1041" s="997"/>
      <c r="M1041" s="997"/>
      <c r="N1041" s="997"/>
      <c r="O1041" s="997"/>
      <c r="P1041" s="997"/>
      <c r="Q1041" s="997"/>
      <c r="R1041" s="997"/>
      <c r="S1041" s="997"/>
      <c r="T1041" s="997"/>
      <c r="U1041" s="997"/>
      <c r="V1041" s="997"/>
      <c r="W1041" s="997"/>
      <c r="X1041" s="997"/>
      <c r="Y1041" s="997"/>
      <c r="Z1041" s="997"/>
      <c r="AA1041" s="997"/>
      <c r="AB1041" s="997"/>
      <c r="AC1041" s="997"/>
      <c r="AD1041" s="997"/>
      <c r="AE1041" s="997"/>
      <c r="AF1041" s="997"/>
      <c r="AG1041" s="997"/>
      <c r="AH1041" s="997"/>
      <c r="AI1041" s="997"/>
      <c r="AJ1041" s="997"/>
      <c r="AK1041" s="997"/>
    </row>
    <row r="1042" spans="1:38" ht="12.6" customHeight="1">
      <c r="A1042" s="243"/>
      <c r="B1042" s="243"/>
      <c r="C1042" s="13"/>
      <c r="D1042" s="997"/>
      <c r="E1042" s="997"/>
      <c r="F1042" s="997"/>
      <c r="G1042" s="997"/>
      <c r="H1042" s="997"/>
      <c r="I1042" s="997"/>
      <c r="J1042" s="997"/>
      <c r="K1042" s="997"/>
      <c r="L1042" s="997"/>
      <c r="M1042" s="997"/>
      <c r="N1042" s="997"/>
      <c r="O1042" s="997"/>
      <c r="P1042" s="997"/>
      <c r="Q1042" s="997"/>
      <c r="R1042" s="997"/>
      <c r="S1042" s="997"/>
      <c r="T1042" s="997"/>
      <c r="U1042" s="997"/>
      <c r="V1042" s="997"/>
      <c r="W1042" s="997"/>
      <c r="X1042" s="997"/>
      <c r="Y1042" s="997"/>
      <c r="Z1042" s="997"/>
      <c r="AA1042" s="997"/>
      <c r="AB1042" s="997"/>
      <c r="AC1042" s="997"/>
      <c r="AD1042" s="997"/>
      <c r="AE1042" s="997"/>
      <c r="AF1042" s="997"/>
      <c r="AG1042" s="997"/>
      <c r="AH1042" s="997"/>
      <c r="AI1042" s="997"/>
      <c r="AJ1042" s="997"/>
      <c r="AK1042" s="997"/>
    </row>
    <row r="1043" spans="1:38" ht="12.6" customHeight="1">
      <c r="A1043" s="243"/>
      <c r="B1043" s="243"/>
      <c r="C1043" s="13"/>
      <c r="D1043" s="997"/>
      <c r="E1043" s="997"/>
      <c r="F1043" s="997"/>
      <c r="G1043" s="997"/>
      <c r="H1043" s="997"/>
      <c r="I1043" s="997"/>
      <c r="J1043" s="997"/>
      <c r="K1043" s="997"/>
      <c r="L1043" s="997"/>
      <c r="M1043" s="997"/>
      <c r="N1043" s="997"/>
      <c r="O1043" s="997"/>
      <c r="P1043" s="997"/>
      <c r="Q1043" s="997"/>
      <c r="R1043" s="997"/>
      <c r="S1043" s="997"/>
      <c r="T1043" s="997"/>
      <c r="U1043" s="997"/>
      <c r="V1043" s="997"/>
      <c r="W1043" s="997"/>
      <c r="X1043" s="997"/>
      <c r="Y1043" s="997"/>
      <c r="Z1043" s="997"/>
      <c r="AA1043" s="997"/>
      <c r="AB1043" s="997"/>
      <c r="AC1043" s="997"/>
      <c r="AD1043" s="997"/>
      <c r="AE1043" s="997"/>
      <c r="AF1043" s="997"/>
      <c r="AG1043" s="997"/>
      <c r="AH1043" s="997"/>
      <c r="AI1043" s="997"/>
      <c r="AJ1043" s="997"/>
      <c r="AK1043" s="997"/>
    </row>
    <row r="1044" spans="1:38" ht="12.6" customHeight="1">
      <c r="A1044" s="243"/>
      <c r="B1044" s="243"/>
      <c r="C1044" s="13"/>
      <c r="D1044" s="997"/>
      <c r="E1044" s="997"/>
      <c r="F1044" s="997"/>
      <c r="G1044" s="997"/>
      <c r="H1044" s="997"/>
      <c r="I1044" s="997"/>
      <c r="J1044" s="997"/>
      <c r="K1044" s="997"/>
      <c r="L1044" s="997"/>
      <c r="M1044" s="997"/>
      <c r="N1044" s="997"/>
      <c r="O1044" s="997"/>
      <c r="P1044" s="997"/>
      <c r="Q1044" s="997"/>
      <c r="R1044" s="997"/>
      <c r="S1044" s="997"/>
      <c r="T1044" s="997"/>
      <c r="U1044" s="997"/>
      <c r="V1044" s="997"/>
      <c r="W1044" s="997"/>
      <c r="X1044" s="997"/>
      <c r="Y1044" s="997"/>
      <c r="Z1044" s="997"/>
      <c r="AA1044" s="997"/>
      <c r="AB1044" s="997"/>
      <c r="AC1044" s="997"/>
      <c r="AD1044" s="997"/>
      <c r="AE1044" s="997"/>
      <c r="AF1044" s="997"/>
      <c r="AG1044" s="997"/>
      <c r="AH1044" s="997"/>
      <c r="AI1044" s="997"/>
      <c r="AJ1044" s="997"/>
      <c r="AK1044" s="997"/>
      <c r="AL1044" s="706"/>
    </row>
    <row r="1045" spans="1:38" ht="12.6" customHeight="1">
      <c r="A1045" s="62"/>
      <c r="B1045" s="66"/>
      <c r="C1045" s="13"/>
      <c r="D1045" s="997"/>
      <c r="E1045" s="997"/>
      <c r="F1045" s="997"/>
      <c r="G1045" s="997"/>
      <c r="H1045" s="997"/>
      <c r="I1045" s="997"/>
      <c r="J1045" s="997"/>
      <c r="K1045" s="997"/>
      <c r="L1045" s="997"/>
      <c r="M1045" s="997"/>
      <c r="N1045" s="997"/>
      <c r="O1045" s="997"/>
      <c r="P1045" s="997"/>
      <c r="Q1045" s="997"/>
      <c r="R1045" s="997"/>
      <c r="S1045" s="997"/>
      <c r="T1045" s="997"/>
      <c r="U1045" s="997"/>
      <c r="V1045" s="997"/>
      <c r="W1045" s="997"/>
      <c r="X1045" s="997"/>
      <c r="Y1045" s="997"/>
      <c r="Z1045" s="997"/>
      <c r="AA1045" s="997"/>
      <c r="AB1045" s="997"/>
      <c r="AC1045" s="997"/>
      <c r="AD1045" s="997"/>
      <c r="AE1045" s="997"/>
      <c r="AF1045" s="997"/>
      <c r="AG1045" s="997"/>
      <c r="AH1045" s="997"/>
      <c r="AI1045" s="997"/>
      <c r="AJ1045" s="997"/>
      <c r="AK1045" s="997"/>
    </row>
    <row r="1046" spans="1:38" ht="12.6" customHeight="1">
      <c r="A1046" s="1099" t="s">
        <v>641</v>
      </c>
      <c r="B1046" s="1099"/>
      <c r="C1046" s="13">
        <v>6</v>
      </c>
      <c r="D1046" s="997" t="s">
        <v>1249</v>
      </c>
      <c r="E1046" s="997"/>
      <c r="F1046" s="997"/>
      <c r="G1046" s="997"/>
      <c r="H1046" s="997"/>
      <c r="I1046" s="997"/>
      <c r="J1046" s="997"/>
      <c r="K1046" s="997"/>
      <c r="L1046" s="997"/>
      <c r="M1046" s="997"/>
      <c r="N1046" s="997"/>
      <c r="O1046" s="997"/>
      <c r="P1046" s="997"/>
      <c r="Q1046" s="997"/>
      <c r="R1046" s="997"/>
      <c r="S1046" s="997"/>
      <c r="T1046" s="997"/>
      <c r="U1046" s="997"/>
      <c r="V1046" s="997"/>
      <c r="W1046" s="997"/>
      <c r="X1046" s="997"/>
      <c r="Y1046" s="997"/>
      <c r="Z1046" s="997"/>
      <c r="AA1046" s="997"/>
      <c r="AB1046" s="997"/>
      <c r="AC1046" s="997"/>
      <c r="AD1046" s="997"/>
      <c r="AE1046" s="997"/>
      <c r="AF1046" s="997"/>
      <c r="AG1046" s="997"/>
      <c r="AH1046" s="997"/>
      <c r="AI1046" s="997"/>
      <c r="AJ1046" s="997"/>
      <c r="AK1046" s="997"/>
    </row>
    <row r="1047" spans="1:38" ht="12.6" customHeight="1">
      <c r="A1047" s="62"/>
      <c r="B1047" s="327"/>
      <c r="C1047" s="13"/>
      <c r="D1047" s="997"/>
      <c r="E1047" s="997"/>
      <c r="F1047" s="997"/>
      <c r="G1047" s="997"/>
      <c r="H1047" s="997"/>
      <c r="I1047" s="997"/>
      <c r="J1047" s="997"/>
      <c r="K1047" s="997"/>
      <c r="L1047" s="997"/>
      <c r="M1047" s="997"/>
      <c r="N1047" s="997"/>
      <c r="O1047" s="997"/>
      <c r="P1047" s="997"/>
      <c r="Q1047" s="997"/>
      <c r="R1047" s="997"/>
      <c r="S1047" s="997"/>
      <c r="T1047" s="997"/>
      <c r="U1047" s="997"/>
      <c r="V1047" s="997"/>
      <c r="W1047" s="997"/>
      <c r="X1047" s="997"/>
      <c r="Y1047" s="997"/>
      <c r="Z1047" s="997"/>
      <c r="AA1047" s="997"/>
      <c r="AB1047" s="997"/>
      <c r="AC1047" s="997"/>
      <c r="AD1047" s="997"/>
      <c r="AE1047" s="997"/>
      <c r="AF1047" s="997"/>
      <c r="AG1047" s="997"/>
      <c r="AH1047" s="997"/>
      <c r="AI1047" s="997"/>
      <c r="AJ1047" s="997"/>
      <c r="AK1047" s="997"/>
    </row>
    <row r="1048" spans="1:38" ht="12.6" customHeight="1">
      <c r="A1048" s="62"/>
      <c r="B1048" s="66"/>
      <c r="C1048" s="13"/>
      <c r="D1048" s="997"/>
      <c r="E1048" s="997"/>
      <c r="F1048" s="997"/>
      <c r="G1048" s="997"/>
      <c r="H1048" s="997"/>
      <c r="I1048" s="997"/>
      <c r="J1048" s="997"/>
      <c r="K1048" s="997"/>
      <c r="L1048" s="997"/>
      <c r="M1048" s="997"/>
      <c r="N1048" s="997"/>
      <c r="O1048" s="997"/>
      <c r="P1048" s="997"/>
      <c r="Q1048" s="997"/>
      <c r="R1048" s="997"/>
      <c r="S1048" s="997"/>
      <c r="T1048" s="997"/>
      <c r="U1048" s="997"/>
      <c r="V1048" s="997"/>
      <c r="W1048" s="997"/>
      <c r="X1048" s="997"/>
      <c r="Y1048" s="997"/>
      <c r="Z1048" s="997"/>
      <c r="AA1048" s="997"/>
      <c r="AB1048" s="997"/>
      <c r="AC1048" s="997"/>
      <c r="AD1048" s="997"/>
      <c r="AE1048" s="997"/>
      <c r="AF1048" s="997"/>
      <c r="AG1048" s="997"/>
      <c r="AH1048" s="997"/>
      <c r="AI1048" s="997"/>
      <c r="AJ1048" s="997"/>
      <c r="AK1048" s="997"/>
    </row>
    <row r="1049" spans="1:38" ht="12.6" customHeight="1">
      <c r="A1049" s="1099" t="s">
        <v>641</v>
      </c>
      <c r="B1049" s="1099"/>
      <c r="C1049" s="328">
        <v>7</v>
      </c>
      <c r="D1049" s="997" t="s">
        <v>1251</v>
      </c>
      <c r="E1049" s="997"/>
      <c r="F1049" s="997"/>
      <c r="G1049" s="997"/>
      <c r="H1049" s="997"/>
      <c r="I1049" s="997"/>
      <c r="J1049" s="997"/>
      <c r="K1049" s="997"/>
      <c r="L1049" s="997"/>
      <c r="M1049" s="997"/>
      <c r="N1049" s="997"/>
      <c r="O1049" s="997"/>
      <c r="P1049" s="997"/>
      <c r="Q1049" s="997"/>
      <c r="R1049" s="997"/>
      <c r="S1049" s="997"/>
      <c r="T1049" s="997"/>
      <c r="U1049" s="997"/>
      <c r="V1049" s="997"/>
      <c r="W1049" s="997"/>
      <c r="X1049" s="997"/>
      <c r="Y1049" s="997"/>
      <c r="Z1049" s="997"/>
      <c r="AA1049" s="997"/>
      <c r="AB1049" s="997"/>
      <c r="AC1049" s="997"/>
      <c r="AD1049" s="997"/>
      <c r="AE1049" s="997"/>
      <c r="AF1049" s="997"/>
      <c r="AG1049" s="997"/>
      <c r="AH1049" s="997"/>
      <c r="AI1049" s="997"/>
      <c r="AJ1049" s="997"/>
      <c r="AK1049" s="997"/>
      <c r="AL1049" s="32"/>
    </row>
    <row r="1050" spans="1:38" s="706" customFormat="1" ht="12.6" customHeight="1">
      <c r="A1050" s="243"/>
      <c r="B1050" s="243"/>
      <c r="C1050" s="329"/>
      <c r="D1050" s="997"/>
      <c r="E1050" s="997"/>
      <c r="F1050" s="997"/>
      <c r="G1050" s="997"/>
      <c r="H1050" s="997"/>
      <c r="I1050" s="997"/>
      <c r="J1050" s="997"/>
      <c r="K1050" s="997"/>
      <c r="L1050" s="997"/>
      <c r="M1050" s="997"/>
      <c r="N1050" s="997"/>
      <c r="O1050" s="997"/>
      <c r="P1050" s="997"/>
      <c r="Q1050" s="997"/>
      <c r="R1050" s="997"/>
      <c r="S1050" s="997"/>
      <c r="T1050" s="997"/>
      <c r="U1050" s="997"/>
      <c r="V1050" s="997"/>
      <c r="W1050" s="997"/>
      <c r="X1050" s="997"/>
      <c r="Y1050" s="997"/>
      <c r="Z1050" s="997"/>
      <c r="AA1050" s="997"/>
      <c r="AB1050" s="997"/>
      <c r="AC1050" s="997"/>
      <c r="AD1050" s="997"/>
      <c r="AE1050" s="997"/>
      <c r="AF1050" s="997"/>
      <c r="AG1050" s="997"/>
      <c r="AH1050" s="997"/>
      <c r="AI1050" s="997"/>
      <c r="AJ1050" s="997"/>
      <c r="AK1050" s="997"/>
      <c r="AL1050" s="12"/>
    </row>
    <row r="1051" spans="1:38" ht="12.6" customHeight="1">
      <c r="A1051" s="243"/>
      <c r="B1051" s="243"/>
      <c r="C1051" s="329"/>
      <c r="D1051" s="997"/>
      <c r="E1051" s="997"/>
      <c r="F1051" s="997"/>
      <c r="G1051" s="997"/>
      <c r="H1051" s="997"/>
      <c r="I1051" s="997"/>
      <c r="J1051" s="997"/>
      <c r="K1051" s="997"/>
      <c r="L1051" s="997"/>
      <c r="M1051" s="997"/>
      <c r="N1051" s="997"/>
      <c r="O1051" s="997"/>
      <c r="P1051" s="997"/>
      <c r="Q1051" s="997"/>
      <c r="R1051" s="997"/>
      <c r="S1051" s="997"/>
      <c r="T1051" s="997"/>
      <c r="U1051" s="997"/>
      <c r="V1051" s="997"/>
      <c r="W1051" s="997"/>
      <c r="X1051" s="997"/>
      <c r="Y1051" s="997"/>
      <c r="Z1051" s="997"/>
      <c r="AA1051" s="997"/>
      <c r="AB1051" s="997"/>
      <c r="AC1051" s="997"/>
      <c r="AD1051" s="997"/>
      <c r="AE1051" s="997"/>
      <c r="AF1051" s="997"/>
      <c r="AG1051" s="997"/>
      <c r="AH1051" s="997"/>
      <c r="AI1051" s="997"/>
      <c r="AJ1051" s="997"/>
      <c r="AK1051" s="997"/>
    </row>
    <row r="1052" spans="1:38" ht="12.6" customHeight="1">
      <c r="A1052" s="62"/>
      <c r="B1052" s="66"/>
      <c r="C1052" s="328"/>
      <c r="D1052" s="997"/>
      <c r="E1052" s="997"/>
      <c r="F1052" s="997"/>
      <c r="G1052" s="997"/>
      <c r="H1052" s="997"/>
      <c r="I1052" s="997"/>
      <c r="J1052" s="997"/>
      <c r="K1052" s="997"/>
      <c r="L1052" s="997"/>
      <c r="M1052" s="997"/>
      <c r="N1052" s="997"/>
      <c r="O1052" s="997"/>
      <c r="P1052" s="997"/>
      <c r="Q1052" s="997"/>
      <c r="R1052" s="997"/>
      <c r="S1052" s="997"/>
      <c r="T1052" s="997"/>
      <c r="U1052" s="997"/>
      <c r="V1052" s="997"/>
      <c r="W1052" s="997"/>
      <c r="X1052" s="997"/>
      <c r="Y1052" s="997"/>
      <c r="Z1052" s="997"/>
      <c r="AA1052" s="997"/>
      <c r="AB1052" s="997"/>
      <c r="AC1052" s="997"/>
      <c r="AD1052" s="997"/>
      <c r="AE1052" s="997"/>
      <c r="AF1052" s="997"/>
      <c r="AG1052" s="997"/>
      <c r="AH1052" s="997"/>
      <c r="AI1052" s="997"/>
      <c r="AJ1052" s="997"/>
      <c r="AK1052" s="997"/>
    </row>
    <row r="1053" spans="1:38" ht="12.6" customHeight="1">
      <c r="A1053" s="1099" t="s">
        <v>641</v>
      </c>
      <c r="B1053" s="1099"/>
      <c r="C1053" s="328">
        <v>8</v>
      </c>
      <c r="D1053" s="997" t="s">
        <v>1478</v>
      </c>
      <c r="E1053" s="997"/>
      <c r="F1053" s="997"/>
      <c r="G1053" s="997"/>
      <c r="H1053" s="997"/>
      <c r="I1053" s="997"/>
      <c r="J1053" s="997"/>
      <c r="K1053" s="997"/>
      <c r="L1053" s="997"/>
      <c r="M1053" s="997"/>
      <c r="N1053" s="997"/>
      <c r="O1053" s="997"/>
      <c r="P1053" s="997"/>
      <c r="Q1053" s="997"/>
      <c r="R1053" s="997"/>
      <c r="S1053" s="997"/>
      <c r="T1053" s="997"/>
      <c r="U1053" s="997"/>
      <c r="V1053" s="997"/>
      <c r="W1053" s="997"/>
      <c r="X1053" s="997"/>
      <c r="Y1053" s="997"/>
      <c r="Z1053" s="997"/>
      <c r="AA1053" s="997"/>
      <c r="AB1053" s="997"/>
      <c r="AC1053" s="997"/>
      <c r="AD1053" s="997"/>
      <c r="AE1053" s="997"/>
      <c r="AF1053" s="997"/>
      <c r="AG1053" s="997"/>
      <c r="AH1053" s="997"/>
      <c r="AI1053" s="997"/>
      <c r="AJ1053" s="997"/>
      <c r="AK1053" s="997"/>
    </row>
    <row r="1054" spans="1:38" ht="12.6" customHeight="1">
      <c r="A1054" s="243"/>
      <c r="B1054" s="243"/>
      <c r="C1054" s="328"/>
      <c r="D1054" s="997"/>
      <c r="E1054" s="997"/>
      <c r="F1054" s="997"/>
      <c r="G1054" s="997"/>
      <c r="H1054" s="997"/>
      <c r="I1054" s="997"/>
      <c r="J1054" s="997"/>
      <c r="K1054" s="997"/>
      <c r="L1054" s="997"/>
      <c r="M1054" s="997"/>
      <c r="N1054" s="997"/>
      <c r="O1054" s="997"/>
      <c r="P1054" s="997"/>
      <c r="Q1054" s="997"/>
      <c r="R1054" s="997"/>
      <c r="S1054" s="997"/>
      <c r="T1054" s="997"/>
      <c r="U1054" s="997"/>
      <c r="V1054" s="997"/>
      <c r="W1054" s="997"/>
      <c r="X1054" s="997"/>
      <c r="Y1054" s="997"/>
      <c r="Z1054" s="997"/>
      <c r="AA1054" s="997"/>
      <c r="AB1054" s="997"/>
      <c r="AC1054" s="997"/>
      <c r="AD1054" s="997"/>
      <c r="AE1054" s="997"/>
      <c r="AF1054" s="997"/>
      <c r="AG1054" s="997"/>
      <c r="AH1054" s="997"/>
      <c r="AI1054" s="997"/>
      <c r="AJ1054" s="997"/>
      <c r="AK1054" s="997"/>
    </row>
    <row r="1055" spans="1:38" ht="12.6" customHeight="1">
      <c r="A1055" s="243"/>
      <c r="B1055" s="243"/>
      <c r="C1055" s="328"/>
      <c r="D1055" s="997"/>
      <c r="E1055" s="997"/>
      <c r="F1055" s="997"/>
      <c r="G1055" s="997"/>
      <c r="H1055" s="997"/>
      <c r="I1055" s="997"/>
      <c r="J1055" s="997"/>
      <c r="K1055" s="997"/>
      <c r="L1055" s="997"/>
      <c r="M1055" s="997"/>
      <c r="N1055" s="997"/>
      <c r="O1055" s="997"/>
      <c r="P1055" s="997"/>
      <c r="Q1055" s="997"/>
      <c r="R1055" s="997"/>
      <c r="S1055" s="997"/>
      <c r="T1055" s="997"/>
      <c r="U1055" s="997"/>
      <c r="V1055" s="997"/>
      <c r="W1055" s="997"/>
      <c r="X1055" s="997"/>
      <c r="Y1055" s="997"/>
      <c r="Z1055" s="997"/>
      <c r="AA1055" s="997"/>
      <c r="AB1055" s="997"/>
      <c r="AC1055" s="997"/>
      <c r="AD1055" s="997"/>
      <c r="AE1055" s="997"/>
      <c r="AF1055" s="997"/>
      <c r="AG1055" s="997"/>
      <c r="AH1055" s="997"/>
      <c r="AI1055" s="997"/>
      <c r="AJ1055" s="997"/>
      <c r="AK1055" s="997"/>
      <c r="AL1055" s="706"/>
    </row>
    <row r="1056" spans="1:38" ht="15" customHeight="1">
      <c r="A1056" s="62"/>
      <c r="B1056" s="66"/>
      <c r="C1056" s="328"/>
      <c r="D1056" s="997"/>
      <c r="E1056" s="997"/>
      <c r="F1056" s="997"/>
      <c r="G1056" s="997"/>
      <c r="H1056" s="997"/>
      <c r="I1056" s="997"/>
      <c r="J1056" s="997"/>
      <c r="K1056" s="997"/>
      <c r="L1056" s="997"/>
      <c r="M1056" s="997"/>
      <c r="N1056" s="997"/>
      <c r="O1056" s="997"/>
      <c r="P1056" s="997"/>
      <c r="Q1056" s="997"/>
      <c r="R1056" s="997"/>
      <c r="S1056" s="997"/>
      <c r="T1056" s="997"/>
      <c r="U1056" s="997"/>
      <c r="V1056" s="997"/>
      <c r="W1056" s="997"/>
      <c r="X1056" s="997"/>
      <c r="Y1056" s="997"/>
      <c r="Z1056" s="997"/>
      <c r="AA1056" s="997"/>
      <c r="AB1056" s="997"/>
      <c r="AC1056" s="997"/>
      <c r="AD1056" s="997"/>
      <c r="AE1056" s="997"/>
      <c r="AF1056" s="997"/>
      <c r="AG1056" s="997"/>
      <c r="AH1056" s="997"/>
      <c r="AI1056" s="997"/>
      <c r="AJ1056" s="997"/>
      <c r="AK1056" s="997"/>
    </row>
    <row r="1057" spans="1:37" ht="15" customHeight="1">
      <c r="A1057" s="1099" t="s">
        <v>641</v>
      </c>
      <c r="B1057" s="1099"/>
      <c r="C1057" s="328">
        <v>9</v>
      </c>
      <c r="D1057" s="997" t="s">
        <v>1250</v>
      </c>
      <c r="E1057" s="997"/>
      <c r="F1057" s="997"/>
      <c r="G1057" s="997"/>
      <c r="H1057" s="997"/>
      <c r="I1057" s="997"/>
      <c r="J1057" s="997"/>
      <c r="K1057" s="997"/>
      <c r="L1057" s="997"/>
      <c r="M1057" s="997"/>
      <c r="N1057" s="997"/>
      <c r="O1057" s="997"/>
      <c r="P1057" s="997"/>
      <c r="Q1057" s="997"/>
      <c r="R1057" s="997"/>
      <c r="S1057" s="997"/>
      <c r="T1057" s="997"/>
      <c r="U1057" s="997"/>
      <c r="V1057" s="997"/>
      <c r="W1057" s="997"/>
      <c r="X1057" s="997"/>
      <c r="Y1057" s="997"/>
      <c r="Z1057" s="997"/>
      <c r="AA1057" s="997"/>
      <c r="AB1057" s="997"/>
      <c r="AC1057" s="997"/>
      <c r="AD1057" s="997"/>
      <c r="AE1057" s="997"/>
      <c r="AF1057" s="997"/>
      <c r="AG1057" s="997"/>
      <c r="AH1057" s="997"/>
      <c r="AI1057" s="997"/>
      <c r="AJ1057" s="997"/>
      <c r="AK1057" s="997"/>
    </row>
    <row r="1058" spans="1:37" ht="15" customHeight="1">
      <c r="A1058" s="62"/>
      <c r="B1058" s="66"/>
      <c r="C1058" s="328"/>
      <c r="D1058" s="997"/>
      <c r="E1058" s="997"/>
      <c r="F1058" s="997"/>
      <c r="G1058" s="997"/>
      <c r="H1058" s="997"/>
      <c r="I1058" s="997"/>
      <c r="J1058" s="997"/>
      <c r="K1058" s="997"/>
      <c r="L1058" s="997"/>
      <c r="M1058" s="997"/>
      <c r="N1058" s="997"/>
      <c r="O1058" s="997"/>
      <c r="P1058" s="997"/>
      <c r="Q1058" s="997"/>
      <c r="R1058" s="997"/>
      <c r="S1058" s="997"/>
      <c r="T1058" s="997"/>
      <c r="U1058" s="997"/>
      <c r="V1058" s="997"/>
      <c r="W1058" s="997"/>
      <c r="X1058" s="997"/>
      <c r="Y1058" s="997"/>
      <c r="Z1058" s="997"/>
      <c r="AA1058" s="997"/>
      <c r="AB1058" s="997"/>
      <c r="AC1058" s="997"/>
      <c r="AD1058" s="997"/>
      <c r="AE1058" s="997"/>
      <c r="AF1058" s="997"/>
      <c r="AG1058" s="997"/>
      <c r="AH1058" s="997"/>
      <c r="AI1058" s="997"/>
      <c r="AJ1058" s="997"/>
      <c r="AK1058" s="997"/>
    </row>
    <row r="1059" spans="1:37" ht="15" hidden="1" customHeight="1">
      <c r="D1059" s="997"/>
      <c r="E1059" s="997"/>
      <c r="F1059" s="997"/>
      <c r="G1059" s="997"/>
      <c r="H1059" s="997"/>
      <c r="I1059" s="997"/>
      <c r="J1059" s="997"/>
      <c r="K1059" s="997"/>
      <c r="L1059" s="997"/>
      <c r="M1059" s="997"/>
      <c r="N1059" s="997"/>
      <c r="O1059" s="997"/>
      <c r="P1059" s="997"/>
      <c r="Q1059" s="997"/>
      <c r="R1059" s="997"/>
      <c r="S1059" s="997"/>
      <c r="T1059" s="997"/>
      <c r="U1059" s="997"/>
      <c r="V1059" s="997"/>
      <c r="W1059" s="997"/>
      <c r="X1059" s="997"/>
      <c r="Y1059" s="997"/>
      <c r="Z1059" s="997"/>
      <c r="AA1059" s="997"/>
      <c r="AB1059" s="997"/>
      <c r="AC1059" s="997"/>
      <c r="AD1059" s="997"/>
      <c r="AE1059" s="997"/>
      <c r="AF1059" s="997"/>
      <c r="AG1059" s="997"/>
      <c r="AH1059" s="997"/>
      <c r="AI1059" s="997"/>
      <c r="AJ1059" s="997"/>
      <c r="AK1059" s="997"/>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Q485:AK485"/>
    <mergeCell ref="AH502:AK502"/>
    <mergeCell ref="AH508:AK508"/>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Z552:AD552"/>
    <mergeCell ref="S621:U621"/>
    <mergeCell ref="AB619:AF619"/>
    <mergeCell ref="P621:R621"/>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AH522:AK522"/>
    <mergeCell ref="AC522:AF522"/>
    <mergeCell ref="AH520:AK520"/>
    <mergeCell ref="AC530:AF530"/>
    <mergeCell ref="AH513:AK513"/>
    <mergeCell ref="AH523:AK523"/>
    <mergeCell ref="AE546:AK546"/>
    <mergeCell ref="C620:O620"/>
    <mergeCell ref="AG606:AH606"/>
    <mergeCell ref="AA605:AK605"/>
    <mergeCell ref="AI604:AK604"/>
    <mergeCell ref="G595:R595"/>
    <mergeCell ref="G601:R601"/>
    <mergeCell ref="H605:R605"/>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J351:AK351"/>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Q803:T804"/>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Y727:AC727"/>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BP627:BT627"/>
    <mergeCell ref="BZ604:CD604"/>
    <mergeCell ref="BZ605:CD605"/>
    <mergeCell ref="BZ606:CD606"/>
    <mergeCell ref="BZ607:CD607"/>
    <mergeCell ref="BU614:BY614"/>
    <mergeCell ref="BU613:BY613"/>
    <mergeCell ref="BZ608:CD608"/>
    <mergeCell ref="BZ609:CD609"/>
    <mergeCell ref="BZ610:CD610"/>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P709:T709"/>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B713:F713"/>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AA314:AK314"/>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97" zoomScale="75" zoomScaleNormal="100" zoomScaleSheetLayoutView="75" workbookViewId="0">
      <selection activeCell="XFD84" sqref="XFD8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00" t="s">
        <v>671</v>
      </c>
      <c r="G1" s="1601"/>
      <c r="H1" s="1601"/>
      <c r="I1" s="1601"/>
      <c r="J1" s="1601"/>
      <c r="K1" s="1601"/>
      <c r="L1" s="1601"/>
      <c r="M1" s="1601"/>
      <c r="N1" s="1601"/>
      <c r="O1" s="1601"/>
      <c r="P1" s="1601"/>
      <c r="Q1" s="1601"/>
      <c r="R1" s="1602"/>
      <c r="S1" s="172"/>
      <c r="T1" s="171"/>
      <c r="U1" s="173"/>
    </row>
    <row r="2" spans="1:21" s="216" customFormat="1" ht="71.25" customHeight="1">
      <c r="A2" s="215"/>
      <c r="B2" s="216" t="s">
        <v>26</v>
      </c>
      <c r="C2" s="216" t="s">
        <v>406</v>
      </c>
      <c r="D2" s="216" t="s">
        <v>405</v>
      </c>
      <c r="E2" s="216" t="s">
        <v>27</v>
      </c>
      <c r="F2" s="217" t="str">
        <f>Application!B618&amp;Application!C618</f>
        <v>1)Tranche B Loan - Banner Bank</v>
      </c>
      <c r="G2" s="217" t="str">
        <f>Application!B619&amp;Application!C619</f>
        <v>2)HHH Funds (HCIDLA)</v>
      </c>
      <c r="H2" s="217" t="str">
        <f>Application!B620&amp;Application!C620</f>
        <v>3)</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1390000</v>
      </c>
      <c r="C4" s="225">
        <v>1390000</v>
      </c>
      <c r="D4" s="225"/>
      <c r="E4" s="225"/>
      <c r="F4" s="225"/>
      <c r="G4" s="225">
        <v>1390000</v>
      </c>
      <c r="H4" s="225"/>
      <c r="I4" s="225"/>
      <c r="J4" s="225"/>
      <c r="K4" s="225"/>
      <c r="L4" s="225"/>
      <c r="M4" s="225"/>
      <c r="N4" s="225"/>
      <c r="O4" s="225"/>
      <c r="P4" s="225"/>
      <c r="Q4" s="225"/>
      <c r="R4" s="916">
        <f>SUM(E4:Q4)</f>
        <v>1390000</v>
      </c>
      <c r="S4" s="226"/>
      <c r="T4" s="226"/>
      <c r="U4" s="221"/>
    </row>
    <row r="5" spans="1:21" s="222" customFormat="1">
      <c r="A5" s="223" t="s">
        <v>31</v>
      </c>
      <c r="B5" s="224">
        <f>SUM(C5+D5)</f>
        <v>150000</v>
      </c>
      <c r="C5" s="225">
        <v>150000</v>
      </c>
      <c r="D5" s="225"/>
      <c r="E5" s="225"/>
      <c r="F5" s="225">
        <v>150000</v>
      </c>
      <c r="G5" s="225"/>
      <c r="H5" s="225"/>
      <c r="I5" s="225"/>
      <c r="J5" s="225"/>
      <c r="K5" s="225"/>
      <c r="L5" s="225"/>
      <c r="M5" s="225"/>
      <c r="N5" s="225"/>
      <c r="O5" s="225"/>
      <c r="P5" s="225"/>
      <c r="Q5" s="225"/>
      <c r="R5" s="916">
        <f>SUM(E5:Q5)</f>
        <v>150000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1540000</v>
      </c>
      <c r="C8" s="224">
        <f t="shared" ref="C8:Q8" si="0">SUM(C4:C7)</f>
        <v>1540000</v>
      </c>
      <c r="D8" s="224">
        <f t="shared" si="0"/>
        <v>0</v>
      </c>
      <c r="E8" s="224">
        <f t="shared" si="0"/>
        <v>0</v>
      </c>
      <c r="F8" s="224">
        <f t="shared" si="0"/>
        <v>150000</v>
      </c>
      <c r="G8" s="224">
        <f t="shared" si="0"/>
        <v>1390000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1540000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1540000</v>
      </c>
      <c r="C12" s="224">
        <f t="shared" si="2"/>
        <v>1540000</v>
      </c>
      <c r="D12" s="224">
        <f t="shared" si="2"/>
        <v>0</v>
      </c>
      <c r="E12" s="224">
        <f t="shared" si="2"/>
        <v>0</v>
      </c>
      <c r="F12" s="224">
        <f t="shared" si="2"/>
        <v>150000</v>
      </c>
      <c r="G12" s="224">
        <f t="shared" si="2"/>
        <v>1390000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1540000</v>
      </c>
      <c r="S12" s="226"/>
      <c r="T12" s="226"/>
      <c r="U12" s="221"/>
    </row>
    <row r="13" spans="1:21" s="222" customFormat="1">
      <c r="A13" s="466" t="s">
        <v>1000</v>
      </c>
      <c r="B13" s="224">
        <f>SUM(C13+D13)</f>
        <v>199130</v>
      </c>
      <c r="C13" s="225">
        <f>156823+42307</f>
        <v>199130</v>
      </c>
      <c r="D13" s="225"/>
      <c r="E13" s="225"/>
      <c r="F13" s="225"/>
      <c r="G13" s="225">
        <f>199130</f>
        <v>199130</v>
      </c>
      <c r="H13" s="225"/>
      <c r="I13" s="225"/>
      <c r="J13" s="225"/>
      <c r="K13" s="225"/>
      <c r="L13" s="225"/>
      <c r="M13" s="225"/>
      <c r="N13" s="225"/>
      <c r="O13" s="225"/>
      <c r="P13" s="225"/>
      <c r="Q13" s="225"/>
      <c r="R13" s="916">
        <f>SUM(E13:Q13)</f>
        <v>199130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1200000</v>
      </c>
      <c r="C28" s="225">
        <v>1200000</v>
      </c>
      <c r="D28" s="225"/>
      <c r="E28" s="225"/>
      <c r="F28" s="225"/>
      <c r="G28" s="225">
        <v>1200000</v>
      </c>
      <c r="H28" s="225"/>
      <c r="I28" s="225"/>
      <c r="J28" s="225"/>
      <c r="K28" s="225"/>
      <c r="L28" s="225"/>
      <c r="M28" s="225"/>
      <c r="N28" s="225"/>
      <c r="O28" s="225"/>
      <c r="P28" s="225"/>
      <c r="Q28" s="225"/>
      <c r="R28" s="916">
        <f t="shared" ref="R28:R35" si="7">SUM(E28:Q28)</f>
        <v>1200000</v>
      </c>
      <c r="S28" s="225">
        <v>1200000</v>
      </c>
      <c r="T28" s="225"/>
      <c r="U28" s="221"/>
    </row>
    <row r="29" spans="1:21" s="222" customFormat="1">
      <c r="A29" s="223" t="s">
        <v>649</v>
      </c>
      <c r="B29" s="224">
        <f t="shared" si="6"/>
        <v>13700000</v>
      </c>
      <c r="C29" s="225">
        <f>13700000</f>
        <v>13700000</v>
      </c>
      <c r="D29" s="225"/>
      <c r="E29" s="225">
        <f>C29-F29-G29</f>
        <v>3812057</v>
      </c>
      <c r="F29" s="225">
        <f>1268813-375978+5000+3192-5250-F5+58796</f>
        <v>804573</v>
      </c>
      <c r="G29" s="225">
        <f>8940870-7500+150000</f>
        <v>9083370</v>
      </c>
      <c r="H29" s="225"/>
      <c r="I29" s="225"/>
      <c r="J29" s="225"/>
      <c r="K29" s="225"/>
      <c r="L29" s="225"/>
      <c r="M29" s="225"/>
      <c r="N29" s="225"/>
      <c r="O29" s="225"/>
      <c r="P29" s="225"/>
      <c r="Q29" s="225"/>
      <c r="R29" s="916">
        <f t="shared" si="7"/>
        <v>13700000</v>
      </c>
      <c r="S29" s="225">
        <v>13700000</v>
      </c>
      <c r="T29" s="225"/>
      <c r="U29" s="221"/>
    </row>
    <row r="30" spans="1:21" s="222" customFormat="1">
      <c r="A30" s="223" t="s">
        <v>650</v>
      </c>
      <c r="B30" s="224">
        <f t="shared" si="6"/>
        <v>700000</v>
      </c>
      <c r="C30" s="225">
        <v>700000</v>
      </c>
      <c r="D30" s="225"/>
      <c r="E30" s="225">
        <v>350000</v>
      </c>
      <c r="F30" s="225">
        <v>350000</v>
      </c>
      <c r="G30" s="225"/>
      <c r="H30" s="225"/>
      <c r="I30" s="225"/>
      <c r="J30" s="225"/>
      <c r="K30" s="225"/>
      <c r="L30" s="225"/>
      <c r="M30" s="225"/>
      <c r="N30" s="225"/>
      <c r="O30" s="225"/>
      <c r="P30" s="225"/>
      <c r="Q30" s="225"/>
      <c r="R30" s="916">
        <f t="shared" si="7"/>
        <v>700000</v>
      </c>
      <c r="S30" s="225">
        <v>700000</v>
      </c>
      <c r="T30" s="225"/>
      <c r="U30" s="221"/>
    </row>
    <row r="31" spans="1:21" s="222" customFormat="1">
      <c r="A31" s="223" t="s">
        <v>144</v>
      </c>
      <c r="B31" s="224">
        <f t="shared" si="6"/>
        <v>650000</v>
      </c>
      <c r="C31" s="225">
        <v>650000</v>
      </c>
      <c r="D31" s="225"/>
      <c r="E31" s="225">
        <f>650000/2</f>
        <v>325000</v>
      </c>
      <c r="F31" s="225">
        <f>650000/2</f>
        <v>325000</v>
      </c>
      <c r="G31" s="225"/>
      <c r="H31" s="225"/>
      <c r="I31" s="225"/>
      <c r="J31" s="225"/>
      <c r="K31" s="225"/>
      <c r="L31" s="225"/>
      <c r="M31" s="225"/>
      <c r="N31" s="225"/>
      <c r="O31" s="225"/>
      <c r="P31" s="225"/>
      <c r="Q31" s="225"/>
      <c r="R31" s="916">
        <f t="shared" si="7"/>
        <v>650000</v>
      </c>
      <c r="S31" s="225">
        <v>650000</v>
      </c>
      <c r="T31" s="225"/>
      <c r="U31" s="221"/>
    </row>
    <row r="32" spans="1:21" s="222" customFormat="1">
      <c r="A32" s="223" t="s">
        <v>145</v>
      </c>
      <c r="B32" s="224">
        <f t="shared" si="6"/>
        <v>650000</v>
      </c>
      <c r="C32" s="225">
        <v>650000</v>
      </c>
      <c r="D32" s="225"/>
      <c r="E32" s="225">
        <v>650000</v>
      </c>
      <c r="F32" s="225"/>
      <c r="G32" s="225"/>
      <c r="H32" s="225"/>
      <c r="I32" s="225"/>
      <c r="J32" s="225"/>
      <c r="K32" s="225"/>
      <c r="L32" s="225"/>
      <c r="M32" s="225"/>
      <c r="N32" s="225"/>
      <c r="O32" s="225"/>
      <c r="P32" s="225"/>
      <c r="Q32" s="225"/>
      <c r="R32" s="916">
        <f t="shared" si="7"/>
        <v>650000</v>
      </c>
      <c r="S32" s="225">
        <v>650000</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160881</v>
      </c>
      <c r="C34" s="225">
        <v>160881</v>
      </c>
      <c r="D34" s="225"/>
      <c r="E34" s="225">
        <v>160881</v>
      </c>
      <c r="F34" s="225"/>
      <c r="G34" s="225"/>
      <c r="H34" s="225"/>
      <c r="I34" s="225"/>
      <c r="J34" s="225"/>
      <c r="K34" s="225"/>
      <c r="L34" s="225"/>
      <c r="M34" s="225"/>
      <c r="N34" s="225"/>
      <c r="O34" s="225"/>
      <c r="P34" s="225"/>
      <c r="Q34" s="225"/>
      <c r="R34" s="916">
        <f t="shared" si="7"/>
        <v>160881</v>
      </c>
      <c r="S34" s="225">
        <v>160881</v>
      </c>
      <c r="T34" s="225"/>
      <c r="U34" s="221"/>
    </row>
    <row r="35" spans="1:21" s="222" customFormat="1">
      <c r="A35" s="955" t="s">
        <v>1766</v>
      </c>
      <c r="B35" s="224">
        <f t="shared" si="6"/>
        <v>250000</v>
      </c>
      <c r="C35" s="225">
        <f>100000+150000</f>
        <v>250000</v>
      </c>
      <c r="D35" s="225"/>
      <c r="E35" s="225">
        <v>250000</v>
      </c>
      <c r="F35" s="225"/>
      <c r="G35" s="225"/>
      <c r="H35" s="225"/>
      <c r="I35" s="225"/>
      <c r="J35" s="225"/>
      <c r="K35" s="225"/>
      <c r="L35" s="225"/>
      <c r="M35" s="225"/>
      <c r="N35" s="225"/>
      <c r="O35" s="225"/>
      <c r="P35" s="225"/>
      <c r="Q35" s="225"/>
      <c r="R35" s="916">
        <f t="shared" si="7"/>
        <v>250000</v>
      </c>
      <c r="S35" s="225">
        <v>250000</v>
      </c>
      <c r="T35" s="225"/>
      <c r="U35" s="221"/>
    </row>
    <row r="36" spans="1:21" s="222" customFormat="1">
      <c r="A36" s="227" t="s">
        <v>150</v>
      </c>
      <c r="B36" s="224">
        <f t="shared" si="6"/>
        <v>17310881</v>
      </c>
      <c r="C36" s="224">
        <f>SUM(C28:C35)</f>
        <v>17310881</v>
      </c>
      <c r="D36" s="224">
        <f t="shared" ref="D36:Q36" si="8">SUM(D28:D35)</f>
        <v>0</v>
      </c>
      <c r="E36" s="224">
        <f t="shared" si="8"/>
        <v>5547938</v>
      </c>
      <c r="F36" s="224">
        <f t="shared" si="8"/>
        <v>1479573</v>
      </c>
      <c r="G36" s="224">
        <f t="shared" si="8"/>
        <v>10283370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17310881</v>
      </c>
      <c r="S36" s="228">
        <f>SUM(S28:S35)</f>
        <v>17310881</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725000</v>
      </c>
      <c r="C38" s="225">
        <v>725000</v>
      </c>
      <c r="D38" s="225"/>
      <c r="E38" s="225">
        <v>725000</v>
      </c>
      <c r="F38" s="225"/>
      <c r="G38" s="225"/>
      <c r="H38" s="225"/>
      <c r="I38" s="225"/>
      <c r="J38" s="225"/>
      <c r="K38" s="225"/>
      <c r="L38" s="225"/>
      <c r="M38" s="225"/>
      <c r="N38" s="225"/>
      <c r="O38" s="225"/>
      <c r="P38" s="225"/>
      <c r="Q38" s="225"/>
      <c r="R38" s="916">
        <f>SUM(E38:Q38)</f>
        <v>725000</v>
      </c>
      <c r="S38" s="225">
        <v>725000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725000</v>
      </c>
      <c r="C40" s="224">
        <f>SUM(C37:C39)</f>
        <v>725000</v>
      </c>
      <c r="D40" s="224">
        <f>SUM(D37:D39)</f>
        <v>0</v>
      </c>
      <c r="E40" s="224">
        <f t="shared" ref="E40:T40" si="9">SUM(E38:E39)</f>
        <v>725000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725000</v>
      </c>
      <c r="S40" s="228">
        <f t="shared" si="9"/>
        <v>725000</v>
      </c>
      <c r="T40" s="228">
        <f t="shared" si="9"/>
        <v>0</v>
      </c>
      <c r="U40" s="221"/>
    </row>
    <row r="41" spans="1:21" s="222" customFormat="1">
      <c r="A41" s="227" t="s">
        <v>155</v>
      </c>
      <c r="B41" s="224">
        <f>SUM(C41:D41)</f>
        <v>300000</v>
      </c>
      <c r="C41" s="225">
        <v>300000</v>
      </c>
      <c r="D41" s="225"/>
      <c r="E41" s="225">
        <v>300000</v>
      </c>
      <c r="F41" s="225"/>
      <c r="G41" s="225"/>
      <c r="H41" s="225"/>
      <c r="I41" s="225"/>
      <c r="J41" s="225"/>
      <c r="K41" s="225"/>
      <c r="L41" s="225"/>
      <c r="M41" s="225"/>
      <c r="N41" s="225"/>
      <c r="O41" s="225"/>
      <c r="P41" s="225"/>
      <c r="Q41" s="225"/>
      <c r="R41" s="916">
        <f>SUM(E41:Q41)</f>
        <v>300000</v>
      </c>
      <c r="S41" s="225">
        <v>300000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701968</v>
      </c>
      <c r="C43" s="225">
        <f>400000+301968</f>
        <v>701968</v>
      </c>
      <c r="D43" s="225"/>
      <c r="E43" s="225"/>
      <c r="F43" s="225">
        <v>701968</v>
      </c>
      <c r="G43" s="225"/>
      <c r="H43" s="225"/>
      <c r="I43" s="225"/>
      <c r="J43" s="225"/>
      <c r="K43" s="225"/>
      <c r="L43" s="225"/>
      <c r="M43" s="225"/>
      <c r="N43" s="225"/>
      <c r="O43" s="225"/>
      <c r="P43" s="225"/>
      <c r="Q43" s="225"/>
      <c r="R43" s="916">
        <f t="shared" ref="R43:R52" si="11">SUM(E43:Q43)</f>
        <v>701968</v>
      </c>
      <c r="S43" s="225">
        <v>701968</v>
      </c>
      <c r="T43" s="225"/>
      <c r="U43" s="221"/>
    </row>
    <row r="44" spans="1:21" s="222" customFormat="1">
      <c r="A44" s="223" t="s">
        <v>158</v>
      </c>
      <c r="B44" s="224">
        <f t="shared" si="10"/>
        <v>125000</v>
      </c>
      <c r="C44" s="225">
        <v>125000</v>
      </c>
      <c r="D44" s="225"/>
      <c r="E44" s="225"/>
      <c r="F44" s="225">
        <v>125000</v>
      </c>
      <c r="G44" s="225"/>
      <c r="H44" s="225"/>
      <c r="I44" s="225"/>
      <c r="J44" s="225"/>
      <c r="K44" s="225"/>
      <c r="L44" s="225"/>
      <c r="M44" s="225"/>
      <c r="N44" s="225"/>
      <c r="O44" s="225"/>
      <c r="P44" s="225"/>
      <c r="Q44" s="225"/>
      <c r="R44" s="916">
        <f t="shared" si="11"/>
        <v>125000</v>
      </c>
      <c r="S44" s="225">
        <v>125000</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175000</v>
      </c>
      <c r="C47" s="225">
        <v>175000</v>
      </c>
      <c r="D47" s="225"/>
      <c r="E47" s="225"/>
      <c r="F47" s="225">
        <v>175000</v>
      </c>
      <c r="G47" s="225"/>
      <c r="H47" s="225"/>
      <c r="I47" s="225"/>
      <c r="J47" s="225"/>
      <c r="K47" s="225"/>
      <c r="L47" s="225"/>
      <c r="M47" s="225"/>
      <c r="N47" s="225"/>
      <c r="O47" s="225"/>
      <c r="P47" s="225"/>
      <c r="Q47" s="225"/>
      <c r="R47" s="916">
        <f t="shared" si="11"/>
        <v>175000</v>
      </c>
      <c r="S47" s="225"/>
      <c r="T47" s="225"/>
      <c r="U47" s="221"/>
    </row>
    <row r="48" spans="1:21" s="222" customFormat="1">
      <c r="A48" s="223" t="s">
        <v>163</v>
      </c>
      <c r="B48" s="224">
        <f t="shared" si="10"/>
        <v>60000</v>
      </c>
      <c r="C48" s="225">
        <v>60000</v>
      </c>
      <c r="D48" s="225"/>
      <c r="E48" s="225"/>
      <c r="F48" s="225">
        <v>60000</v>
      </c>
      <c r="G48" s="225"/>
      <c r="H48" s="225"/>
      <c r="I48" s="225"/>
      <c r="J48" s="225"/>
      <c r="K48" s="225"/>
      <c r="L48" s="225"/>
      <c r="M48" s="225"/>
      <c r="N48" s="225"/>
      <c r="O48" s="225"/>
      <c r="P48" s="225"/>
      <c r="Q48" s="225"/>
      <c r="R48" s="916">
        <f t="shared" si="11"/>
        <v>60000</v>
      </c>
      <c r="S48" s="225">
        <v>60000</v>
      </c>
      <c r="T48" s="225"/>
      <c r="U48" s="221"/>
    </row>
    <row r="49" spans="1:21" s="222" customFormat="1">
      <c r="A49" s="457" t="s">
        <v>161</v>
      </c>
      <c r="B49" s="224">
        <f t="shared" si="10"/>
        <v>25000</v>
      </c>
      <c r="C49" s="225">
        <v>25000</v>
      </c>
      <c r="D49" s="225"/>
      <c r="E49" s="225"/>
      <c r="F49" s="225">
        <v>25000</v>
      </c>
      <c r="G49" s="225"/>
      <c r="H49" s="225"/>
      <c r="I49" s="225"/>
      <c r="J49" s="225"/>
      <c r="K49" s="225"/>
      <c r="L49" s="225"/>
      <c r="M49" s="225"/>
      <c r="N49" s="225"/>
      <c r="O49" s="225"/>
      <c r="P49" s="225"/>
      <c r="Q49" s="225"/>
      <c r="R49" s="916">
        <f t="shared" si="11"/>
        <v>25000</v>
      </c>
      <c r="S49" s="225">
        <v>25000</v>
      </c>
      <c r="T49" s="225"/>
      <c r="U49" s="221"/>
    </row>
    <row r="50" spans="1:21" s="222" customFormat="1">
      <c r="A50" s="223" t="s">
        <v>162</v>
      </c>
      <c r="B50" s="224">
        <f t="shared" si="10"/>
        <v>150000</v>
      </c>
      <c r="C50" s="225">
        <v>150000</v>
      </c>
      <c r="D50" s="225"/>
      <c r="E50" s="225"/>
      <c r="F50" s="225">
        <v>150000</v>
      </c>
      <c r="G50" s="225"/>
      <c r="H50" s="225"/>
      <c r="I50" s="225"/>
      <c r="J50" s="225"/>
      <c r="K50" s="225"/>
      <c r="L50" s="225"/>
      <c r="M50" s="225"/>
      <c r="N50" s="225"/>
      <c r="O50" s="225"/>
      <c r="P50" s="225"/>
      <c r="Q50" s="225"/>
      <c r="R50" s="916">
        <f t="shared" si="11"/>
        <v>150000</v>
      </c>
      <c r="S50" s="225">
        <v>150000</v>
      </c>
      <c r="T50" s="225"/>
      <c r="U50" s="221"/>
    </row>
    <row r="51" spans="1:21" s="222" customFormat="1">
      <c r="A51" s="955" t="s">
        <v>1767</v>
      </c>
      <c r="B51" s="224">
        <f t="shared" si="10"/>
        <v>32000</v>
      </c>
      <c r="C51" s="225">
        <v>32000</v>
      </c>
      <c r="D51" s="225"/>
      <c r="E51" s="225"/>
      <c r="F51" s="225">
        <v>32000</v>
      </c>
      <c r="G51" s="225"/>
      <c r="H51" s="225"/>
      <c r="I51" s="225"/>
      <c r="J51" s="225"/>
      <c r="K51" s="225"/>
      <c r="L51" s="225"/>
      <c r="M51" s="225"/>
      <c r="N51" s="225"/>
      <c r="O51" s="225"/>
      <c r="P51" s="225"/>
      <c r="Q51" s="225"/>
      <c r="R51" s="916">
        <f t="shared" si="11"/>
        <v>32000</v>
      </c>
      <c r="S51" s="225">
        <v>32000</v>
      </c>
      <c r="T51" s="225"/>
      <c r="U51" s="221"/>
    </row>
    <row r="52" spans="1:21" s="222" customFormat="1" ht="24">
      <c r="A52" s="955" t="s">
        <v>1768</v>
      </c>
      <c r="B52" s="224">
        <f t="shared" si="10"/>
        <v>150000</v>
      </c>
      <c r="C52" s="225">
        <v>150000</v>
      </c>
      <c r="D52" s="225"/>
      <c r="E52" s="225"/>
      <c r="F52" s="225">
        <v>150000</v>
      </c>
      <c r="G52" s="225"/>
      <c r="H52" s="225"/>
      <c r="I52" s="225"/>
      <c r="J52" s="225"/>
      <c r="K52" s="225"/>
      <c r="L52" s="225"/>
      <c r="M52" s="225"/>
      <c r="N52" s="225"/>
      <c r="O52" s="225"/>
      <c r="P52" s="225"/>
      <c r="Q52" s="225"/>
      <c r="R52" s="916">
        <f t="shared" si="11"/>
        <v>150000</v>
      </c>
      <c r="S52" s="225">
        <v>150000</v>
      </c>
      <c r="T52" s="225"/>
      <c r="U52" s="221"/>
    </row>
    <row r="53" spans="1:21" s="232" customFormat="1">
      <c r="A53" s="227" t="s">
        <v>164</v>
      </c>
      <c r="B53" s="228">
        <f>SUM(C53:D53)</f>
        <v>1418968</v>
      </c>
      <c r="C53" s="228">
        <f t="shared" ref="C53:T53" si="12">SUM(C43:C52)</f>
        <v>1418968</v>
      </c>
      <c r="D53" s="228">
        <f t="shared" si="12"/>
        <v>0</v>
      </c>
      <c r="E53" s="228">
        <f t="shared" si="12"/>
        <v>0</v>
      </c>
      <c r="F53" s="228">
        <f t="shared" si="12"/>
        <v>1418968</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1418968</v>
      </c>
      <c r="S53" s="228">
        <f t="shared" si="12"/>
        <v>1243968</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50000</v>
      </c>
      <c r="C55" s="225">
        <v>50000</v>
      </c>
      <c r="D55" s="225"/>
      <c r="E55" s="225"/>
      <c r="F55" s="225">
        <v>50000</v>
      </c>
      <c r="G55" s="225"/>
      <c r="H55" s="225"/>
      <c r="I55" s="225"/>
      <c r="J55" s="225"/>
      <c r="K55" s="225"/>
      <c r="L55" s="225"/>
      <c r="M55" s="225"/>
      <c r="N55" s="225"/>
      <c r="O55" s="225"/>
      <c r="P55" s="225"/>
      <c r="Q55" s="225"/>
      <c r="R55" s="916">
        <f t="shared" ref="R55:R61" si="14">SUM(E55:Q55)</f>
        <v>50000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0</v>
      </c>
      <c r="C57" s="225"/>
      <c r="D57" s="225"/>
      <c r="E57" s="22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5" t="s">
        <v>1769</v>
      </c>
      <c r="B60" s="224">
        <f t="shared" si="13"/>
        <v>400000</v>
      </c>
      <c r="C60" s="225">
        <v>400000</v>
      </c>
      <c r="D60" s="225"/>
      <c r="E60" s="225"/>
      <c r="F60" s="225">
        <v>400000</v>
      </c>
      <c r="G60" s="225"/>
      <c r="H60" s="225"/>
      <c r="I60" s="225"/>
      <c r="J60" s="225"/>
      <c r="K60" s="225"/>
      <c r="L60" s="225"/>
      <c r="M60" s="225"/>
      <c r="N60" s="225"/>
      <c r="O60" s="225"/>
      <c r="P60" s="225"/>
      <c r="Q60" s="225"/>
      <c r="R60" s="916">
        <f t="shared" si="14"/>
        <v>400000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450000</v>
      </c>
      <c r="C62" s="224">
        <f t="shared" ref="C62:Q62" si="15">SUM(C55:C61)</f>
        <v>450000</v>
      </c>
      <c r="D62" s="224">
        <f t="shared" si="15"/>
        <v>0</v>
      </c>
      <c r="E62" s="224">
        <f t="shared" si="15"/>
        <v>0</v>
      </c>
      <c r="F62" s="224">
        <f t="shared" si="15"/>
        <v>450000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450000</v>
      </c>
      <c r="S62" s="226"/>
      <c r="T62" s="226"/>
      <c r="U62" s="221"/>
    </row>
    <row r="63" spans="1:21" s="222" customFormat="1">
      <c r="A63" s="233" t="s">
        <v>321</v>
      </c>
      <c r="B63" s="224">
        <f>SUM(B8+B11+B13+B14+B15+B25+B26+B36+B40+B41+B53+B62)</f>
        <v>21943979</v>
      </c>
      <c r="C63" s="224">
        <f t="shared" ref="C63:Q63" si="16">SUM(C8+C11+C13+C14+C15+C25+C26+C36+C40+C41+C53+C62)</f>
        <v>21943979</v>
      </c>
      <c r="D63" s="224">
        <f t="shared" si="16"/>
        <v>0</v>
      </c>
      <c r="E63" s="224">
        <f t="shared" si="16"/>
        <v>6572938</v>
      </c>
      <c r="F63" s="224">
        <f t="shared" si="16"/>
        <v>3498541</v>
      </c>
      <c r="G63" s="224">
        <f t="shared" si="16"/>
        <v>11872500</v>
      </c>
      <c r="H63" s="224">
        <f t="shared" si="16"/>
        <v>0</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21943979</v>
      </c>
      <c r="S63" s="224">
        <f>SUM(S10+S13+S14+S15+S25+S26+S36+S40+S41+S53)</f>
        <v>19579849</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125000</v>
      </c>
      <c r="C65" s="225">
        <v>125000</v>
      </c>
      <c r="D65" s="225"/>
      <c r="E65" s="225"/>
      <c r="F65" s="225">
        <v>125000</v>
      </c>
      <c r="G65" s="225"/>
      <c r="H65" s="225"/>
      <c r="I65" s="225"/>
      <c r="J65" s="225"/>
      <c r="K65" s="225"/>
      <c r="L65" s="225"/>
      <c r="M65" s="225"/>
      <c r="N65" s="225"/>
      <c r="O65" s="225"/>
      <c r="P65" s="225"/>
      <c r="Q65" s="225"/>
      <c r="R65" s="916">
        <f>SUM(E65:Q65)</f>
        <v>125000</v>
      </c>
      <c r="S65" s="225">
        <v>95000</v>
      </c>
      <c r="T65" s="225"/>
      <c r="U65" s="221"/>
    </row>
    <row r="66" spans="1:21" s="222" customFormat="1">
      <c r="A66" s="955" t="s">
        <v>1770</v>
      </c>
      <c r="B66" s="224">
        <f>SUM(C66+D66)</f>
        <v>112500</v>
      </c>
      <c r="C66" s="225">
        <v>112500</v>
      </c>
      <c r="D66" s="225"/>
      <c r="E66" s="225"/>
      <c r="F66" s="225">
        <v>112500</v>
      </c>
      <c r="G66" s="225"/>
      <c r="H66" s="225"/>
      <c r="I66" s="225"/>
      <c r="J66" s="225"/>
      <c r="K66" s="225"/>
      <c r="L66" s="225"/>
      <c r="M66" s="225"/>
      <c r="N66" s="225"/>
      <c r="O66" s="225"/>
      <c r="P66" s="225"/>
      <c r="Q66" s="225"/>
      <c r="R66" s="916">
        <f>SUM(E66:Q66)</f>
        <v>112500</v>
      </c>
      <c r="S66" s="225">
        <v>15000</v>
      </c>
      <c r="T66" s="225"/>
      <c r="U66" s="221"/>
    </row>
    <row r="67" spans="1:21" s="222" customFormat="1">
      <c r="A67" s="227" t="s">
        <v>651</v>
      </c>
      <c r="B67" s="224">
        <f>SUM(C67:D67)</f>
        <v>237500</v>
      </c>
      <c r="C67" s="224">
        <f>SUM(C64:C66)</f>
        <v>237500</v>
      </c>
      <c r="D67" s="224">
        <f>SUM(D64:D66)</f>
        <v>0</v>
      </c>
      <c r="E67" s="224">
        <f t="shared" ref="E67:T67" si="17">SUM(E65:E66)</f>
        <v>0</v>
      </c>
      <c r="F67" s="224">
        <f t="shared" si="17"/>
        <v>237500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237500</v>
      </c>
      <c r="S67" s="228">
        <f>SUM(S65:S66)</f>
        <v>110000</v>
      </c>
      <c r="T67" s="228">
        <f t="shared" si="17"/>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194000</v>
      </c>
      <c r="C72" s="225">
        <v>194000</v>
      </c>
      <c r="D72" s="225"/>
      <c r="E72" s="225"/>
      <c r="F72" s="225">
        <v>194000</v>
      </c>
      <c r="G72" s="225"/>
      <c r="H72" s="225"/>
      <c r="I72" s="225"/>
      <c r="J72" s="225"/>
      <c r="K72" s="225"/>
      <c r="L72" s="225"/>
      <c r="M72" s="225"/>
      <c r="N72" s="225"/>
      <c r="O72" s="225"/>
      <c r="P72" s="225"/>
      <c r="Q72" s="225"/>
      <c r="R72" s="916">
        <f>SUM(E72:Q72)</f>
        <v>194000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194000</v>
      </c>
      <c r="C74" s="224">
        <f>SUM(C69:C73)</f>
        <v>194000</v>
      </c>
      <c r="D74" s="224">
        <f>SUM(D69:D73)</f>
        <v>0</v>
      </c>
      <c r="E74" s="224">
        <f t="shared" ref="E74:Q74" si="18">SUM(E69:E73)</f>
        <v>0</v>
      </c>
      <c r="F74" s="224">
        <f t="shared" si="18"/>
        <v>194000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194000</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1222261</v>
      </c>
      <c r="C76" s="225">
        <v>1222261</v>
      </c>
      <c r="D76" s="225"/>
      <c r="E76" s="225"/>
      <c r="F76" s="225">
        <v>1222261</v>
      </c>
      <c r="G76" s="225"/>
      <c r="H76" s="225"/>
      <c r="I76" s="225"/>
      <c r="J76" s="225"/>
      <c r="K76" s="225"/>
      <c r="L76" s="225"/>
      <c r="M76" s="225"/>
      <c r="N76" s="225"/>
      <c r="O76" s="225"/>
      <c r="P76" s="225"/>
      <c r="Q76" s="225"/>
      <c r="R76" s="916">
        <f>SUM(E76:Q76)</f>
        <v>1222261</v>
      </c>
      <c r="S76" s="225">
        <v>1222261</v>
      </c>
      <c r="T76" s="225"/>
      <c r="U76" s="221"/>
    </row>
    <row r="77" spans="1:21" s="222" customFormat="1">
      <c r="A77" s="457" t="s">
        <v>63</v>
      </c>
      <c r="B77" s="224">
        <f>SUM(C77:D77)</f>
        <v>218748</v>
      </c>
      <c r="C77" s="225">
        <v>218748</v>
      </c>
      <c r="D77" s="225"/>
      <c r="E77" s="225"/>
      <c r="F77" s="225">
        <v>218748</v>
      </c>
      <c r="G77" s="225"/>
      <c r="H77" s="225"/>
      <c r="I77" s="225"/>
      <c r="J77" s="225"/>
      <c r="K77" s="225"/>
      <c r="L77" s="225"/>
      <c r="M77" s="225"/>
      <c r="N77" s="225"/>
      <c r="O77" s="225"/>
      <c r="P77" s="225"/>
      <c r="Q77" s="225"/>
      <c r="R77" s="916">
        <f>SUM(E77:Q77)</f>
        <v>218748</v>
      </c>
      <c r="S77" s="225">
        <v>218748</v>
      </c>
      <c r="T77" s="225"/>
      <c r="U77" s="221"/>
    </row>
    <row r="78" spans="1:21" s="222" customFormat="1">
      <c r="A78" s="227" t="s">
        <v>1468</v>
      </c>
      <c r="B78" s="224">
        <f>SUM(C78:D78)</f>
        <v>1441009</v>
      </c>
      <c r="C78" s="890">
        <f>SUM(C76:C77)</f>
        <v>1441009</v>
      </c>
      <c r="D78" s="890">
        <f t="shared" ref="D78:T78" si="19">SUM(D76:D77)</f>
        <v>0</v>
      </c>
      <c r="E78" s="890">
        <f t="shared" si="19"/>
        <v>0</v>
      </c>
      <c r="F78" s="890">
        <f t="shared" si="19"/>
        <v>1441009</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1441009</v>
      </c>
      <c r="S78" s="890">
        <f t="shared" si="19"/>
        <v>1441009</v>
      </c>
      <c r="T78" s="890">
        <f t="shared" si="19"/>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0">SUM(C80+D80)</f>
        <v>40000</v>
      </c>
      <c r="C80" s="225">
        <v>40000</v>
      </c>
      <c r="D80" s="225"/>
      <c r="E80" s="225"/>
      <c r="F80" s="225">
        <v>40000</v>
      </c>
      <c r="G80" s="225"/>
      <c r="H80" s="225"/>
      <c r="I80" s="225"/>
      <c r="J80" s="225"/>
      <c r="K80" s="225"/>
      <c r="L80" s="225"/>
      <c r="M80" s="225"/>
      <c r="N80" s="225"/>
      <c r="O80" s="225"/>
      <c r="P80" s="225"/>
      <c r="Q80" s="225"/>
      <c r="R80" s="916">
        <f t="shared" ref="R80:R94" si="21">SUM(E80:Q80)</f>
        <v>40000</v>
      </c>
      <c r="S80" s="226"/>
      <c r="T80" s="226"/>
      <c r="U80" s="221"/>
    </row>
    <row r="81" spans="1:21" s="222" customFormat="1">
      <c r="A81" s="223" t="s">
        <v>845</v>
      </c>
      <c r="B81" s="224">
        <f t="shared" si="20"/>
        <v>59999.7</v>
      </c>
      <c r="C81" s="225">
        <f>60000-0.3</f>
        <v>59999.7</v>
      </c>
      <c r="D81" s="225"/>
      <c r="E81" s="225">
        <f>60000-0.3</f>
        <v>59999.7</v>
      </c>
      <c r="F81" s="225"/>
      <c r="G81" s="225"/>
      <c r="H81" s="225"/>
      <c r="I81" s="225"/>
      <c r="J81" s="225"/>
      <c r="K81" s="225"/>
      <c r="L81" s="225"/>
      <c r="M81" s="225"/>
      <c r="N81" s="225"/>
      <c r="O81" s="225"/>
      <c r="P81" s="225"/>
      <c r="Q81" s="225"/>
      <c r="R81" s="916">
        <f t="shared" si="21"/>
        <v>59999.7</v>
      </c>
      <c r="S81" s="225">
        <f>60000-0.3</f>
        <v>59999.7</v>
      </c>
      <c r="T81" s="225"/>
      <c r="U81" s="221"/>
    </row>
    <row r="82" spans="1:21" s="222" customFormat="1">
      <c r="A82" s="223" t="s">
        <v>846</v>
      </c>
      <c r="B82" s="224">
        <f t="shared" si="20"/>
        <v>145693.70000000001</v>
      </c>
      <c r="C82" s="225">
        <f>203500-0.3-57806</f>
        <v>145693.70000000001</v>
      </c>
      <c r="D82" s="225"/>
      <c r="E82" s="225">
        <f>203500-0.3-57806</f>
        <v>145693.70000000001</v>
      </c>
      <c r="F82" s="225"/>
      <c r="G82" s="225"/>
      <c r="H82" s="225"/>
      <c r="I82" s="225"/>
      <c r="J82" s="225"/>
      <c r="K82" s="225"/>
      <c r="L82" s="225"/>
      <c r="M82" s="225"/>
      <c r="N82" s="225"/>
      <c r="O82" s="225"/>
      <c r="P82" s="225"/>
      <c r="Q82" s="225"/>
      <c r="R82" s="916">
        <f t="shared" si="21"/>
        <v>145693.70000000001</v>
      </c>
      <c r="S82" s="225">
        <f>203500-0.3-57806</f>
        <v>145693.70000000001</v>
      </c>
      <c r="T82" s="225"/>
      <c r="U82" s="221"/>
    </row>
    <row r="83" spans="1:21" s="222" customFormat="1">
      <c r="A83" s="223" t="s">
        <v>847</v>
      </c>
      <c r="B83" s="224">
        <f t="shared" si="20"/>
        <v>360306</v>
      </c>
      <c r="C83" s="225">
        <f>302500+57806</f>
        <v>360306</v>
      </c>
      <c r="D83" s="225"/>
      <c r="E83" s="225">
        <f>302500+57806</f>
        <v>360306</v>
      </c>
      <c r="F83" s="225"/>
      <c r="G83" s="225"/>
      <c r="H83" s="225"/>
      <c r="I83" s="225"/>
      <c r="J83" s="225"/>
      <c r="K83" s="225"/>
      <c r="L83" s="225"/>
      <c r="M83" s="225"/>
      <c r="N83" s="225"/>
      <c r="O83" s="225"/>
      <c r="P83" s="225"/>
      <c r="Q83" s="225"/>
      <c r="R83" s="916">
        <f t="shared" si="21"/>
        <v>360306</v>
      </c>
      <c r="S83" s="225">
        <f>302500+57806</f>
        <v>360306</v>
      </c>
      <c r="T83" s="225"/>
      <c r="U83" s="221"/>
    </row>
    <row r="84" spans="1:21" s="222" customFormat="1">
      <c r="A84" s="223" t="s">
        <v>848</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849</v>
      </c>
      <c r="B85" s="224">
        <f t="shared" si="20"/>
        <v>75000</v>
      </c>
      <c r="C85" s="225">
        <v>75000</v>
      </c>
      <c r="D85" s="225"/>
      <c r="E85" s="225"/>
      <c r="F85" s="225">
        <v>75000</v>
      </c>
      <c r="G85" s="225"/>
      <c r="H85" s="225"/>
      <c r="I85" s="225"/>
      <c r="J85" s="225"/>
      <c r="K85" s="225"/>
      <c r="L85" s="225"/>
      <c r="M85" s="225"/>
      <c r="N85" s="225"/>
      <c r="O85" s="225"/>
      <c r="P85" s="225"/>
      <c r="Q85" s="225"/>
      <c r="R85" s="916">
        <f t="shared" si="21"/>
        <v>75000</v>
      </c>
      <c r="S85" s="226"/>
      <c r="T85" s="226"/>
      <c r="U85" s="221"/>
    </row>
    <row r="86" spans="1:21" s="222" customFormat="1">
      <c r="A86" s="223" t="s">
        <v>850</v>
      </c>
      <c r="B86" s="224">
        <f t="shared" si="20"/>
        <v>350000</v>
      </c>
      <c r="C86" s="225">
        <v>350000</v>
      </c>
      <c r="D86" s="225"/>
      <c r="E86" s="225"/>
      <c r="F86" s="225">
        <v>350000</v>
      </c>
      <c r="G86" s="225"/>
      <c r="H86" s="225"/>
      <c r="I86" s="225"/>
      <c r="J86" s="225"/>
      <c r="K86" s="225"/>
      <c r="L86" s="225"/>
      <c r="M86" s="225"/>
      <c r="N86" s="225"/>
      <c r="O86" s="225"/>
      <c r="P86" s="225"/>
      <c r="Q86" s="225"/>
      <c r="R86" s="916">
        <f t="shared" si="21"/>
        <v>350000</v>
      </c>
      <c r="S86" s="225">
        <v>350000</v>
      </c>
      <c r="T86" s="225"/>
      <c r="U86" s="221"/>
    </row>
    <row r="87" spans="1:21" s="222" customFormat="1">
      <c r="A87" s="223" t="s">
        <v>851</v>
      </c>
      <c r="B87" s="224">
        <f t="shared" si="20"/>
        <v>7500</v>
      </c>
      <c r="C87" s="225">
        <v>7500</v>
      </c>
      <c r="D87" s="225"/>
      <c r="E87" s="225"/>
      <c r="F87" s="225"/>
      <c r="G87" s="225">
        <v>7500</v>
      </c>
      <c r="H87" s="225"/>
      <c r="I87" s="225"/>
      <c r="J87" s="225"/>
      <c r="K87" s="225"/>
      <c r="L87" s="225"/>
      <c r="M87" s="225"/>
      <c r="N87" s="225"/>
      <c r="O87" s="225"/>
      <c r="P87" s="225"/>
      <c r="Q87" s="225"/>
      <c r="R87" s="916">
        <f t="shared" si="21"/>
        <v>7500</v>
      </c>
      <c r="S87" s="225">
        <v>7500</v>
      </c>
      <c r="T87" s="225"/>
      <c r="U87" s="221"/>
    </row>
    <row r="88" spans="1:21" s="222" customFormat="1">
      <c r="A88" s="234" t="s">
        <v>404</v>
      </c>
      <c r="B88" s="224">
        <f t="shared" si="20"/>
        <v>30000</v>
      </c>
      <c r="C88" s="225">
        <v>30000</v>
      </c>
      <c r="D88" s="225"/>
      <c r="E88" s="225"/>
      <c r="F88" s="225">
        <v>30000</v>
      </c>
      <c r="G88" s="225"/>
      <c r="H88" s="225"/>
      <c r="I88" s="225"/>
      <c r="J88" s="225"/>
      <c r="K88" s="225"/>
      <c r="L88" s="225"/>
      <c r="M88" s="225"/>
      <c r="N88" s="225"/>
      <c r="O88" s="225"/>
      <c r="P88" s="225"/>
      <c r="Q88" s="225"/>
      <c r="R88" s="916">
        <f t="shared" si="21"/>
        <v>30000</v>
      </c>
      <c r="S88" s="225">
        <v>30000</v>
      </c>
      <c r="T88" s="225"/>
      <c r="U88" s="221"/>
    </row>
    <row r="89" spans="1:21" s="222" customFormat="1">
      <c r="A89" s="889" t="s">
        <v>1470</v>
      </c>
      <c r="B89" s="224">
        <f t="shared" si="20"/>
        <v>14999.6</v>
      </c>
      <c r="C89" s="225">
        <f>15000-0.4</f>
        <v>14999.6</v>
      </c>
      <c r="D89" s="225"/>
      <c r="E89" s="225">
        <f>15000-0.4</f>
        <v>14999.6</v>
      </c>
      <c r="F89" s="225"/>
      <c r="G89" s="225"/>
      <c r="H89" s="225"/>
      <c r="I89" s="225"/>
      <c r="J89" s="225"/>
      <c r="K89" s="225"/>
      <c r="L89" s="225"/>
      <c r="M89" s="225"/>
      <c r="N89" s="225"/>
      <c r="O89" s="225"/>
      <c r="P89" s="225"/>
      <c r="Q89" s="225"/>
      <c r="R89" s="916">
        <f t="shared" si="21"/>
        <v>14999.6</v>
      </c>
      <c r="S89" s="225">
        <f>15000-0.4</f>
        <v>14999.6</v>
      </c>
      <c r="T89" s="225"/>
      <c r="U89" s="221"/>
    </row>
    <row r="90" spans="1:21" s="222" customFormat="1">
      <c r="A90" s="955" t="s">
        <v>1771</v>
      </c>
      <c r="B90" s="224">
        <f t="shared" si="20"/>
        <v>130000</v>
      </c>
      <c r="C90" s="225">
        <v>130000</v>
      </c>
      <c r="D90" s="225"/>
      <c r="E90" s="225"/>
      <c r="F90" s="225">
        <v>130000</v>
      </c>
      <c r="G90" s="225"/>
      <c r="H90" s="225"/>
      <c r="I90" s="225"/>
      <c r="J90" s="225"/>
      <c r="K90" s="225"/>
      <c r="L90" s="225"/>
      <c r="M90" s="225"/>
      <c r="N90" s="225"/>
      <c r="O90" s="225"/>
      <c r="P90" s="225"/>
      <c r="Q90" s="225"/>
      <c r="R90" s="916">
        <f t="shared" si="21"/>
        <v>130000</v>
      </c>
      <c r="S90" s="225"/>
      <c r="T90" s="225"/>
      <c r="U90" s="221"/>
    </row>
    <row r="91" spans="1:21" s="222" customFormat="1">
      <c r="A91" s="955" t="s">
        <v>177</v>
      </c>
      <c r="B91" s="224">
        <f t="shared" si="20"/>
        <v>0</v>
      </c>
      <c r="C91" s="225"/>
      <c r="D91" s="225"/>
      <c r="E91" s="225"/>
      <c r="F91" s="225"/>
      <c r="G91" s="225"/>
      <c r="H91" s="225"/>
      <c r="I91" s="225"/>
      <c r="J91" s="225"/>
      <c r="K91" s="225"/>
      <c r="L91" s="225"/>
      <c r="M91" s="225"/>
      <c r="N91" s="225"/>
      <c r="O91" s="225"/>
      <c r="P91" s="225"/>
      <c r="Q91" s="225"/>
      <c r="R91" s="916">
        <f t="shared" si="21"/>
        <v>0</v>
      </c>
      <c r="S91" s="225"/>
      <c r="T91" s="225"/>
      <c r="U91" s="221"/>
    </row>
    <row r="92" spans="1:21" s="222" customFormat="1">
      <c r="A92" s="955" t="s">
        <v>1772</v>
      </c>
      <c r="B92" s="224">
        <f t="shared" si="20"/>
        <v>30000</v>
      </c>
      <c r="C92" s="225">
        <v>30000</v>
      </c>
      <c r="D92" s="225"/>
      <c r="E92" s="225"/>
      <c r="F92" s="225">
        <v>30000</v>
      </c>
      <c r="G92" s="225"/>
      <c r="H92" s="225"/>
      <c r="I92" s="225"/>
      <c r="J92" s="225"/>
      <c r="K92" s="225"/>
      <c r="L92" s="225"/>
      <c r="M92" s="225"/>
      <c r="N92" s="225"/>
      <c r="O92" s="225"/>
      <c r="P92" s="225"/>
      <c r="Q92" s="225"/>
      <c r="R92" s="916">
        <f t="shared" si="21"/>
        <v>30000</v>
      </c>
      <c r="S92" s="225">
        <v>30000</v>
      </c>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852</v>
      </c>
      <c r="B95" s="224">
        <f>SUM(C95:D95)</f>
        <v>1243499</v>
      </c>
      <c r="C95" s="224">
        <f t="shared" ref="C95:Q95" si="22">SUM(C80:C94)</f>
        <v>1243499</v>
      </c>
      <c r="D95" s="224">
        <f t="shared" si="22"/>
        <v>0</v>
      </c>
      <c r="E95" s="224">
        <f t="shared" si="22"/>
        <v>580999</v>
      </c>
      <c r="F95" s="224">
        <f t="shared" si="22"/>
        <v>655000</v>
      </c>
      <c r="G95" s="224">
        <f t="shared" si="22"/>
        <v>7500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1243499</v>
      </c>
      <c r="S95" s="228">
        <f>SUM(S81:S84,S86:S94)</f>
        <v>998499</v>
      </c>
      <c r="T95" s="224">
        <f>SUM(T81:T84,T86:T94)</f>
        <v>0</v>
      </c>
      <c r="U95" s="221"/>
    </row>
    <row r="96" spans="1:21" s="222" customFormat="1">
      <c r="A96" s="227" t="s">
        <v>853</v>
      </c>
      <c r="B96" s="224">
        <f>SUM(C96:D96)</f>
        <v>25059987</v>
      </c>
      <c r="C96" s="224">
        <f>SUM(C63+C67+C74+C78+C95)</f>
        <v>25059987</v>
      </c>
      <c r="D96" s="224">
        <f t="shared" ref="D96:R96" si="23">SUM(D63+D67+D74+D78+D95)</f>
        <v>0</v>
      </c>
      <c r="E96" s="224">
        <f t="shared" si="23"/>
        <v>7153937</v>
      </c>
      <c r="F96" s="224">
        <f t="shared" si="23"/>
        <v>6026050</v>
      </c>
      <c r="G96" s="224">
        <f t="shared" si="23"/>
        <v>11880000</v>
      </c>
      <c r="H96" s="224">
        <f t="shared" si="23"/>
        <v>0</v>
      </c>
      <c r="I96" s="224">
        <f t="shared" si="23"/>
        <v>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25059987</v>
      </c>
      <c r="S96" s="224">
        <f>SUM(S63+S67+S78+S95)</f>
        <v>22129357</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4">SUM(C98+D98)</f>
        <v>2500000</v>
      </c>
      <c r="C98" s="225">
        <v>2500000</v>
      </c>
      <c r="D98" s="225"/>
      <c r="E98" s="225">
        <v>2500000</v>
      </c>
      <c r="F98" s="225"/>
      <c r="G98" s="225"/>
      <c r="H98" s="225"/>
      <c r="I98" s="225"/>
      <c r="J98" s="225"/>
      <c r="K98" s="225"/>
      <c r="L98" s="225"/>
      <c r="M98" s="225"/>
      <c r="N98" s="225"/>
      <c r="O98" s="225"/>
      <c r="P98" s="225"/>
      <c r="Q98" s="225"/>
      <c r="R98" s="916">
        <f t="shared" ref="R98:R103" si="25">SUM(E98:Q98)</f>
        <v>2500000</v>
      </c>
      <c r="S98" s="225">
        <v>2500000</v>
      </c>
      <c r="T98" s="225"/>
      <c r="U98" s="221"/>
    </row>
    <row r="99" spans="1:21" s="222" customFormat="1">
      <c r="A99" s="223" t="s">
        <v>856</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857</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858</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1128</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860</v>
      </c>
      <c r="B104" s="224">
        <f>SUM(C104:D104)</f>
        <v>2500000</v>
      </c>
      <c r="C104" s="224">
        <f t="shared" ref="C104:T104" si="26">SUM(C98:C103)</f>
        <v>2500000</v>
      </c>
      <c r="D104" s="224">
        <f t="shared" si="26"/>
        <v>0</v>
      </c>
      <c r="E104" s="224">
        <f t="shared" si="26"/>
        <v>2500000</v>
      </c>
      <c r="F104" s="224">
        <f t="shared" si="26"/>
        <v>0</v>
      </c>
      <c r="G104" s="224">
        <f t="shared" si="26"/>
        <v>0</v>
      </c>
      <c r="H104" s="224">
        <f t="shared" si="26"/>
        <v>0</v>
      </c>
      <c r="I104" s="224">
        <f t="shared" si="26"/>
        <v>0</v>
      </c>
      <c r="J104" s="224">
        <f t="shared" si="26"/>
        <v>0</v>
      </c>
      <c r="K104" s="224">
        <f t="shared" si="26"/>
        <v>0</v>
      </c>
      <c r="L104" s="224">
        <f t="shared" si="26"/>
        <v>0</v>
      </c>
      <c r="M104" s="224">
        <f t="shared" si="26"/>
        <v>0</v>
      </c>
      <c r="N104" s="224">
        <f t="shared" si="26"/>
        <v>0</v>
      </c>
      <c r="O104" s="224">
        <f t="shared" si="26"/>
        <v>0</v>
      </c>
      <c r="P104" s="224">
        <f t="shared" si="26"/>
        <v>0</v>
      </c>
      <c r="Q104" s="224">
        <f t="shared" si="26"/>
        <v>0</v>
      </c>
      <c r="R104" s="558">
        <f>SUM(R98:R103)</f>
        <v>2500000</v>
      </c>
      <c r="S104" s="228">
        <f t="shared" si="26"/>
        <v>2500000</v>
      </c>
      <c r="T104" s="228">
        <f t="shared" si="26"/>
        <v>0</v>
      </c>
      <c r="U104" s="221"/>
    </row>
    <row r="105" spans="1:21" s="222" customFormat="1">
      <c r="A105" s="227" t="s">
        <v>861</v>
      </c>
      <c r="B105" s="228">
        <f>SUM(C105:D105)</f>
        <v>27559987</v>
      </c>
      <c r="C105" s="228">
        <f t="shared" ref="C105:R105" si="27">SUM(C96+C104)</f>
        <v>27559987</v>
      </c>
      <c r="D105" s="228">
        <f t="shared" si="27"/>
        <v>0</v>
      </c>
      <c r="E105" s="228">
        <f t="shared" si="27"/>
        <v>9653937</v>
      </c>
      <c r="F105" s="228">
        <f t="shared" si="27"/>
        <v>6026050</v>
      </c>
      <c r="G105" s="228">
        <f t="shared" si="27"/>
        <v>11880000</v>
      </c>
      <c r="H105" s="228">
        <f t="shared" si="27"/>
        <v>0</v>
      </c>
      <c r="I105" s="228">
        <f t="shared" si="27"/>
        <v>0</v>
      </c>
      <c r="J105" s="228">
        <f t="shared" si="27"/>
        <v>0</v>
      </c>
      <c r="K105" s="228">
        <f t="shared" si="27"/>
        <v>0</v>
      </c>
      <c r="L105" s="228">
        <f t="shared" si="27"/>
        <v>0</v>
      </c>
      <c r="M105" s="228">
        <f t="shared" si="27"/>
        <v>0</v>
      </c>
      <c r="N105" s="228">
        <f t="shared" si="27"/>
        <v>0</v>
      </c>
      <c r="O105" s="228">
        <f t="shared" si="27"/>
        <v>0</v>
      </c>
      <c r="P105" s="228">
        <f t="shared" si="27"/>
        <v>0</v>
      </c>
      <c r="Q105" s="228">
        <f t="shared" si="27"/>
        <v>0</v>
      </c>
      <c r="R105" s="558">
        <f t="shared" si="27"/>
        <v>27559987</v>
      </c>
      <c r="S105" s="228">
        <f>S96+S104</f>
        <v>24629357</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24629357</v>
      </c>
      <c r="T107" s="242">
        <f>T105+T106</f>
        <v>0</v>
      </c>
    </row>
    <row r="108" spans="1:21" s="310" customFormat="1">
      <c r="A108" s="241" t="s">
        <v>973</v>
      </c>
      <c r="B108" s="236"/>
      <c r="C108" s="236"/>
      <c r="D108" s="236"/>
      <c r="E108" s="481">
        <f>Application!AG631</f>
        <v>9653937</v>
      </c>
      <c r="F108" s="481">
        <f>Application!AG618</f>
        <v>6026050</v>
      </c>
      <c r="G108" s="481">
        <f>Application!AG619</f>
        <v>11880000</v>
      </c>
      <c r="H108" s="481">
        <f>Application!AG620</f>
        <v>0</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06" t="s">
        <v>1134</v>
      </c>
      <c r="E122" s="1606"/>
      <c r="F122" s="1606"/>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09" t="s">
        <v>1492</v>
      </c>
      <c r="E123" s="1610"/>
      <c r="F123" s="1610"/>
      <c r="G123" s="1610"/>
      <c r="H123" s="1610"/>
      <c r="I123" s="1610"/>
      <c r="J123" s="1610"/>
      <c r="K123" s="1610"/>
      <c r="L123" s="1610"/>
      <c r="M123" s="1610"/>
      <c r="N123" s="1610"/>
      <c r="O123" s="1610"/>
      <c r="P123" s="1610"/>
      <c r="Q123" s="1610"/>
      <c r="R123" s="1610"/>
      <c r="S123" s="1610"/>
      <c r="T123" s="535"/>
      <c r="U123" s="537"/>
    </row>
    <row r="124" spans="1:21" ht="12.75">
      <c r="A124" s="534" t="s">
        <v>1136</v>
      </c>
      <c r="B124" s="544"/>
      <c r="C124" s="534"/>
      <c r="D124" s="1610"/>
      <c r="E124" s="1610"/>
      <c r="F124" s="1610"/>
      <c r="G124" s="1610"/>
      <c r="H124" s="1610"/>
      <c r="I124" s="1610"/>
      <c r="J124" s="1610"/>
      <c r="K124" s="1610"/>
      <c r="L124" s="1610"/>
      <c r="M124" s="1610"/>
      <c r="N124" s="1610"/>
      <c r="O124" s="1610"/>
      <c r="P124" s="1610"/>
      <c r="Q124" s="1610"/>
      <c r="R124" s="1610"/>
      <c r="S124" s="1610"/>
      <c r="T124" s="535"/>
      <c r="U124" s="537"/>
    </row>
    <row r="125" spans="1:21" ht="12.75">
      <c r="A125" s="534" t="s">
        <v>1137</v>
      </c>
      <c r="B125" s="544"/>
      <c r="C125" s="534"/>
      <c r="D125" s="1610"/>
      <c r="E125" s="1610"/>
      <c r="F125" s="1610"/>
      <c r="G125" s="1610"/>
      <c r="H125" s="1610"/>
      <c r="I125" s="1610"/>
      <c r="J125" s="1610"/>
      <c r="K125" s="1610"/>
      <c r="L125" s="1610"/>
      <c r="M125" s="1610"/>
      <c r="N125" s="1610"/>
      <c r="O125" s="1610"/>
      <c r="P125" s="1610"/>
      <c r="Q125" s="1610"/>
      <c r="R125" s="1610"/>
      <c r="S125" s="1610"/>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03"/>
      <c r="E128" s="1603"/>
      <c r="F128" s="1603"/>
      <c r="G128" s="1603"/>
      <c r="H128" s="1603"/>
      <c r="I128" s="534"/>
      <c r="J128" s="1604"/>
      <c r="K128" s="1604"/>
      <c r="L128" s="534"/>
      <c r="M128" s="534"/>
      <c r="N128" s="534"/>
      <c r="O128" s="534"/>
      <c r="P128" s="534"/>
      <c r="Q128" s="534"/>
      <c r="R128" s="534"/>
      <c r="S128" s="534"/>
      <c r="T128" s="535"/>
      <c r="U128" s="537"/>
    </row>
    <row r="129" spans="1:21" ht="12.75">
      <c r="A129" s="534" t="s">
        <v>319</v>
      </c>
      <c r="B129" s="544"/>
      <c r="C129" s="534"/>
      <c r="D129" s="1605" t="s">
        <v>1141</v>
      </c>
      <c r="E129" s="1605"/>
      <c r="F129" s="1605"/>
      <c r="G129" s="1605"/>
      <c r="H129" s="1605"/>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578"/>
      <c r="E131" s="1578"/>
      <c r="F131" s="1578"/>
      <c r="G131" s="1578"/>
      <c r="H131" s="1578"/>
      <c r="I131" s="534"/>
      <c r="J131" s="1578"/>
      <c r="K131" s="1578"/>
      <c r="L131" s="1578"/>
      <c r="M131" s="1578"/>
      <c r="N131" s="534"/>
      <c r="O131" s="534"/>
      <c r="P131" s="534"/>
      <c r="Q131" s="534"/>
      <c r="R131" s="534"/>
      <c r="S131" s="534"/>
      <c r="T131" s="535"/>
      <c r="U131" s="537"/>
    </row>
    <row r="132" spans="1:21" ht="12" customHeight="1">
      <c r="A132" s="548"/>
      <c r="B132" s="534"/>
      <c r="C132" s="534"/>
      <c r="D132" s="1611" t="s">
        <v>1144</v>
      </c>
      <c r="E132" s="1611"/>
      <c r="F132" s="1611"/>
      <c r="G132" s="1611"/>
      <c r="H132" s="1611"/>
      <c r="I132" s="534"/>
      <c r="J132" s="1611" t="s">
        <v>1145</v>
      </c>
      <c r="K132" s="1611"/>
      <c r="L132" s="1611"/>
      <c r="M132" s="1611"/>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2"/>
      <c r="B138" s="1613"/>
      <c r="C138" s="1613"/>
      <c r="D138" s="539"/>
      <c r="E138" s="1604"/>
      <c r="F138" s="1604"/>
      <c r="G138" s="534"/>
      <c r="H138" s="534"/>
      <c r="I138" s="534"/>
      <c r="J138" s="534"/>
      <c r="K138" s="534"/>
      <c r="L138" s="534"/>
      <c r="M138" s="534"/>
      <c r="N138" s="534"/>
      <c r="O138" s="534"/>
      <c r="P138" s="534"/>
      <c r="Q138" s="534"/>
      <c r="R138" s="534"/>
      <c r="S138" s="534"/>
      <c r="T138" s="541"/>
      <c r="U138" s="542"/>
    </row>
    <row r="139" spans="1:21" ht="12.75">
      <c r="A139" s="1607" t="s">
        <v>1148</v>
      </c>
      <c r="B139" s="1608"/>
      <c r="C139" s="1608"/>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28"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0" t="s">
        <v>1495</v>
      </c>
      <c r="B1" s="1621"/>
      <c r="C1" s="1621"/>
      <c r="D1" s="1621"/>
      <c r="E1" s="1621"/>
      <c r="F1" s="1621"/>
      <c r="G1" s="1621"/>
      <c r="H1" s="1621"/>
      <c r="I1" s="1621"/>
      <c r="J1" s="1622"/>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1390000</v>
      </c>
      <c r="C4" s="590"/>
      <c r="D4" s="590"/>
      <c r="E4" s="591"/>
      <c r="F4" s="591"/>
      <c r="G4" s="591"/>
      <c r="H4" s="591"/>
      <c r="I4" s="591"/>
      <c r="J4" s="591"/>
      <c r="K4" s="587"/>
    </row>
    <row r="5" spans="1:11" s="588" customFormat="1">
      <c r="A5" s="592" t="s">
        <v>31</v>
      </c>
      <c r="B5" s="589">
        <f>'Sources and Uses Budget'!C5</f>
        <v>150000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1540000</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1540000</v>
      </c>
      <c r="C12" s="589">
        <f>SUM(C8+C11)</f>
        <v>0</v>
      </c>
      <c r="D12" s="589">
        <f>SUM(D8+D11)</f>
        <v>0</v>
      </c>
      <c r="E12" s="591"/>
      <c r="F12" s="591"/>
      <c r="G12" s="591"/>
      <c r="H12" s="591"/>
      <c r="I12" s="591"/>
      <c r="J12" s="591"/>
      <c r="K12" s="587"/>
    </row>
    <row r="13" spans="1:11" s="588" customFormat="1">
      <c r="A13" s="594" t="s">
        <v>1000</v>
      </c>
      <c r="B13" s="589">
        <f>'Sources and Uses Budget'!C13</f>
        <v>199130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1200000</v>
      </c>
      <c r="C28" s="590"/>
      <c r="D28" s="590"/>
      <c r="E28" s="589">
        <f>'Sources and Uses Budget'!S28</f>
        <v>1200000</v>
      </c>
      <c r="F28" s="590"/>
      <c r="G28" s="590"/>
      <c r="H28" s="589">
        <f>'Sources and Uses Budget'!T28</f>
        <v>0</v>
      </c>
      <c r="I28" s="590"/>
      <c r="J28" s="590"/>
      <c r="K28" s="587"/>
    </row>
    <row r="29" spans="1:11" s="588" customFormat="1">
      <c r="A29" s="223" t="s">
        <v>649</v>
      </c>
      <c r="B29" s="589">
        <f>'Sources and Uses Budget'!C29</f>
        <v>13700000</v>
      </c>
      <c r="C29" s="590"/>
      <c r="D29" s="590"/>
      <c r="E29" s="589">
        <f>'Sources and Uses Budget'!S29</f>
        <v>13700000</v>
      </c>
      <c r="F29" s="590"/>
      <c r="G29" s="590"/>
      <c r="H29" s="589">
        <f>'Sources and Uses Budget'!T29</f>
        <v>0</v>
      </c>
      <c r="I29" s="590"/>
      <c r="J29" s="590"/>
      <c r="K29" s="587"/>
    </row>
    <row r="30" spans="1:11" s="588" customFormat="1">
      <c r="A30" s="223" t="s">
        <v>650</v>
      </c>
      <c r="B30" s="589">
        <f>'Sources and Uses Budget'!C30</f>
        <v>700000</v>
      </c>
      <c r="C30" s="590"/>
      <c r="D30" s="590"/>
      <c r="E30" s="589">
        <f>'Sources and Uses Budget'!S30</f>
        <v>700000</v>
      </c>
      <c r="F30" s="590"/>
      <c r="G30" s="590"/>
      <c r="H30" s="589">
        <f>'Sources and Uses Budget'!T30</f>
        <v>0</v>
      </c>
      <c r="I30" s="590"/>
      <c r="J30" s="590"/>
      <c r="K30" s="587"/>
    </row>
    <row r="31" spans="1:11" s="588" customFormat="1">
      <c r="A31" s="223" t="s">
        <v>144</v>
      </c>
      <c r="B31" s="589">
        <f>'Sources and Uses Budget'!C31</f>
        <v>650000</v>
      </c>
      <c r="C31" s="590"/>
      <c r="D31" s="590"/>
      <c r="E31" s="589">
        <f>'Sources and Uses Budget'!S31</f>
        <v>650000</v>
      </c>
      <c r="F31" s="590"/>
      <c r="G31" s="590"/>
      <c r="H31" s="589">
        <f>'Sources and Uses Budget'!T31</f>
        <v>0</v>
      </c>
      <c r="I31" s="590"/>
      <c r="J31" s="590"/>
      <c r="K31" s="587"/>
    </row>
    <row r="32" spans="1:11" s="588" customFormat="1">
      <c r="A32" s="223" t="s">
        <v>145</v>
      </c>
      <c r="B32" s="589">
        <f>'Sources and Uses Budget'!C32</f>
        <v>650000</v>
      </c>
      <c r="C32" s="590"/>
      <c r="D32" s="590"/>
      <c r="E32" s="589">
        <f>'Sources and Uses Budget'!S32</f>
        <v>650000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160881</v>
      </c>
      <c r="C34" s="590"/>
      <c r="D34" s="590"/>
      <c r="E34" s="589">
        <f>'Sources and Uses Budget'!S34</f>
        <v>160881</v>
      </c>
      <c r="F34" s="590"/>
      <c r="G34" s="590"/>
      <c r="H34" s="589">
        <f>'Sources and Uses Budget'!T34</f>
        <v>0</v>
      </c>
      <c r="I34" s="590"/>
      <c r="J34" s="590"/>
      <c r="K34" s="587"/>
    </row>
    <row r="35" spans="1:11" s="588" customFormat="1">
      <c r="A35" s="595" t="str">
        <f>'Sources and Uses Budget'!$A35</f>
        <v xml:space="preserve">Other: Site Security &amp; Solar </v>
      </c>
      <c r="B35" s="589">
        <f>'Sources and Uses Budget'!C35</f>
        <v>250000</v>
      </c>
      <c r="C35" s="590"/>
      <c r="D35" s="590"/>
      <c r="E35" s="589">
        <f>'Sources and Uses Budget'!S35</f>
        <v>250000</v>
      </c>
      <c r="F35" s="590"/>
      <c r="G35" s="590"/>
      <c r="H35" s="589">
        <f>'Sources and Uses Budget'!T35</f>
        <v>0</v>
      </c>
      <c r="I35" s="590"/>
      <c r="J35" s="590"/>
      <c r="K35" s="587"/>
    </row>
    <row r="36" spans="1:11" s="588" customFormat="1">
      <c r="A36" s="597" t="s">
        <v>150</v>
      </c>
      <c r="B36" s="589">
        <f>'Sources and Uses Budget'!C36</f>
        <v>17310881</v>
      </c>
      <c r="C36" s="589">
        <f>SUM(C28:C35)</f>
        <v>0</v>
      </c>
      <c r="D36" s="589">
        <f>SUM(D28:D35)</f>
        <v>0</v>
      </c>
      <c r="E36" s="589">
        <f>'Sources and Uses Budget'!S36</f>
        <v>17310881</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725000</v>
      </c>
      <c r="C38" s="590"/>
      <c r="D38" s="590"/>
      <c r="E38" s="589">
        <f>'Sources and Uses Budget'!S38</f>
        <v>725000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725000</v>
      </c>
      <c r="C40" s="589">
        <f>SUM(C37:C39)</f>
        <v>0</v>
      </c>
      <c r="D40" s="589">
        <f>SUM(D37:D39)</f>
        <v>0</v>
      </c>
      <c r="E40" s="589">
        <f>'Sources and Uses Budget'!S40</f>
        <v>725000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300000</v>
      </c>
      <c r="C41" s="590"/>
      <c r="D41" s="590"/>
      <c r="E41" s="589">
        <f>'Sources and Uses Budget'!S41</f>
        <v>300000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701968</v>
      </c>
      <c r="C43" s="590"/>
      <c r="D43" s="590"/>
      <c r="E43" s="589">
        <f>'Sources and Uses Budget'!S43</f>
        <v>701968</v>
      </c>
      <c r="F43" s="590"/>
      <c r="G43" s="590"/>
      <c r="H43" s="589">
        <f>'Sources and Uses Budget'!T43</f>
        <v>0</v>
      </c>
      <c r="I43" s="590"/>
      <c r="J43" s="590"/>
      <c r="K43" s="587"/>
    </row>
    <row r="44" spans="1:11" s="588" customFormat="1">
      <c r="A44" s="592" t="s">
        <v>158</v>
      </c>
      <c r="B44" s="589">
        <f>'Sources and Uses Budget'!C44</f>
        <v>125000</v>
      </c>
      <c r="C44" s="590"/>
      <c r="D44" s="590"/>
      <c r="E44" s="589">
        <f>'Sources and Uses Budget'!S44</f>
        <v>125000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175000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60000</v>
      </c>
      <c r="C48" s="590"/>
      <c r="D48" s="590"/>
      <c r="E48" s="589">
        <f>'Sources and Uses Budget'!S48</f>
        <v>60000</v>
      </c>
      <c r="F48" s="590"/>
      <c r="G48" s="590"/>
      <c r="H48" s="589">
        <f>'Sources and Uses Budget'!T48</f>
        <v>0</v>
      </c>
      <c r="I48" s="590"/>
      <c r="J48" s="590"/>
      <c r="K48" s="587"/>
    </row>
    <row r="49" spans="1:11" s="588" customFormat="1">
      <c r="A49" s="592" t="s">
        <v>161</v>
      </c>
      <c r="B49" s="589">
        <f>'Sources and Uses Budget'!C49</f>
        <v>25000</v>
      </c>
      <c r="C49" s="590"/>
      <c r="D49" s="590"/>
      <c r="E49" s="589">
        <f>'Sources and Uses Budget'!S49</f>
        <v>25000</v>
      </c>
      <c r="F49" s="590"/>
      <c r="G49" s="590"/>
      <c r="H49" s="589">
        <f>'Sources and Uses Budget'!T49</f>
        <v>0</v>
      </c>
      <c r="I49" s="590"/>
      <c r="J49" s="590"/>
      <c r="K49" s="587"/>
    </row>
    <row r="50" spans="1:11" s="588" customFormat="1">
      <c r="A50" s="592" t="s">
        <v>162</v>
      </c>
      <c r="B50" s="589">
        <f>'Sources and Uses Budget'!C50</f>
        <v>150000</v>
      </c>
      <c r="C50" s="590"/>
      <c r="D50" s="590"/>
      <c r="E50" s="589">
        <f>'Sources and Uses Budget'!S50</f>
        <v>150000</v>
      </c>
      <c r="F50" s="590"/>
      <c r="G50" s="590"/>
      <c r="H50" s="589">
        <f>'Sources and Uses Budget'!T50</f>
        <v>0</v>
      </c>
      <c r="I50" s="590"/>
      <c r="J50" s="590"/>
      <c r="K50" s="587"/>
    </row>
    <row r="51" spans="1:11" s="588" customFormat="1">
      <c r="A51" s="595" t="str">
        <f>'Sources and Uses Budget'!$A60</f>
        <v xml:space="preserve">Other: Post Constrution Interest </v>
      </c>
      <c r="B51" s="589">
        <f>'Sources and Uses Budget'!C51</f>
        <v>32000</v>
      </c>
      <c r="C51" s="590"/>
      <c r="D51" s="590"/>
      <c r="E51" s="589">
        <f>'Sources and Uses Budget'!S51</f>
        <v>32000</v>
      </c>
      <c r="F51" s="590"/>
      <c r="G51" s="590"/>
      <c r="H51" s="589">
        <f>'Sources and Uses Budget'!T51</f>
        <v>0</v>
      </c>
      <c r="I51" s="590"/>
      <c r="J51" s="590"/>
      <c r="K51" s="587"/>
    </row>
    <row r="52" spans="1:11" s="588" customFormat="1">
      <c r="A52" s="595" t="str">
        <f>'Sources and Uses Budget'!$A61</f>
        <v>Other: (Specify)</v>
      </c>
      <c r="B52" s="589">
        <f>'Sources and Uses Budget'!C52</f>
        <v>150000</v>
      </c>
      <c r="C52" s="590"/>
      <c r="D52" s="590"/>
      <c r="E52" s="589">
        <f>'Sources and Uses Budget'!S52</f>
        <v>150000</v>
      </c>
      <c r="F52" s="590"/>
      <c r="G52" s="590"/>
      <c r="H52" s="589">
        <f>'Sources and Uses Budget'!T52</f>
        <v>0</v>
      </c>
      <c r="I52" s="590"/>
      <c r="J52" s="590"/>
      <c r="K52" s="587"/>
    </row>
    <row r="53" spans="1:11" s="599" customFormat="1">
      <c r="A53" s="593" t="s">
        <v>164</v>
      </c>
      <c r="B53" s="589">
        <f>'Sources and Uses Budget'!C53</f>
        <v>1418968</v>
      </c>
      <c r="C53" s="596">
        <f>SUM(C43:C52)</f>
        <v>0</v>
      </c>
      <c r="D53" s="596">
        <f>SUM(D43:D52)</f>
        <v>0</v>
      </c>
      <c r="E53" s="589">
        <f>'Sources and Uses Budget'!S53</f>
        <v>1243968</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50000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 xml:space="preserve">Other: Post Constrution Interest </v>
      </c>
      <c r="B60" s="589">
        <f>'Sources and Uses Budget'!C60</f>
        <v>400000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450000</v>
      </c>
      <c r="C62" s="589">
        <f>SUM(C55:C61)</f>
        <v>0</v>
      </c>
      <c r="D62" s="589">
        <f>SUM(D55:D61)</f>
        <v>0</v>
      </c>
      <c r="E62" s="591"/>
      <c r="F62" s="591"/>
      <c r="G62" s="591"/>
      <c r="H62" s="591"/>
      <c r="I62" s="591"/>
      <c r="J62" s="591"/>
      <c r="K62" s="587"/>
    </row>
    <row r="63" spans="1:11" s="588" customFormat="1">
      <c r="A63" s="600" t="s">
        <v>321</v>
      </c>
      <c r="B63" s="589">
        <f>'Sources and Uses Budget'!C63</f>
        <v>21943979</v>
      </c>
      <c r="C63" s="589">
        <f>SUM(C8+C11+C13+C14+C15+C25+C26+C36+C40+C41+C53+C62)</f>
        <v>0</v>
      </c>
      <c r="D63" s="589">
        <f>SUM(D8+D11+D13+D14+D15+D25+D26+D36+D40+D41+D53+D62)</f>
        <v>0</v>
      </c>
      <c r="E63" s="589">
        <f>'Sources and Uses Budget'!S63</f>
        <v>19579849</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125000</v>
      </c>
      <c r="C65" s="590"/>
      <c r="D65" s="590"/>
      <c r="E65" s="589">
        <f>'Sources and Uses Budget'!S65</f>
        <v>95000</v>
      </c>
      <c r="F65" s="590"/>
      <c r="G65" s="590"/>
      <c r="H65" s="589">
        <f>'Sources and Uses Budget'!T65</f>
        <v>0</v>
      </c>
      <c r="I65" s="590"/>
      <c r="J65" s="590"/>
      <c r="K65" s="587"/>
    </row>
    <row r="66" spans="1:11" s="588" customFormat="1">
      <c r="A66" s="595" t="str">
        <f>'Sources and Uses Budget'!$A73</f>
        <v>Other: (Specify)</v>
      </c>
      <c r="B66" s="589">
        <f>'Sources and Uses Budget'!C66</f>
        <v>112500</v>
      </c>
      <c r="C66" s="590"/>
      <c r="D66" s="590"/>
      <c r="E66" s="589">
        <f>'Sources and Uses Budget'!S66</f>
        <v>15000</v>
      </c>
      <c r="F66" s="590"/>
      <c r="G66" s="590"/>
      <c r="H66" s="589">
        <f>'Sources and Uses Budget'!T66</f>
        <v>0</v>
      </c>
      <c r="I66" s="590"/>
      <c r="J66" s="590"/>
      <c r="K66" s="587"/>
    </row>
    <row r="67" spans="1:11" s="588" customFormat="1">
      <c r="A67" s="593" t="s">
        <v>651</v>
      </c>
      <c r="B67" s="589">
        <f>'Sources and Uses Budget'!C67</f>
        <v>237500</v>
      </c>
      <c r="C67" s="589">
        <f>SUM(C64:C66)</f>
        <v>0</v>
      </c>
      <c r="D67" s="589">
        <f>SUM(D64:D66)</f>
        <v>0</v>
      </c>
      <c r="E67" s="589">
        <f>'Sources and Uses Budget'!S67</f>
        <v>110000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655</v>
      </c>
      <c r="B72" s="589">
        <f>'Sources and Uses Budget'!C72</f>
        <v>194000</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194000</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1222261</v>
      </c>
      <c r="C76" s="590"/>
      <c r="D76" s="590"/>
      <c r="E76" s="589">
        <f>'Sources and Uses Budget'!S76</f>
        <v>1222261</v>
      </c>
      <c r="F76" s="590"/>
      <c r="G76" s="590"/>
      <c r="H76" s="589">
        <f>'Sources and Uses Budget'!T76</f>
        <v>0</v>
      </c>
      <c r="I76" s="590"/>
      <c r="J76" s="590"/>
      <c r="K76" s="587"/>
    </row>
    <row r="77" spans="1:11" s="588" customFormat="1">
      <c r="A77" s="592" t="s">
        <v>63</v>
      </c>
      <c r="B77" s="589">
        <f>'Sources and Uses Budget'!C77</f>
        <v>218748</v>
      </c>
      <c r="C77" s="590"/>
      <c r="D77" s="590"/>
      <c r="E77" s="589">
        <f>'Sources and Uses Budget'!S77</f>
        <v>218748</v>
      </c>
      <c r="F77" s="590"/>
      <c r="G77" s="590"/>
      <c r="H77" s="589">
        <f>'Sources and Uses Budget'!T77</f>
        <v>0</v>
      </c>
      <c r="I77" s="590"/>
      <c r="J77" s="590"/>
      <c r="K77" s="587"/>
    </row>
    <row r="78" spans="1:11" s="588" customFormat="1">
      <c r="A78" s="593" t="s">
        <v>1468</v>
      </c>
      <c r="B78" s="589">
        <f>'Sources and Uses Budget'!C78</f>
        <v>1441009</v>
      </c>
      <c r="C78" s="589">
        <f>SUM(C76:C77)</f>
        <v>0</v>
      </c>
      <c r="D78" s="589">
        <f>SUM(D76:D77)</f>
        <v>0</v>
      </c>
      <c r="E78" s="589">
        <f>'Sources and Uses Budget'!S78</f>
        <v>1441009</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40000</v>
      </c>
      <c r="C80" s="590"/>
      <c r="D80" s="590"/>
      <c r="E80" s="591"/>
      <c r="F80" s="591"/>
      <c r="G80" s="591"/>
      <c r="H80" s="591"/>
      <c r="I80" s="591"/>
      <c r="J80" s="591"/>
      <c r="K80" s="587"/>
    </row>
    <row r="81" spans="1:11" s="588" customFormat="1">
      <c r="A81" s="223" t="s">
        <v>845</v>
      </c>
      <c r="B81" s="589">
        <f>'Sources and Uses Budget'!C81</f>
        <v>59999.7</v>
      </c>
      <c r="C81" s="590"/>
      <c r="D81" s="590"/>
      <c r="E81" s="589">
        <f>'Sources and Uses Budget'!S81</f>
        <v>59999.7</v>
      </c>
      <c r="F81" s="590"/>
      <c r="G81" s="590"/>
      <c r="H81" s="589">
        <f>'Sources and Uses Budget'!T81</f>
        <v>0</v>
      </c>
      <c r="I81" s="590"/>
      <c r="J81" s="590"/>
      <c r="K81" s="587"/>
    </row>
    <row r="82" spans="1:11" s="588" customFormat="1">
      <c r="A82" s="223" t="s">
        <v>846</v>
      </c>
      <c r="B82" s="589">
        <f>'Sources and Uses Budget'!C82</f>
        <v>145693.70000000001</v>
      </c>
      <c r="C82" s="590"/>
      <c r="D82" s="590"/>
      <c r="E82" s="589">
        <f>'Sources and Uses Budget'!S82</f>
        <v>145693.70000000001</v>
      </c>
      <c r="F82" s="590"/>
      <c r="G82" s="590"/>
      <c r="H82" s="589">
        <f>'Sources and Uses Budget'!T82</f>
        <v>0</v>
      </c>
      <c r="I82" s="590"/>
      <c r="J82" s="590"/>
      <c r="K82" s="587"/>
    </row>
    <row r="83" spans="1:11" s="588" customFormat="1">
      <c r="A83" s="223" t="s">
        <v>847</v>
      </c>
      <c r="B83" s="589">
        <f>'Sources and Uses Budget'!C83</f>
        <v>360306</v>
      </c>
      <c r="C83" s="590"/>
      <c r="D83" s="590"/>
      <c r="E83" s="589">
        <f>'Sources and Uses Budget'!S83</f>
        <v>360306</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75000</v>
      </c>
      <c r="C85" s="590"/>
      <c r="D85" s="590"/>
      <c r="E85" s="591"/>
      <c r="F85" s="591"/>
      <c r="G85" s="591"/>
      <c r="H85" s="591"/>
      <c r="I85" s="591"/>
      <c r="J85" s="591"/>
      <c r="K85" s="587"/>
    </row>
    <row r="86" spans="1:11" s="588" customFormat="1">
      <c r="A86" s="223" t="s">
        <v>850</v>
      </c>
      <c r="B86" s="589">
        <f>'Sources and Uses Budget'!C86</f>
        <v>350000</v>
      </c>
      <c r="C86" s="590"/>
      <c r="D86" s="590"/>
      <c r="E86" s="589">
        <f>'Sources and Uses Budget'!S86</f>
        <v>350000</v>
      </c>
      <c r="F86" s="590"/>
      <c r="G86" s="590"/>
      <c r="H86" s="589">
        <f>'Sources and Uses Budget'!T86</f>
        <v>0</v>
      </c>
      <c r="I86" s="590"/>
      <c r="J86" s="590"/>
      <c r="K86" s="587"/>
    </row>
    <row r="87" spans="1:11" s="588" customFormat="1">
      <c r="A87" s="223" t="s">
        <v>851</v>
      </c>
      <c r="B87" s="589">
        <f>'Sources and Uses Budget'!C87</f>
        <v>7500</v>
      </c>
      <c r="C87" s="590"/>
      <c r="D87" s="590"/>
      <c r="E87" s="589">
        <f>'Sources and Uses Budget'!S87</f>
        <v>7500</v>
      </c>
      <c r="F87" s="590"/>
      <c r="G87" s="590"/>
      <c r="H87" s="589">
        <f>'Sources and Uses Budget'!T87</f>
        <v>0</v>
      </c>
      <c r="I87" s="590"/>
      <c r="J87" s="590"/>
      <c r="K87" s="587"/>
    </row>
    <row r="88" spans="1:11" s="588" customFormat="1">
      <c r="A88" s="234" t="s">
        <v>404</v>
      </c>
      <c r="B88" s="589">
        <f>'Sources and Uses Budget'!C88</f>
        <v>30000</v>
      </c>
      <c r="C88" s="590"/>
      <c r="D88" s="590"/>
      <c r="E88" s="589">
        <f>'Sources and Uses Budget'!S88</f>
        <v>30000</v>
      </c>
      <c r="F88" s="590"/>
      <c r="G88" s="590"/>
      <c r="H88" s="589">
        <f>'Sources and Uses Budget'!T88</f>
        <v>0</v>
      </c>
      <c r="I88" s="590"/>
      <c r="J88" s="590"/>
      <c r="K88" s="587"/>
    </row>
    <row r="89" spans="1:11" s="588" customFormat="1">
      <c r="A89" s="889" t="s">
        <v>1470</v>
      </c>
      <c r="B89" s="589">
        <f>'Sources and Uses Budget'!C89</f>
        <v>14999.6</v>
      </c>
      <c r="C89" s="590"/>
      <c r="D89" s="590"/>
      <c r="E89" s="589">
        <f>'Sources and Uses Budget'!S89</f>
        <v>14999.6</v>
      </c>
      <c r="F89" s="590"/>
      <c r="G89" s="590"/>
      <c r="H89" s="589">
        <f>'Sources and Uses Budget'!T89</f>
        <v>0</v>
      </c>
      <c r="I89" s="590"/>
      <c r="J89" s="590"/>
      <c r="K89" s="587"/>
    </row>
    <row r="90" spans="1:11" s="588" customFormat="1">
      <c r="A90" s="595" t="str">
        <f>'Sources and Uses Budget'!$A90</f>
        <v xml:space="preserve">Other: Case Mgmt Lease-Up Fee </v>
      </c>
      <c r="B90" s="589">
        <f>'Sources and Uses Budget'!C90</f>
        <v>130000</v>
      </c>
      <c r="C90" s="590"/>
      <c r="D90" s="590"/>
      <c r="E90" s="589">
        <f>'Sources and Uses Budget'!S90</f>
        <v>0</v>
      </c>
      <c r="F90" s="590"/>
      <c r="G90" s="590"/>
      <c r="H90" s="589">
        <f>'Sources and Uses Budget'!T90</f>
        <v>0</v>
      </c>
      <c r="I90" s="590"/>
      <c r="J90" s="590"/>
      <c r="K90" s="587"/>
    </row>
    <row r="91" spans="1:11" s="588" customFormat="1">
      <c r="A91" s="595" t="str">
        <f>'Sources and Uses Budget'!$A91</f>
        <v>Other:</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Taxable Loan Interest</v>
      </c>
      <c r="B92" s="589">
        <f>'Sources and Uses Budget'!C92</f>
        <v>30000</v>
      </c>
      <c r="C92" s="590"/>
      <c r="D92" s="590"/>
      <c r="E92" s="589">
        <f>'Sources and Uses Budget'!S92</f>
        <v>30000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1243499</v>
      </c>
      <c r="C95" s="589">
        <f>SUM(C80:C94)</f>
        <v>0</v>
      </c>
      <c r="D95" s="589">
        <f>SUM(D80:D94)</f>
        <v>0</v>
      </c>
      <c r="E95" s="589">
        <f>'Sources and Uses Budget'!S95</f>
        <v>998499</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25059987</v>
      </c>
      <c r="C96" s="589">
        <f>SUM(C63+C67+C74+C78+C95)</f>
        <v>0</v>
      </c>
      <c r="D96" s="589">
        <f>SUM(D63+D67+D74+D78+D95)</f>
        <v>0</v>
      </c>
      <c r="E96" s="589">
        <f>'Sources and Uses Budget'!S96</f>
        <v>22129357</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2500000</v>
      </c>
      <c r="C98" s="590"/>
      <c r="D98" s="590"/>
      <c r="E98" s="589">
        <f>'Sources and Uses Budget'!S98</f>
        <v>2500000</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2500000</v>
      </c>
      <c r="C104" s="589">
        <f>SUM(C98:C103)</f>
        <v>0</v>
      </c>
      <c r="D104" s="589">
        <f>SUM(D98:D103)</f>
        <v>0</v>
      </c>
      <c r="E104" s="589">
        <f>'Sources and Uses Budget'!S104</f>
        <v>2500000</v>
      </c>
      <c r="F104" s="596">
        <f>SUM(F98:F103)</f>
        <v>0</v>
      </c>
      <c r="G104" s="596">
        <f>SUM(G98:G103)</f>
        <v>0</v>
      </c>
      <c r="H104" s="589">
        <f>'Sources and Uses Budget'!T104</f>
        <v>0</v>
      </c>
      <c r="I104" s="596">
        <f>SUM(I98:I103)</f>
        <v>0</v>
      </c>
      <c r="J104" s="596">
        <f>SUM(J98:J103)</f>
        <v>0</v>
      </c>
      <c r="K104" s="587"/>
    </row>
    <row r="105" spans="1:11" s="588" customFormat="1">
      <c r="A105" s="593" t="s">
        <v>1181</v>
      </c>
      <c r="B105" s="589">
        <f>'Sources and Uses Budget'!C105</f>
        <v>27559987</v>
      </c>
      <c r="C105" s="596">
        <f>SUM(C96+C104)</f>
        <v>0</v>
      </c>
      <c r="D105" s="596">
        <f>SUM(D96+D104)</f>
        <v>0</v>
      </c>
      <c r="E105" s="589">
        <f>'Sources and Uses Budget'!S105</f>
        <v>24629357</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24629357</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4"/>
      <c r="E124" s="1615"/>
      <c r="F124" s="1615"/>
      <c r="G124" s="1615"/>
      <c r="H124" s="1615"/>
      <c r="I124" s="1615"/>
      <c r="J124" s="607"/>
      <c r="K124" s="587"/>
    </row>
    <row r="125" spans="1:11" s="588" customFormat="1" ht="12.75">
      <c r="A125" s="618"/>
      <c r="B125" s="617"/>
      <c r="C125" s="618"/>
      <c r="D125" s="1615"/>
      <c r="E125" s="1615"/>
      <c r="F125" s="1615"/>
      <c r="G125" s="1615"/>
      <c r="H125" s="1615"/>
      <c r="I125" s="1615"/>
      <c r="J125" s="607"/>
      <c r="K125" s="587"/>
    </row>
    <row r="126" spans="1:11" s="588" customFormat="1" ht="12.75">
      <c r="A126" s="618"/>
      <c r="B126" s="617"/>
      <c r="C126" s="618"/>
      <c r="D126" s="1615"/>
      <c r="E126" s="1615"/>
      <c r="F126" s="1615"/>
      <c r="G126" s="1615"/>
      <c r="H126" s="1615"/>
      <c r="I126" s="1615"/>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6"/>
      <c r="B139" s="1617"/>
      <c r="C139" s="1617"/>
      <c r="D139" s="630"/>
      <c r="E139" s="618"/>
      <c r="F139" s="618"/>
      <c r="G139" s="618"/>
    </row>
    <row r="140" spans="1:11" ht="12" customHeight="1">
      <c r="A140" s="1618"/>
      <c r="B140" s="1619"/>
      <c r="C140" s="1619"/>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22" zoomScaleNormal="100" zoomScaleSheetLayoutView="100" workbookViewId="0">
      <selection activeCell="AB51" sqref="AB51"/>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80" t="s">
        <v>1599</v>
      </c>
      <c r="B1" s="1680"/>
      <c r="C1" s="1680"/>
      <c r="D1" s="1680"/>
      <c r="E1" s="1680"/>
      <c r="F1" s="1680"/>
      <c r="G1" s="1680"/>
      <c r="H1" s="1680"/>
      <c r="I1" s="1680"/>
      <c r="J1" s="1680"/>
      <c r="K1" s="1680"/>
      <c r="L1" s="1680"/>
      <c r="M1" s="1680"/>
      <c r="N1" s="1680"/>
      <c r="O1" s="1680"/>
      <c r="P1" s="1680"/>
      <c r="Q1" s="1680"/>
      <c r="R1" s="1680"/>
      <c r="S1" s="1680"/>
      <c r="T1" s="1680"/>
      <c r="U1" s="1680"/>
      <c r="V1" s="1680"/>
      <c r="W1" s="1680"/>
      <c r="X1" s="1680"/>
      <c r="Y1" s="1680"/>
      <c r="Z1" s="1680"/>
      <c r="AA1" s="1680"/>
      <c r="AB1" s="1680"/>
      <c r="AC1" s="1680"/>
      <c r="AD1" s="1680"/>
      <c r="AE1" s="1680"/>
      <c r="AF1" s="1680"/>
      <c r="AG1" s="1680"/>
      <c r="AH1" s="1680"/>
      <c r="AI1" s="1680"/>
      <c r="AJ1" s="1680"/>
      <c r="AK1" s="1680"/>
      <c r="AL1" s="1680"/>
      <c r="AM1" s="1680"/>
      <c r="AN1" s="1680"/>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81"/>
      <c r="B2" s="1681"/>
      <c r="C2" s="1681"/>
      <c r="D2" s="1681"/>
      <c r="E2" s="1681"/>
      <c r="F2" s="1681"/>
      <c r="G2" s="1681"/>
      <c r="H2" s="1681"/>
      <c r="I2" s="1681"/>
      <c r="J2" s="1681"/>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1681"/>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7" t="str">
        <f xml:space="preserve"> IF(T25=100%,'Sources and Basis Breakdown'!G2,'Sources and Basis Breakdown'!F2)</f>
        <v>30% PVC for New Const/
Rehabilitation
DDA/QCT
Building(s)</v>
      </c>
      <c r="U7" s="1657"/>
      <c r="V7" s="1657"/>
      <c r="W7" s="1657"/>
      <c r="X7" s="1657"/>
      <c r="Y7" s="1657" t="str">
        <f>IF(T25=100%," ",'Sources and Basis Breakdown'!G2)</f>
        <v>30% PVC for New Const/
Rehabilitation
NON-DDA/
NON-QCT Building(s)</v>
      </c>
      <c r="Z7" s="1657"/>
      <c r="AA7" s="1657"/>
      <c r="AB7" s="1657"/>
      <c r="AC7" s="1657"/>
      <c r="AD7" s="1657" t="str">
        <f xml:space="preserve"> IF(T25=100%, 'Sources and Basis Breakdown'!J2,'Sources and Basis Breakdown'!I2)</f>
        <v>30% PVC for Acquisition
DDA/QCT Building(s)</v>
      </c>
      <c r="AE7" s="1657"/>
      <c r="AF7" s="1657"/>
      <c r="AG7" s="1657"/>
      <c r="AH7" s="1657"/>
      <c r="AI7" s="1657" t="str">
        <f>IF(T25=100%," ",'Sources and Basis Breakdown'!J2)</f>
        <v>30% PVC for Acquisition
NON-DDA/
NON-QCT Building(s)</v>
      </c>
      <c r="AJ7" s="1657"/>
      <c r="AK7" s="1657"/>
      <c r="AL7" s="1657"/>
      <c r="AM7" s="1657"/>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7"/>
      <c r="U8" s="1657"/>
      <c r="V8" s="1657"/>
      <c r="W8" s="1657"/>
      <c r="X8" s="1657"/>
      <c r="Y8" s="1657"/>
      <c r="Z8" s="1657"/>
      <c r="AA8" s="1657"/>
      <c r="AB8" s="1657"/>
      <c r="AC8" s="1657"/>
      <c r="AD8" s="1657"/>
      <c r="AE8" s="1657"/>
      <c r="AF8" s="1657"/>
      <c r="AG8" s="1657"/>
      <c r="AH8" s="1657"/>
      <c r="AI8" s="1657"/>
      <c r="AJ8" s="1657"/>
      <c r="AK8" s="1657"/>
      <c r="AL8" s="1657"/>
      <c r="AM8" s="1657"/>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7"/>
      <c r="U9" s="1657"/>
      <c r="V9" s="1657"/>
      <c r="W9" s="1657"/>
      <c r="X9" s="1657"/>
      <c r="Y9" s="1657"/>
      <c r="Z9" s="1657"/>
      <c r="AA9" s="1657"/>
      <c r="AB9" s="1657"/>
      <c r="AC9" s="1657"/>
      <c r="AD9" s="1657"/>
      <c r="AE9" s="1657"/>
      <c r="AF9" s="1657"/>
      <c r="AG9" s="1657"/>
      <c r="AH9" s="1657"/>
      <c r="AI9" s="1657"/>
      <c r="AJ9" s="1657"/>
      <c r="AK9" s="1657"/>
      <c r="AL9" s="1657"/>
      <c r="AM9" s="1657"/>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7"/>
      <c r="U10" s="1657"/>
      <c r="V10" s="1657"/>
      <c r="W10" s="1657"/>
      <c r="X10" s="1657"/>
      <c r="Y10" s="1657"/>
      <c r="Z10" s="1657"/>
      <c r="AA10" s="1657"/>
      <c r="AB10" s="1657"/>
      <c r="AC10" s="1657"/>
      <c r="AD10" s="1657"/>
      <c r="AE10" s="1657"/>
      <c r="AF10" s="1657"/>
      <c r="AG10" s="1657"/>
      <c r="AH10" s="1657"/>
      <c r="AI10" s="1657"/>
      <c r="AJ10" s="1657"/>
      <c r="AK10" s="1657"/>
      <c r="AL10" s="1657"/>
      <c r="AM10" s="1657"/>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8" t="s">
        <v>407</v>
      </c>
      <c r="C11" s="1639"/>
      <c r="D11" s="1639"/>
      <c r="E11" s="1639"/>
      <c r="F11" s="1639"/>
      <c r="G11" s="1639"/>
      <c r="H11" s="1639"/>
      <c r="I11" s="1639"/>
      <c r="J11" s="1639"/>
      <c r="K11" s="1639"/>
      <c r="L11" s="1639"/>
      <c r="M11" s="1639"/>
      <c r="N11" s="1639"/>
      <c r="O11" s="1639"/>
      <c r="P11" s="1639"/>
      <c r="Q11" s="1639"/>
      <c r="R11" s="1639"/>
      <c r="S11" s="1640"/>
      <c r="T11" s="1682">
        <f>IF('Sources and Basis Breakdown'!F107=0,'Sources and Basis Breakdown'!E107,'Sources and Basis Breakdown'!F107)</f>
        <v>24629357</v>
      </c>
      <c r="U11" s="1683"/>
      <c r="V11" s="1683"/>
      <c r="W11" s="1683"/>
      <c r="X11" s="1683"/>
      <c r="Y11" s="1682">
        <f>IF(Y7=" ",0,IF('Sources and Basis Breakdown'!G107+'Sources and Basis Breakdown'!F107='Sources and Basis Breakdown'!E107,'Sources and Basis Breakdown'!G107,0))</f>
        <v>0</v>
      </c>
      <c r="Z11" s="1683"/>
      <c r="AA11" s="1683"/>
      <c r="AB11" s="1683"/>
      <c r="AC11" s="1683"/>
      <c r="AD11" s="1683">
        <f>IF('Sources and Basis Breakdown'!I107=0,'Sources and Basis Breakdown'!H107,'Sources and Basis Breakdown'!I107)</f>
        <v>0</v>
      </c>
      <c r="AE11" s="1683"/>
      <c r="AF11" s="1683"/>
      <c r="AG11" s="1683"/>
      <c r="AH11" s="1683"/>
      <c r="AI11" s="1683">
        <f>IF(Y7=" ",0,IF('Sources and Basis Breakdown'!I107+'Sources and Basis Breakdown'!J107='Sources and Basis Breakdown'!H107,'Sources and Basis Breakdown'!J107,0))</f>
        <v>0</v>
      </c>
      <c r="AJ11" s="1683"/>
      <c r="AK11" s="1683"/>
      <c r="AL11" s="1683"/>
      <c r="AM11" s="1683"/>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6" t="s">
        <v>543</v>
      </c>
      <c r="C12" s="1687"/>
      <c r="D12" s="1687"/>
      <c r="E12" s="1687"/>
      <c r="F12" s="1687"/>
      <c r="G12" s="1687"/>
      <c r="H12" s="1687"/>
      <c r="I12" s="1687"/>
      <c r="J12" s="1687"/>
      <c r="K12" s="1687"/>
      <c r="L12" s="1687"/>
      <c r="M12" s="1687"/>
      <c r="N12" s="1687"/>
      <c r="O12" s="1687"/>
      <c r="P12" s="1687"/>
      <c r="Q12" s="1687"/>
      <c r="R12" s="1687"/>
      <c r="S12" s="1688"/>
      <c r="T12" s="1662"/>
      <c r="U12" s="1663"/>
      <c r="V12" s="1663"/>
      <c r="W12" s="1663"/>
      <c r="X12" s="1664"/>
      <c r="Y12" s="1662"/>
      <c r="Z12" s="1663"/>
      <c r="AA12" s="1663"/>
      <c r="AB12" s="1663"/>
      <c r="AC12" s="1664"/>
      <c r="AD12" s="1662"/>
      <c r="AE12" s="1663"/>
      <c r="AF12" s="1663"/>
      <c r="AG12" s="1663"/>
      <c r="AH12" s="1664"/>
      <c r="AI12" s="1662"/>
      <c r="AJ12" s="1663"/>
      <c r="AK12" s="1663"/>
      <c r="AL12" s="1663"/>
      <c r="AM12" s="1664"/>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9" t="s">
        <v>544</v>
      </c>
      <c r="D13" s="1689"/>
      <c r="E13" s="1689"/>
      <c r="F13" s="1689"/>
      <c r="G13" s="1689"/>
      <c r="H13" s="1689"/>
      <c r="I13" s="1689"/>
      <c r="J13" s="1689"/>
      <c r="K13" s="1689"/>
      <c r="L13" s="1689"/>
      <c r="M13" s="1689"/>
      <c r="N13" s="1689"/>
      <c r="O13" s="1689"/>
      <c r="P13" s="1689"/>
      <c r="Q13" s="1689"/>
      <c r="R13" s="1689"/>
      <c r="S13" s="1690"/>
      <c r="T13" s="1678"/>
      <c r="U13" s="1679"/>
      <c r="V13" s="1679"/>
      <c r="W13" s="1679"/>
      <c r="X13" s="1679"/>
      <c r="Y13" s="1678"/>
      <c r="Z13" s="1679"/>
      <c r="AA13" s="1679"/>
      <c r="AB13" s="1679"/>
      <c r="AC13" s="1679"/>
      <c r="AD13" s="1679"/>
      <c r="AE13" s="1679"/>
      <c r="AF13" s="1679"/>
      <c r="AG13" s="1679"/>
      <c r="AH13" s="1679"/>
      <c r="AI13" s="1679"/>
      <c r="AJ13" s="1679"/>
      <c r="AK13" s="1679"/>
      <c r="AL13" s="1679"/>
      <c r="AM13" s="1679"/>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9" t="s">
        <v>545</v>
      </c>
      <c r="D14" s="1689"/>
      <c r="E14" s="1689"/>
      <c r="F14" s="1689"/>
      <c r="G14" s="1689"/>
      <c r="H14" s="1689"/>
      <c r="I14" s="1689"/>
      <c r="J14" s="1689"/>
      <c r="K14" s="1689"/>
      <c r="L14" s="1689"/>
      <c r="M14" s="1689"/>
      <c r="N14" s="1689"/>
      <c r="O14" s="1689"/>
      <c r="P14" s="1689"/>
      <c r="Q14" s="1689"/>
      <c r="R14" s="1689"/>
      <c r="S14" s="1690"/>
      <c r="T14" s="1676"/>
      <c r="U14" s="1677"/>
      <c r="V14" s="1677"/>
      <c r="W14" s="1677"/>
      <c r="X14" s="1677"/>
      <c r="Y14" s="1676"/>
      <c r="Z14" s="1677"/>
      <c r="AA14" s="1677"/>
      <c r="AB14" s="1677"/>
      <c r="AC14" s="1677"/>
      <c r="AD14" s="1677"/>
      <c r="AE14" s="1677"/>
      <c r="AF14" s="1677"/>
      <c r="AG14" s="1677"/>
      <c r="AH14" s="1677"/>
      <c r="AI14" s="1677"/>
      <c r="AJ14" s="1677"/>
      <c r="AK14" s="1677"/>
      <c r="AL14" s="1677"/>
      <c r="AM14" s="1677"/>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9" t="s">
        <v>546</v>
      </c>
      <c r="D15" s="1689"/>
      <c r="E15" s="1689"/>
      <c r="F15" s="1689"/>
      <c r="G15" s="1689"/>
      <c r="H15" s="1689"/>
      <c r="I15" s="1689"/>
      <c r="J15" s="1689"/>
      <c r="K15" s="1689"/>
      <c r="L15" s="1689"/>
      <c r="M15" s="1689"/>
      <c r="N15" s="1689"/>
      <c r="O15" s="1689"/>
      <c r="P15" s="1689"/>
      <c r="Q15" s="1689"/>
      <c r="R15" s="1689"/>
      <c r="S15" s="1690"/>
      <c r="T15" s="1676"/>
      <c r="U15" s="1677"/>
      <c r="V15" s="1677"/>
      <c r="W15" s="1677"/>
      <c r="X15" s="1677"/>
      <c r="Y15" s="1676"/>
      <c r="Z15" s="1677"/>
      <c r="AA15" s="1677"/>
      <c r="AB15" s="1677"/>
      <c r="AC15" s="1677"/>
      <c r="AD15" s="1677"/>
      <c r="AE15" s="1677"/>
      <c r="AF15" s="1677"/>
      <c r="AG15" s="1677"/>
      <c r="AH15" s="1677"/>
      <c r="AI15" s="1677"/>
      <c r="AJ15" s="1677"/>
      <c r="AK15" s="1677"/>
      <c r="AL15" s="1677"/>
      <c r="AM15" s="1677"/>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9" t="s">
        <v>887</v>
      </c>
      <c r="D16" s="1689"/>
      <c r="E16" s="1689"/>
      <c r="F16" s="1689"/>
      <c r="G16" s="1689"/>
      <c r="H16" s="1689"/>
      <c r="I16" s="1689"/>
      <c r="J16" s="1689"/>
      <c r="K16" s="1689"/>
      <c r="L16" s="1689"/>
      <c r="M16" s="1689"/>
      <c r="N16" s="1689"/>
      <c r="O16" s="1689"/>
      <c r="P16" s="1689"/>
      <c r="Q16" s="1689"/>
      <c r="R16" s="1689"/>
      <c r="S16" s="1690"/>
      <c r="T16" s="1676"/>
      <c r="U16" s="1677"/>
      <c r="V16" s="1677"/>
      <c r="W16" s="1677"/>
      <c r="X16" s="1677"/>
      <c r="Y16" s="1676"/>
      <c r="Z16" s="1677"/>
      <c r="AA16" s="1677"/>
      <c r="AB16" s="1677"/>
      <c r="AC16" s="1677"/>
      <c r="AD16" s="1677"/>
      <c r="AE16" s="1677"/>
      <c r="AF16" s="1677"/>
      <c r="AG16" s="1677"/>
      <c r="AH16" s="1677"/>
      <c r="AI16" s="1677"/>
      <c r="AJ16" s="1677"/>
      <c r="AK16" s="1677"/>
      <c r="AL16" s="1677"/>
      <c r="AM16" s="1677"/>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9" t="s">
        <v>547</v>
      </c>
      <c r="D17" s="1689"/>
      <c r="E17" s="1689"/>
      <c r="F17" s="1689"/>
      <c r="G17" s="1689"/>
      <c r="H17" s="1689"/>
      <c r="I17" s="1689"/>
      <c r="J17" s="1689"/>
      <c r="K17" s="1689"/>
      <c r="L17" s="1689"/>
      <c r="M17" s="1689"/>
      <c r="N17" s="1689"/>
      <c r="O17" s="1689"/>
      <c r="P17" s="1689"/>
      <c r="Q17" s="1689"/>
      <c r="R17" s="1689"/>
      <c r="S17" s="1690"/>
      <c r="T17" s="1676"/>
      <c r="U17" s="1677"/>
      <c r="V17" s="1677"/>
      <c r="W17" s="1677"/>
      <c r="X17" s="1677"/>
      <c r="Y17" s="1676"/>
      <c r="Z17" s="1677"/>
      <c r="AA17" s="1677"/>
      <c r="AB17" s="1677"/>
      <c r="AC17" s="1677"/>
      <c r="AD17" s="1677"/>
      <c r="AE17" s="1677"/>
      <c r="AF17" s="1677"/>
      <c r="AG17" s="1677"/>
      <c r="AH17" s="1677"/>
      <c r="AI17" s="1677"/>
      <c r="AJ17" s="1677"/>
      <c r="AK17" s="1677"/>
      <c r="AL17" s="1677"/>
      <c r="AM17" s="1677"/>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4" t="s">
        <v>1069</v>
      </c>
      <c r="D18" s="1684"/>
      <c r="E18" s="1684"/>
      <c r="F18" s="1684"/>
      <c r="G18" s="1684"/>
      <c r="H18" s="1684"/>
      <c r="I18" s="1684"/>
      <c r="J18" s="1684"/>
      <c r="K18" s="1684"/>
      <c r="L18" s="1684"/>
      <c r="M18" s="1684"/>
      <c r="N18" s="1684"/>
      <c r="O18" s="1684"/>
      <c r="P18" s="1684"/>
      <c r="Q18" s="1684"/>
      <c r="R18" s="1684"/>
      <c r="S18" s="1685"/>
      <c r="T18" s="1676"/>
      <c r="U18" s="1677"/>
      <c r="V18" s="1677"/>
      <c r="W18" s="1677"/>
      <c r="X18" s="1677"/>
      <c r="Y18" s="1676"/>
      <c r="Z18" s="1677"/>
      <c r="AA18" s="1677"/>
      <c r="AB18" s="1677"/>
      <c r="AC18" s="1677"/>
      <c r="AD18" s="1677"/>
      <c r="AE18" s="1677"/>
      <c r="AF18" s="1677"/>
      <c r="AG18" s="1677"/>
      <c r="AH18" s="1677"/>
      <c r="AI18" s="1677"/>
      <c r="AJ18" s="1677"/>
      <c r="AK18" s="1677"/>
      <c r="AL18" s="1677"/>
      <c r="AM18" s="1677"/>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4" t="s">
        <v>1069</v>
      </c>
      <c r="D19" s="1684"/>
      <c r="E19" s="1684"/>
      <c r="F19" s="1684"/>
      <c r="G19" s="1684"/>
      <c r="H19" s="1684"/>
      <c r="I19" s="1684"/>
      <c r="J19" s="1684"/>
      <c r="K19" s="1684"/>
      <c r="L19" s="1684"/>
      <c r="M19" s="1684"/>
      <c r="N19" s="1684"/>
      <c r="O19" s="1684"/>
      <c r="P19" s="1684"/>
      <c r="Q19" s="1684"/>
      <c r="R19" s="1684"/>
      <c r="S19" s="1685"/>
      <c r="T19" s="1676"/>
      <c r="U19" s="1677"/>
      <c r="V19" s="1677"/>
      <c r="W19" s="1677"/>
      <c r="X19" s="1677"/>
      <c r="Y19" s="1676"/>
      <c r="Z19" s="1677"/>
      <c r="AA19" s="1677"/>
      <c r="AB19" s="1677"/>
      <c r="AC19" s="1677"/>
      <c r="AD19" s="1677"/>
      <c r="AE19" s="1677"/>
      <c r="AF19" s="1677"/>
      <c r="AG19" s="1677"/>
      <c r="AH19" s="1677"/>
      <c r="AI19" s="1677"/>
      <c r="AJ19" s="1677"/>
      <c r="AK19" s="1677"/>
      <c r="AL19" s="1677"/>
      <c r="AM19" s="1677"/>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8" t="s">
        <v>548</v>
      </c>
      <c r="C20" s="1639"/>
      <c r="D20" s="1639"/>
      <c r="E20" s="1639"/>
      <c r="F20" s="1639"/>
      <c r="G20" s="1639"/>
      <c r="H20" s="1639"/>
      <c r="I20" s="1639"/>
      <c r="J20" s="1639"/>
      <c r="K20" s="1639"/>
      <c r="L20" s="1639"/>
      <c r="M20" s="1639"/>
      <c r="N20" s="1639"/>
      <c r="O20" s="1639"/>
      <c r="P20" s="1639"/>
      <c r="Q20" s="1639"/>
      <c r="R20" s="1639"/>
      <c r="S20" s="1640"/>
      <c r="T20" s="1656">
        <f>SUM(T13:X19)</f>
        <v>0</v>
      </c>
      <c r="U20" s="1659"/>
      <c r="V20" s="1659"/>
      <c r="W20" s="1659"/>
      <c r="X20" s="1659"/>
      <c r="Y20" s="1656">
        <f>SUM(Y13:AC19)</f>
        <v>0</v>
      </c>
      <c r="Z20" s="1659"/>
      <c r="AA20" s="1659"/>
      <c r="AB20" s="1659"/>
      <c r="AC20" s="1659"/>
      <c r="AD20" s="1654">
        <f>SUM(AD13:AH19)</f>
        <v>0</v>
      </c>
      <c r="AE20" s="1655"/>
      <c r="AF20" s="1655"/>
      <c r="AG20" s="1655"/>
      <c r="AH20" s="1656"/>
      <c r="AI20" s="1654">
        <f>SUM(AI13:AM19)</f>
        <v>0</v>
      </c>
      <c r="AJ20" s="1655"/>
      <c r="AK20" s="1655"/>
      <c r="AL20" s="1655"/>
      <c r="AM20" s="1656"/>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8" t="s">
        <v>1551</v>
      </c>
      <c r="C21" s="1639"/>
      <c r="D21" s="1639"/>
      <c r="E21" s="1639"/>
      <c r="F21" s="1639"/>
      <c r="G21" s="1639"/>
      <c r="H21" s="1639"/>
      <c r="I21" s="1639"/>
      <c r="J21" s="1639"/>
      <c r="K21" s="1639"/>
      <c r="L21" s="1639"/>
      <c r="M21" s="1639"/>
      <c r="N21" s="1639"/>
      <c r="O21" s="1639"/>
      <c r="P21" s="1639"/>
      <c r="Q21" s="1639"/>
      <c r="R21" s="1639"/>
      <c r="S21" s="1640"/>
      <c r="T21" s="1676"/>
      <c r="U21" s="1677"/>
      <c r="V21" s="1677"/>
      <c r="W21" s="1677"/>
      <c r="X21" s="1677"/>
      <c r="Y21" s="1676"/>
      <c r="Z21" s="1677"/>
      <c r="AA21" s="1677"/>
      <c r="AB21" s="1677"/>
      <c r="AC21" s="1677"/>
      <c r="AD21" s="1662"/>
      <c r="AE21" s="1663"/>
      <c r="AF21" s="1663"/>
      <c r="AG21" s="1663"/>
      <c r="AH21" s="1664"/>
      <c r="AI21" s="1662"/>
      <c r="AJ21" s="1663"/>
      <c r="AK21" s="1663"/>
      <c r="AL21" s="1663"/>
      <c r="AM21" s="1664"/>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8" t="s">
        <v>549</v>
      </c>
      <c r="C22" s="1639"/>
      <c r="D22" s="1639"/>
      <c r="E22" s="1639"/>
      <c r="F22" s="1639"/>
      <c r="G22" s="1639"/>
      <c r="H22" s="1639"/>
      <c r="I22" s="1639"/>
      <c r="J22" s="1639"/>
      <c r="K22" s="1639"/>
      <c r="L22" s="1639"/>
      <c r="M22" s="1639"/>
      <c r="N22" s="1639"/>
      <c r="O22" s="1639"/>
      <c r="P22" s="1639"/>
      <c r="Q22" s="1639"/>
      <c r="R22" s="1639"/>
      <c r="S22" s="1640"/>
      <c r="T22" s="1672">
        <f>(T20+T21)*-1</f>
        <v>0</v>
      </c>
      <c r="U22" s="1673"/>
      <c r="V22" s="1673"/>
      <c r="W22" s="1673"/>
      <c r="X22" s="1673"/>
      <c r="Y22" s="1672">
        <f>(Y20+Y21)*-1</f>
        <v>0</v>
      </c>
      <c r="Z22" s="1673"/>
      <c r="AA22" s="1673"/>
      <c r="AB22" s="1673"/>
      <c r="AC22" s="1673"/>
      <c r="AD22" s="1674">
        <f>(AD20)*-1</f>
        <v>0</v>
      </c>
      <c r="AE22" s="1675"/>
      <c r="AF22" s="1675"/>
      <c r="AG22" s="1675"/>
      <c r="AH22" s="1672"/>
      <c r="AI22" s="1674">
        <f>(AI20)*-1</f>
        <v>0</v>
      </c>
      <c r="AJ22" s="1675"/>
      <c r="AK22" s="1675"/>
      <c r="AL22" s="1675"/>
      <c r="AM22" s="1672"/>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3" t="s">
        <v>550</v>
      </c>
      <c r="C23" s="1694"/>
      <c r="D23" s="1694"/>
      <c r="E23" s="1694"/>
      <c r="F23" s="1694"/>
      <c r="G23" s="1694"/>
      <c r="H23" s="1694"/>
      <c r="I23" s="1694"/>
      <c r="J23" s="1694"/>
      <c r="K23" s="1694"/>
      <c r="L23" s="1694"/>
      <c r="M23" s="1694"/>
      <c r="N23" s="1694"/>
      <c r="O23" s="1694"/>
      <c r="P23" s="1694"/>
      <c r="Q23" s="1694"/>
      <c r="R23" s="1694"/>
      <c r="S23" s="1695"/>
      <c r="T23" s="1656">
        <f>T11+T22</f>
        <v>24629357</v>
      </c>
      <c r="U23" s="1659"/>
      <c r="V23" s="1659"/>
      <c r="W23" s="1659"/>
      <c r="X23" s="1659"/>
      <c r="Y23" s="1656">
        <f>Y11+Y22</f>
        <v>0</v>
      </c>
      <c r="Z23" s="1659"/>
      <c r="AA23" s="1659"/>
      <c r="AB23" s="1659"/>
      <c r="AC23" s="1659"/>
      <c r="AD23" s="1656">
        <f>AD11+AD22</f>
        <v>0</v>
      </c>
      <c r="AE23" s="1659"/>
      <c r="AF23" s="1659"/>
      <c r="AG23" s="1659"/>
      <c r="AH23" s="1659"/>
      <c r="AI23" s="1656">
        <f>AI11+AI22</f>
        <v>0</v>
      </c>
      <c r="AJ23" s="1659"/>
      <c r="AK23" s="1659"/>
      <c r="AL23" s="1659"/>
      <c r="AM23" s="1659"/>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8" t="s">
        <v>1070</v>
      </c>
      <c r="C24" s="1639"/>
      <c r="D24" s="1639"/>
      <c r="E24" s="1639"/>
      <c r="F24" s="1639"/>
      <c r="G24" s="1639"/>
      <c r="H24" s="1639"/>
      <c r="I24" s="1639"/>
      <c r="J24" s="1639"/>
      <c r="K24" s="1639"/>
      <c r="L24" s="1639"/>
      <c r="M24" s="1639"/>
      <c r="N24" s="1639"/>
      <c r="O24" s="1639"/>
      <c r="P24" s="1639"/>
      <c r="Q24" s="1639"/>
      <c r="R24" s="1639"/>
      <c r="S24" s="1640"/>
      <c r="T24" s="1654">
        <f>Application!AD1004</f>
        <v>39821704</v>
      </c>
      <c r="U24" s="1655"/>
      <c r="V24" s="1655"/>
      <c r="W24" s="1655"/>
      <c r="X24" s="1655"/>
      <c r="Y24" s="1655"/>
      <c r="Z24" s="1655"/>
      <c r="AA24" s="1655"/>
      <c r="AB24" s="1655"/>
      <c r="AC24" s="1655"/>
      <c r="AD24" s="1655"/>
      <c r="AE24" s="1655"/>
      <c r="AF24" s="1655"/>
      <c r="AG24" s="1655"/>
      <c r="AH24" s="1655"/>
      <c r="AI24" s="1655"/>
      <c r="AJ24" s="1655"/>
      <c r="AK24" s="1655"/>
      <c r="AL24" s="1655"/>
      <c r="AM24" s="1656"/>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7" t="s">
        <v>1552</v>
      </c>
      <c r="C25" s="1698"/>
      <c r="D25" s="1698"/>
      <c r="E25" s="1698"/>
      <c r="F25" s="1698"/>
      <c r="G25" s="1698"/>
      <c r="H25" s="1698"/>
      <c r="I25" s="1698"/>
      <c r="J25" s="1698"/>
      <c r="K25" s="1698"/>
      <c r="L25" s="1698"/>
      <c r="M25" s="1698"/>
      <c r="N25" s="1698"/>
      <c r="O25" s="1698"/>
      <c r="P25" s="1698"/>
      <c r="Q25" s="1698"/>
      <c r="R25" s="1698"/>
      <c r="S25" s="1699"/>
      <c r="T25" s="1667">
        <f>IF(OR(Application!T196="yes",Application!T195="yes"),1.3,1)</f>
        <v>1.3</v>
      </c>
      <c r="U25" s="1668"/>
      <c r="V25" s="1668"/>
      <c r="W25" s="1668"/>
      <c r="X25" s="1668"/>
      <c r="Y25" s="1667">
        <v>1</v>
      </c>
      <c r="Z25" s="1668"/>
      <c r="AA25" s="1668"/>
      <c r="AB25" s="1668"/>
      <c r="AC25" s="1668"/>
      <c r="AD25" s="1667">
        <v>1</v>
      </c>
      <c r="AE25" s="1668"/>
      <c r="AF25" s="1668"/>
      <c r="AG25" s="1668"/>
      <c r="AH25" s="1669"/>
      <c r="AI25" s="1667">
        <v>1</v>
      </c>
      <c r="AJ25" s="1668"/>
      <c r="AK25" s="1668"/>
      <c r="AL25" s="1668"/>
      <c r="AM25" s="1669"/>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8" t="s">
        <v>551</v>
      </c>
      <c r="C26" s="1639"/>
      <c r="D26" s="1639"/>
      <c r="E26" s="1639"/>
      <c r="F26" s="1639"/>
      <c r="G26" s="1639"/>
      <c r="H26" s="1639"/>
      <c r="I26" s="1639"/>
      <c r="J26" s="1639"/>
      <c r="K26" s="1639"/>
      <c r="L26" s="1639"/>
      <c r="M26" s="1639"/>
      <c r="N26" s="1639"/>
      <c r="O26" s="1639"/>
      <c r="P26" s="1639"/>
      <c r="Q26" s="1639"/>
      <c r="R26" s="1639"/>
      <c r="S26" s="1640"/>
      <c r="T26" s="1670">
        <f>T23*T25</f>
        <v>32018164.100000001</v>
      </c>
      <c r="U26" s="1671"/>
      <c r="V26" s="1671"/>
      <c r="W26" s="1671"/>
      <c r="X26" s="1671"/>
      <c r="Y26" s="1670">
        <f>Y23*Y25</f>
        <v>0</v>
      </c>
      <c r="Z26" s="1671"/>
      <c r="AA26" s="1671"/>
      <c r="AB26" s="1671"/>
      <c r="AC26" s="1671"/>
      <c r="AD26" s="1670">
        <f>AD23*AD25</f>
        <v>0</v>
      </c>
      <c r="AE26" s="1671"/>
      <c r="AF26" s="1671"/>
      <c r="AG26" s="1671"/>
      <c r="AH26" s="1671"/>
      <c r="AI26" s="1670">
        <f>AI23*AI25</f>
        <v>0</v>
      </c>
      <c r="AJ26" s="1671"/>
      <c r="AK26" s="1671"/>
      <c r="AL26" s="1671"/>
      <c r="AM26" s="1671"/>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00" t="s">
        <v>461</v>
      </c>
      <c r="C27" s="1701"/>
      <c r="D27" s="1701"/>
      <c r="E27" s="1701"/>
      <c r="F27" s="1701"/>
      <c r="G27" s="1701"/>
      <c r="H27" s="1701"/>
      <c r="I27" s="1701"/>
      <c r="J27" s="1701"/>
      <c r="K27" s="1701"/>
      <c r="L27" s="1701"/>
      <c r="M27" s="1701"/>
      <c r="N27" s="1701"/>
      <c r="O27" s="1701"/>
      <c r="P27" s="1701"/>
      <c r="Q27" s="1701"/>
      <c r="R27" s="1701"/>
      <c r="S27" s="1702"/>
      <c r="T27" s="1665">
        <f>Application!$AG$432</f>
        <v>1</v>
      </c>
      <c r="U27" s="1666"/>
      <c r="V27" s="1666"/>
      <c r="W27" s="1666"/>
      <c r="X27" s="1666"/>
      <c r="Y27" s="1665">
        <f>Application!$AG$432</f>
        <v>1</v>
      </c>
      <c r="Z27" s="1666"/>
      <c r="AA27" s="1666"/>
      <c r="AB27" s="1666"/>
      <c r="AC27" s="1666"/>
      <c r="AD27" s="1665">
        <f>Application!$AG$432</f>
        <v>1</v>
      </c>
      <c r="AE27" s="1666"/>
      <c r="AF27" s="1666"/>
      <c r="AG27" s="1666"/>
      <c r="AH27" s="1666"/>
      <c r="AI27" s="1665">
        <f>Application!$AG$432</f>
        <v>1</v>
      </c>
      <c r="AJ27" s="1666"/>
      <c r="AK27" s="1666"/>
      <c r="AL27" s="1666"/>
      <c r="AM27" s="1666"/>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8" t="s">
        <v>552</v>
      </c>
      <c r="C28" s="1639"/>
      <c r="D28" s="1639"/>
      <c r="E28" s="1639"/>
      <c r="F28" s="1639"/>
      <c r="G28" s="1639"/>
      <c r="H28" s="1639"/>
      <c r="I28" s="1639"/>
      <c r="J28" s="1639"/>
      <c r="K28" s="1639"/>
      <c r="L28" s="1639"/>
      <c r="M28" s="1639"/>
      <c r="N28" s="1639"/>
      <c r="O28" s="1639"/>
      <c r="P28" s="1639"/>
      <c r="Q28" s="1639"/>
      <c r="R28" s="1639"/>
      <c r="S28" s="1640"/>
      <c r="T28" s="1636">
        <f>IF(ISERROR((T26*T27)),0,(T26*T27))</f>
        <v>32018164.100000001</v>
      </c>
      <c r="U28" s="1637"/>
      <c r="V28" s="1637"/>
      <c r="W28" s="1637"/>
      <c r="X28" s="1637"/>
      <c r="Y28" s="1636">
        <f>IF(ISERROR((Y26*Y27)),0,(Y26*Y27))</f>
        <v>0</v>
      </c>
      <c r="Z28" s="1637"/>
      <c r="AA28" s="1637"/>
      <c r="AB28" s="1637"/>
      <c r="AC28" s="1637"/>
      <c r="AD28" s="1636">
        <f>IF(ISERROR((AD26*AD27)),0,(AD26*AD27))</f>
        <v>0</v>
      </c>
      <c r="AE28" s="1637"/>
      <c r="AF28" s="1637"/>
      <c r="AG28" s="1637"/>
      <c r="AH28" s="1637"/>
      <c r="AI28" s="1636">
        <f>IF(ISERROR((AI26*AI27)),0,(AI26*AI27))</f>
        <v>0</v>
      </c>
      <c r="AJ28" s="1637"/>
      <c r="AK28" s="1637"/>
      <c r="AL28" s="1637"/>
      <c r="AM28" s="1637"/>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8" t="s">
        <v>569</v>
      </c>
      <c r="C29" s="1639"/>
      <c r="D29" s="1639"/>
      <c r="E29" s="1639"/>
      <c r="F29" s="1639"/>
      <c r="G29" s="1639"/>
      <c r="H29" s="1639"/>
      <c r="I29" s="1639"/>
      <c r="J29" s="1639"/>
      <c r="K29" s="1639"/>
      <c r="L29" s="1639"/>
      <c r="M29" s="1639"/>
      <c r="N29" s="1639"/>
      <c r="O29" s="1639"/>
      <c r="P29" s="1639"/>
      <c r="Q29" s="1639"/>
      <c r="R29" s="1639"/>
      <c r="S29" s="1640"/>
      <c r="T29" s="1654">
        <f>T28+Y28+AD28+AI28</f>
        <v>32018164.100000001</v>
      </c>
      <c r="U29" s="1655"/>
      <c r="V29" s="1655"/>
      <c r="W29" s="1655"/>
      <c r="X29" s="1655"/>
      <c r="Y29" s="1655"/>
      <c r="Z29" s="1655"/>
      <c r="AA29" s="1655"/>
      <c r="AB29" s="1655"/>
      <c r="AC29" s="1655"/>
      <c r="AD29" s="1655"/>
      <c r="AE29" s="1655"/>
      <c r="AF29" s="1655"/>
      <c r="AG29" s="1655"/>
      <c r="AH29" s="1655"/>
      <c r="AI29" s="1655"/>
      <c r="AJ29" s="1655"/>
      <c r="AK29" s="1655"/>
      <c r="AL29" s="1655"/>
      <c r="AM29" s="1656"/>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61" t="s">
        <v>1556</v>
      </c>
      <c r="C30" s="1661"/>
      <c r="D30" s="1661"/>
      <c r="E30" s="1661"/>
      <c r="F30" s="1661"/>
      <c r="G30" s="1661"/>
      <c r="H30" s="1661"/>
      <c r="I30" s="1661"/>
      <c r="J30" s="1661"/>
      <c r="K30" s="1661"/>
      <c r="L30" s="1661"/>
      <c r="M30" s="1661"/>
      <c r="N30" s="1661"/>
      <c r="O30" s="1661"/>
      <c r="P30" s="1661"/>
      <c r="Q30" s="1661"/>
      <c r="R30" s="1661"/>
      <c r="S30" s="1661"/>
      <c r="T30" s="1661"/>
      <c r="U30" s="1661"/>
      <c r="V30" s="1661"/>
      <c r="W30" s="1661"/>
      <c r="X30" s="1661"/>
      <c r="Y30" s="1661"/>
      <c r="Z30" s="1661"/>
      <c r="AA30" s="1661"/>
      <c r="AB30" s="1661"/>
      <c r="AC30" s="1661"/>
      <c r="AD30" s="1661"/>
      <c r="AE30" s="1661"/>
      <c r="AF30" s="1661"/>
      <c r="AG30" s="1661"/>
      <c r="AH30" s="1661"/>
      <c r="AI30" s="1661"/>
      <c r="AJ30" s="1661"/>
      <c r="AK30" s="1661"/>
      <c r="AL30" s="1661"/>
      <c r="AM30" s="1661"/>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61" t="s">
        <v>1553</v>
      </c>
      <c r="C31" s="1661"/>
      <c r="D31" s="1661"/>
      <c r="E31" s="1661"/>
      <c r="F31" s="1661"/>
      <c r="G31" s="1661"/>
      <c r="H31" s="1661"/>
      <c r="I31" s="1661"/>
      <c r="J31" s="1661"/>
      <c r="K31" s="1661"/>
      <c r="L31" s="1661"/>
      <c r="M31" s="1661"/>
      <c r="N31" s="1661"/>
      <c r="O31" s="1661"/>
      <c r="P31" s="1661"/>
      <c r="Q31" s="1661"/>
      <c r="R31" s="1661"/>
      <c r="S31" s="1661"/>
      <c r="T31" s="1661"/>
      <c r="U31" s="1661"/>
      <c r="V31" s="1661"/>
      <c r="W31" s="1661"/>
      <c r="X31" s="1661"/>
      <c r="Y31" s="1661"/>
      <c r="Z31" s="1661"/>
      <c r="AA31" s="1661"/>
      <c r="AB31" s="1661"/>
      <c r="AC31" s="1661"/>
      <c r="AD31" s="1661"/>
      <c r="AE31" s="1661"/>
      <c r="AF31" s="1661"/>
      <c r="AG31" s="1661"/>
      <c r="AH31" s="1661"/>
      <c r="AI31" s="1661"/>
      <c r="AJ31" s="1661"/>
      <c r="AK31" s="1661"/>
      <c r="AL31" s="1661"/>
      <c r="AM31" s="1661"/>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7" t="s">
        <v>1386</v>
      </c>
      <c r="Z35" s="1657"/>
      <c r="AA35" s="1657"/>
      <c r="AB35" s="1657"/>
      <c r="AC35" s="1657"/>
      <c r="AD35" s="1658" t="s">
        <v>394</v>
      </c>
      <c r="AE35" s="1658"/>
      <c r="AF35" s="1658"/>
      <c r="AG35" s="1658"/>
      <c r="AH35" s="1658"/>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7"/>
      <c r="Z36" s="1657"/>
      <c r="AA36" s="1657"/>
      <c r="AB36" s="1657"/>
      <c r="AC36" s="1657"/>
      <c r="AD36" s="1658"/>
      <c r="AE36" s="1658"/>
      <c r="AF36" s="1658"/>
      <c r="AG36" s="1658"/>
      <c r="AH36" s="1658"/>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7"/>
      <c r="Z37" s="1657"/>
      <c r="AA37" s="1657"/>
      <c r="AB37" s="1657"/>
      <c r="AC37" s="1657"/>
      <c r="AD37" s="1658"/>
      <c r="AE37" s="1658"/>
      <c r="AF37" s="1658"/>
      <c r="AG37" s="1658"/>
      <c r="AH37" s="1658"/>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8" t="s">
        <v>552</v>
      </c>
      <c r="C38" s="1639"/>
      <c r="D38" s="1639"/>
      <c r="E38" s="1639"/>
      <c r="F38" s="1639"/>
      <c r="G38" s="1639"/>
      <c r="H38" s="1639"/>
      <c r="I38" s="1639"/>
      <c r="J38" s="1639"/>
      <c r="K38" s="1639"/>
      <c r="L38" s="1639"/>
      <c r="M38" s="1639"/>
      <c r="N38" s="1639"/>
      <c r="O38" s="1639"/>
      <c r="P38" s="1639"/>
      <c r="Q38" s="1639"/>
      <c r="R38" s="1639"/>
      <c r="S38" s="1639"/>
      <c r="T38" s="1639"/>
      <c r="U38" s="1639"/>
      <c r="V38" s="1639"/>
      <c r="W38" s="1639"/>
      <c r="X38" s="1640"/>
      <c r="Y38" s="1659">
        <f>IF(T24&gt;=(T23+Y23+AD23+AI23),T28+Y28,0)</f>
        <v>32018164.100000001</v>
      </c>
      <c r="Z38" s="1659"/>
      <c r="AA38" s="1659"/>
      <c r="AB38" s="1659"/>
      <c r="AC38" s="1659"/>
      <c r="AD38" s="1659">
        <f>IF(T24&gt;=(T23+Y23+AD23+AI23),AD28+AI28,0)</f>
        <v>0</v>
      </c>
      <c r="AE38" s="1659"/>
      <c r="AF38" s="1659"/>
      <c r="AG38" s="1659"/>
      <c r="AH38" s="1659"/>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8" t="s">
        <v>1554</v>
      </c>
      <c r="C39" s="1639"/>
      <c r="D39" s="1639"/>
      <c r="E39" s="1639"/>
      <c r="F39" s="1639"/>
      <c r="G39" s="1639"/>
      <c r="H39" s="1639"/>
      <c r="I39" s="1639"/>
      <c r="J39" s="1639"/>
      <c r="K39" s="1639"/>
      <c r="L39" s="1639"/>
      <c r="M39" s="1639"/>
      <c r="N39" s="1639"/>
      <c r="O39" s="1639"/>
      <c r="P39" s="1639"/>
      <c r="Q39" s="1639"/>
      <c r="R39" s="1639"/>
      <c r="S39" s="1639"/>
      <c r="T39" s="1639"/>
      <c r="U39" s="1639"/>
      <c r="V39" s="1639"/>
      <c r="W39" s="1639"/>
      <c r="X39" s="1640"/>
      <c r="Y39" s="1660">
        <v>3.2399999999999998E-2</v>
      </c>
      <c r="Z39" s="1660"/>
      <c r="AA39" s="1660"/>
      <c r="AB39" s="1660"/>
      <c r="AC39" s="1660"/>
      <c r="AD39" s="1660">
        <v>3.2399999999999998E-2</v>
      </c>
      <c r="AE39" s="1660"/>
      <c r="AF39" s="1660"/>
      <c r="AG39" s="1660"/>
      <c r="AH39" s="1660"/>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8" t="s">
        <v>692</v>
      </c>
      <c r="C40" s="1639"/>
      <c r="D40" s="1639"/>
      <c r="E40" s="1639"/>
      <c r="F40" s="1639"/>
      <c r="G40" s="1639"/>
      <c r="H40" s="1639"/>
      <c r="I40" s="1639"/>
      <c r="J40" s="1639"/>
      <c r="K40" s="1639"/>
      <c r="L40" s="1639"/>
      <c r="M40" s="1639"/>
      <c r="N40" s="1639"/>
      <c r="O40" s="1639"/>
      <c r="P40" s="1639"/>
      <c r="Q40" s="1639"/>
      <c r="R40" s="1639"/>
      <c r="S40" s="1639"/>
      <c r="T40" s="1639"/>
      <c r="U40" s="1639"/>
      <c r="V40" s="1639"/>
      <c r="W40" s="1639"/>
      <c r="X40" s="1640"/>
      <c r="Y40" s="1659">
        <f>ROUND(Y38*Y39,0)</f>
        <v>1037389</v>
      </c>
      <c r="Z40" s="1659"/>
      <c r="AA40" s="1659"/>
      <c r="AB40" s="1659"/>
      <c r="AC40" s="1659"/>
      <c r="AD40" s="1656">
        <f>ROUND(AD38*AD39,0)</f>
        <v>0</v>
      </c>
      <c r="AE40" s="1659"/>
      <c r="AF40" s="1659"/>
      <c r="AG40" s="1659"/>
      <c r="AH40" s="1659"/>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8" t="s">
        <v>693</v>
      </c>
      <c r="C41" s="1639"/>
      <c r="D41" s="1639"/>
      <c r="E41" s="1639"/>
      <c r="F41" s="1639"/>
      <c r="G41" s="1639"/>
      <c r="H41" s="1639"/>
      <c r="I41" s="1639"/>
      <c r="J41" s="1639"/>
      <c r="K41" s="1639"/>
      <c r="L41" s="1639"/>
      <c r="M41" s="1639"/>
      <c r="N41" s="1639"/>
      <c r="O41" s="1639"/>
      <c r="P41" s="1639"/>
      <c r="Q41" s="1639"/>
      <c r="R41" s="1639"/>
      <c r="S41" s="1639"/>
      <c r="T41" s="1639"/>
      <c r="U41" s="1639"/>
      <c r="V41" s="1639"/>
      <c r="W41" s="1639"/>
      <c r="X41" s="1640"/>
      <c r="Y41" s="1703">
        <f>Y40+AD40</f>
        <v>1037389</v>
      </c>
      <c r="Z41" s="1704"/>
      <c r="AA41" s="1704"/>
      <c r="AB41" s="1704"/>
      <c r="AC41" s="1704"/>
      <c r="AD41" s="1704"/>
      <c r="AE41" s="1704"/>
      <c r="AF41" s="1704"/>
      <c r="AG41" s="1704"/>
      <c r="AH41" s="1705"/>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6" t="s">
        <v>1555</v>
      </c>
      <c r="C42" s="1696"/>
      <c r="D42" s="1696"/>
      <c r="E42" s="1696"/>
      <c r="F42" s="1696"/>
      <c r="G42" s="1696"/>
      <c r="H42" s="1696"/>
      <c r="I42" s="1696"/>
      <c r="J42" s="1696"/>
      <c r="K42" s="1696"/>
      <c r="L42" s="1696"/>
      <c r="M42" s="1696"/>
      <c r="N42" s="1696"/>
      <c r="O42" s="1696"/>
      <c r="P42" s="1696"/>
      <c r="Q42" s="1696"/>
      <c r="R42" s="1696"/>
      <c r="S42" s="1696"/>
      <c r="T42" s="1696"/>
      <c r="U42" s="1696"/>
      <c r="V42" s="1696"/>
      <c r="W42" s="1696"/>
      <c r="X42" s="1696"/>
      <c r="Y42" s="1696"/>
      <c r="Z42" s="1696"/>
      <c r="AA42" s="1696"/>
      <c r="AB42" s="1696"/>
      <c r="AC42" s="1696"/>
      <c r="AD42" s="1696"/>
      <c r="AE42" s="1696"/>
      <c r="AF42" s="1696"/>
      <c r="AG42" s="1696"/>
      <c r="AH42" s="1696"/>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3" t="s">
        <v>1586</v>
      </c>
      <c r="B44" s="1653"/>
      <c r="C44" s="1653"/>
      <c r="D44" s="1653"/>
      <c r="E44" s="1653"/>
      <c r="F44" s="1653"/>
      <c r="G44" s="1653"/>
      <c r="H44" s="1653"/>
      <c r="I44" s="1653"/>
      <c r="J44" s="1653"/>
      <c r="K44" s="1653"/>
      <c r="L44" s="1653"/>
      <c r="M44" s="1653"/>
      <c r="N44" s="1653"/>
      <c r="O44" s="1653"/>
      <c r="P44" s="1653"/>
      <c r="Q44" s="1653"/>
      <c r="R44" s="1653"/>
      <c r="S44" s="1653"/>
      <c r="T44" s="1653"/>
      <c r="U44" s="1653"/>
      <c r="V44" s="1653"/>
      <c r="W44" s="1653"/>
      <c r="X44" s="1653"/>
      <c r="Y44" s="1653"/>
      <c r="Z44" s="1653"/>
      <c r="AA44" s="1653"/>
      <c r="AB44" s="1653"/>
      <c r="AC44" s="1653"/>
      <c r="AD44" s="1653"/>
      <c r="AE44" s="1653"/>
      <c r="AF44" s="1653"/>
      <c r="AG44" s="1653"/>
      <c r="AH44" s="1653"/>
      <c r="AI44" s="1653"/>
      <c r="AJ44" s="1653"/>
      <c r="AK44" s="1653"/>
      <c r="AL44" s="1653"/>
      <c r="AM44" s="1653"/>
      <c r="AN44" s="1653"/>
      <c r="AO44" s="1653"/>
      <c r="AP44" s="1653"/>
      <c r="AQ44" s="1653"/>
      <c r="AR44" s="1653"/>
      <c r="AS44" s="1653"/>
      <c r="AT44" s="1653"/>
      <c r="AU44" s="1653"/>
      <c r="AV44" s="1653"/>
      <c r="AW44" s="1653"/>
      <c r="AX44" s="1653"/>
      <c r="AY44" s="1653"/>
      <c r="AZ44" s="1653"/>
      <c r="BA44" s="1653"/>
      <c r="BB44" s="1653"/>
      <c r="BC44" s="1653"/>
      <c r="BD44" s="1653"/>
      <c r="BE44" s="1653"/>
      <c r="BF44" s="1653"/>
      <c r="BG44" s="1653"/>
      <c r="BH44" s="1653"/>
      <c r="BI44" s="1653"/>
      <c r="BJ44" s="1653"/>
      <c r="BK44" s="1653"/>
      <c r="BL44" s="1653"/>
      <c r="BM44" s="1653"/>
      <c r="BN44" s="1653"/>
      <c r="BO44" s="1653"/>
      <c r="BP44" s="1653"/>
      <c r="BQ44" s="1653"/>
      <c r="BR44" s="1653"/>
      <c r="BS44" s="1653"/>
      <c r="BT44" s="1653"/>
      <c r="BU44" s="1653"/>
      <c r="BV44" s="1653"/>
      <c r="BW44" s="1653"/>
      <c r="BX44" s="1653"/>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7">
        <f>'Sources and Uses Budget'!B105-'Sources and Uses Budget'!B15</f>
        <v>27559987</v>
      </c>
      <c r="AC47" s="1648"/>
      <c r="AD47" s="1648"/>
      <c r="AE47" s="1648"/>
      <c r="AF47" s="1649"/>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7">
        <f>Application!AG630-MIN('Sources and Uses Budget'!B15,Application!AG390)</f>
        <v>17906050</v>
      </c>
      <c r="AC48" s="1648"/>
      <c r="AD48" s="1648"/>
      <c r="AE48" s="1648"/>
      <c r="AF48" s="1649"/>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7">
        <f>AB47-AB48</f>
        <v>9653937</v>
      </c>
      <c r="AC49" s="1648"/>
      <c r="AD49" s="1648"/>
      <c r="AE49" s="1648"/>
      <c r="AF49" s="1649"/>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2">
        <f>0.94*0.99</f>
        <v>0.93059999999999998</v>
      </c>
      <c r="AC50" s="1633"/>
      <c r="AD50" s="1633"/>
      <c r="AE50" s="1633"/>
      <c r="AF50" s="1634"/>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6" t="s">
        <v>1182</v>
      </c>
      <c r="F51" s="1646"/>
      <c r="G51" s="1646"/>
      <c r="H51" s="1646"/>
      <c r="I51" s="1646"/>
      <c r="J51" s="1646"/>
      <c r="K51" s="1646"/>
      <c r="L51" s="1646"/>
      <c r="M51" s="1646"/>
      <c r="N51" s="1646"/>
      <c r="O51" s="1646"/>
      <c r="P51" s="1646"/>
      <c r="Q51" s="1646"/>
      <c r="R51" s="1646"/>
      <c r="S51" s="1646"/>
      <c r="T51" s="1646"/>
      <c r="U51" s="1646"/>
      <c r="V51" s="1646"/>
      <c r="W51" s="1646"/>
      <c r="X51" s="1646"/>
      <c r="Y51" s="1646"/>
      <c r="Z51" s="1646"/>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6"/>
      <c r="F52" s="1646"/>
      <c r="G52" s="1646"/>
      <c r="H52" s="1646"/>
      <c r="I52" s="1646"/>
      <c r="J52" s="1646"/>
      <c r="K52" s="1646"/>
      <c r="L52" s="1646"/>
      <c r="M52" s="1646"/>
      <c r="N52" s="1646"/>
      <c r="O52" s="1646"/>
      <c r="P52" s="1646"/>
      <c r="Q52" s="1646"/>
      <c r="R52" s="1646"/>
      <c r="S52" s="1646"/>
      <c r="T52" s="1646"/>
      <c r="U52" s="1646"/>
      <c r="V52" s="1646"/>
      <c r="W52" s="1646"/>
      <c r="X52" s="1646"/>
      <c r="Y52" s="1646"/>
      <c r="Z52" s="1646"/>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7">
        <f>ROUND(IF(ISERROR((AB49/AB50)),0,(AB49/AB50)),0)</f>
        <v>10373885</v>
      </c>
      <c r="AC54" s="1648"/>
      <c r="AD54" s="1648"/>
      <c r="AE54" s="1648"/>
      <c r="AF54" s="1649"/>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7">
        <f>(AB54/10)</f>
        <v>1037388.5</v>
      </c>
      <c r="AC55" s="1648"/>
      <c r="AD55" s="1648"/>
      <c r="AE55" s="1648"/>
      <c r="AF55" s="1649"/>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50">
        <f>(IF((Y41&lt;AB55),Y41,AB55))</f>
        <v>1037388.5</v>
      </c>
      <c r="AC56" s="1651"/>
      <c r="AD56" s="1651"/>
      <c r="AE56" s="1651"/>
      <c r="AF56" s="1652"/>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7">
        <f>ROUND((10*AB56*AB50),0)</f>
        <v>9653937</v>
      </c>
      <c r="AC57" s="1648"/>
      <c r="AD57" s="1648"/>
      <c r="AE57" s="1648"/>
      <c r="AF57" s="1649"/>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8">
        <f>AB49-AB57</f>
        <v>0</v>
      </c>
      <c r="AC59" s="1628"/>
      <c r="AD59" s="1628"/>
      <c r="AE59" s="1628"/>
      <c r="AF59" s="1628"/>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3" t="str">
        <f>IF(Application!AF204="yes","Farmworker State Credit", "$500M State Credit" )</f>
        <v>$500M State Credit</v>
      </c>
      <c r="B61" s="1653"/>
      <c r="C61" s="1653"/>
      <c r="D61" s="1653"/>
      <c r="E61" s="1653"/>
      <c r="F61" s="1653"/>
      <c r="G61" s="1653"/>
      <c r="H61" s="1653"/>
      <c r="I61" s="1653"/>
      <c r="J61" s="1653"/>
      <c r="K61" s="1653"/>
      <c r="L61" s="1653"/>
      <c r="M61" s="1653"/>
      <c r="N61" s="1653"/>
      <c r="O61" s="1653"/>
      <c r="P61" s="1653"/>
      <c r="Q61" s="1653"/>
      <c r="R61" s="1653"/>
      <c r="S61" s="1653"/>
      <c r="T61" s="1653"/>
      <c r="U61" s="1653"/>
      <c r="V61" s="1653"/>
      <c r="W61" s="1653"/>
      <c r="X61" s="1653"/>
      <c r="Y61" s="1653"/>
      <c r="Z61" s="1653"/>
      <c r="AA61" s="1653"/>
      <c r="AB61" s="1653"/>
      <c r="AC61" s="1653"/>
      <c r="AD61" s="1653"/>
      <c r="AE61" s="1653"/>
      <c r="AF61" s="1653"/>
      <c r="AG61" s="1653"/>
      <c r="AH61" s="1653"/>
      <c r="AI61" s="1653"/>
      <c r="AJ61" s="1653"/>
      <c r="AK61" s="1653"/>
      <c r="AL61" s="1653"/>
      <c r="AM61" s="1653"/>
      <c r="AN61" s="1653"/>
      <c r="AO61" s="1653"/>
      <c r="AP61" s="1653"/>
      <c r="AQ61" s="1653"/>
      <c r="AR61" s="1653"/>
      <c r="AS61" s="1653"/>
      <c r="AT61" s="1653"/>
      <c r="AU61" s="1653"/>
      <c r="AV61" s="1653"/>
      <c r="AW61" s="1653"/>
      <c r="AX61" s="1653"/>
      <c r="AY61" s="1653"/>
      <c r="AZ61" s="1653"/>
      <c r="BA61" s="1653"/>
      <c r="BB61" s="1653"/>
      <c r="BC61" s="1653"/>
      <c r="BD61" s="1653"/>
      <c r="BE61" s="1653"/>
      <c r="BF61" s="1653"/>
      <c r="BG61" s="1653"/>
      <c r="BH61" s="1653"/>
      <c r="BI61" s="1653"/>
      <c r="BJ61" s="1653"/>
      <c r="BK61" s="1653"/>
      <c r="BL61" s="1653"/>
      <c r="BM61" s="1653"/>
      <c r="BN61" s="1653"/>
      <c r="BO61" s="1653"/>
      <c r="BP61" s="1653"/>
      <c r="BQ61" s="1653"/>
      <c r="BR61" s="1653"/>
      <c r="BS61" s="1653"/>
      <c r="BT61" s="1653"/>
      <c r="BU61" s="1653"/>
      <c r="BV61" s="1653"/>
      <c r="BW61" s="1653"/>
      <c r="BX61" s="1653"/>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41" t="s">
        <v>1101</v>
      </c>
      <c r="Z63" s="1641"/>
      <c r="AA63" s="1641"/>
      <c r="AB63" s="1641"/>
      <c r="AC63" s="1641"/>
      <c r="AD63" s="1641" t="s">
        <v>394</v>
      </c>
      <c r="AE63" s="1641"/>
      <c r="AF63" s="1641"/>
      <c r="AG63" s="1641"/>
      <c r="AH63" s="1641"/>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42">
        <f>IF(OR(Application!M350="yes",Application!AF204="yes"),(T23*T27)+Y28,0)</f>
        <v>24629357</v>
      </c>
      <c r="Z64" s="1643"/>
      <c r="AA64" s="1643"/>
      <c r="AB64" s="1643"/>
      <c r="AC64" s="1644"/>
      <c r="AD64" s="1642">
        <f>IF(AND(Application!AF204="yes",Application!M353="yes"),AD28+AI28,0)</f>
        <v>0</v>
      </c>
      <c r="AE64" s="1643"/>
      <c r="AF64" s="1643"/>
      <c r="AG64" s="1643"/>
      <c r="AH64" s="1644"/>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5" t="s">
        <v>1536</v>
      </c>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5"/>
      <c r="F66" s="1645"/>
      <c r="G66" s="1645"/>
      <c r="H66" s="1645"/>
      <c r="I66" s="1645"/>
      <c r="J66" s="1645"/>
      <c r="K66" s="1645"/>
      <c r="L66" s="1645"/>
      <c r="M66" s="1645"/>
      <c r="N66" s="1645"/>
      <c r="O66" s="1645"/>
      <c r="P66" s="1645"/>
      <c r="Q66" s="1645"/>
      <c r="R66" s="1645"/>
      <c r="S66" s="1645"/>
      <c r="T66" s="1645"/>
      <c r="U66" s="1645"/>
      <c r="V66" s="1645"/>
      <c r="W66" s="1645"/>
      <c r="X66" s="1645"/>
      <c r="Y66" s="1645"/>
      <c r="Z66" s="1645"/>
      <c r="AA66" s="1645"/>
      <c r="AB66" s="1645"/>
      <c r="AC66" s="1645"/>
      <c r="AD66" s="1645"/>
      <c r="AE66" s="1645"/>
      <c r="AF66" s="1645"/>
      <c r="AG66" s="1645"/>
      <c r="AH66" s="1645"/>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9">
        <f>IF(Application!AF204="yes",0.75,0.3)</f>
        <v>0.3</v>
      </c>
      <c r="Z67" s="1629"/>
      <c r="AA67" s="1629"/>
      <c r="AB67" s="1629"/>
      <c r="AC67" s="1629"/>
      <c r="AD67" s="1629">
        <f>IF(Application!AF204="yes",0.75,0.3)</f>
        <v>0.3</v>
      </c>
      <c r="AE67" s="1629"/>
      <c r="AF67" s="1629"/>
      <c r="AG67" s="1629"/>
      <c r="AH67" s="1629"/>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30">
        <f>ROUND(Y64*Y67,0)</f>
        <v>7388807</v>
      </c>
      <c r="Z68" s="1631"/>
      <c r="AA68" s="1631"/>
      <c r="AB68" s="1631"/>
      <c r="AC68" s="1631"/>
      <c r="AD68" s="1630" t="str">
        <f>IF(Application!D210="At-Risk",AD64*AD67,"$0")</f>
        <v>$0</v>
      </c>
      <c r="AE68" s="1631"/>
      <c r="AF68" s="1631"/>
      <c r="AG68" s="1631"/>
      <c r="AH68" s="1631"/>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2"/>
      <c r="AC71" s="1633"/>
      <c r="AD71" s="1633"/>
      <c r="AE71" s="1633"/>
      <c r="AF71" s="1634"/>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5" t="s">
        <v>1539</v>
      </c>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1635"/>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1635"/>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5"/>
      <c r="F74" s="1635"/>
      <c r="G74" s="1635"/>
      <c r="H74" s="1635"/>
      <c r="I74" s="1635"/>
      <c r="J74" s="1635"/>
      <c r="K74" s="1635"/>
      <c r="L74" s="1635"/>
      <c r="M74" s="1635"/>
      <c r="N74" s="1635"/>
      <c r="O74" s="1635"/>
      <c r="P74" s="1635"/>
      <c r="Q74" s="1635"/>
      <c r="R74" s="1635"/>
      <c r="S74" s="1635"/>
      <c r="T74" s="1635"/>
      <c r="U74" s="1635"/>
      <c r="V74" s="1635"/>
      <c r="W74" s="1635"/>
      <c r="X74" s="1635"/>
      <c r="Y74" s="1635"/>
      <c r="Z74" s="1635"/>
      <c r="AA74" s="1635"/>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3">
        <f>ROUND(IF(ISERROR((AB59/AB71)),0,(AB59/AB71)),0)</f>
        <v>0</v>
      </c>
      <c r="AC76" s="1623"/>
      <c r="AD76" s="1623"/>
      <c r="AE76" s="1623"/>
      <c r="AF76" s="1623"/>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4">
        <f>IF((Y68+AD68&lt;AB76),Y68+AD68,AB76)</f>
        <v>0</v>
      </c>
      <c r="AC77" s="1625"/>
      <c r="AD77" s="1625"/>
      <c r="AE77" s="1625"/>
      <c r="AF77" s="1626"/>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7">
        <f>AB77*AB71</f>
        <v>0</v>
      </c>
      <c r="AC78" s="1627"/>
      <c r="AD78" s="1627"/>
      <c r="AE78" s="1627"/>
      <c r="AF78" s="1627"/>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8">
        <f>AB49-(AB57+AB78)</f>
        <v>0</v>
      </c>
      <c r="AC80" s="1628"/>
      <c r="AD80" s="1628"/>
      <c r="AE80" s="1628"/>
      <c r="AF80" s="1628"/>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3" t="s">
        <v>1587</v>
      </c>
      <c r="B83" s="1653"/>
      <c r="C83" s="1653"/>
      <c r="D83" s="1653"/>
      <c r="E83" s="1653"/>
      <c r="F83" s="1653"/>
      <c r="G83" s="1653"/>
      <c r="H83" s="1653"/>
      <c r="I83" s="1653"/>
      <c r="J83" s="1653"/>
      <c r="K83" s="1653"/>
      <c r="L83" s="1653"/>
      <c r="M83" s="1653"/>
      <c r="N83" s="1653"/>
      <c r="O83" s="1653"/>
      <c r="P83" s="1653"/>
      <c r="Q83" s="1653"/>
      <c r="R83" s="1653"/>
      <c r="S83" s="1653"/>
      <c r="T83" s="1653"/>
      <c r="U83" s="1653"/>
      <c r="V83" s="1653"/>
      <c r="W83" s="1653"/>
      <c r="X83" s="1653"/>
      <c r="Y83" s="1653"/>
      <c r="Z83" s="1653"/>
      <c r="AA83" s="1653"/>
      <c r="AB83" s="1653"/>
      <c r="AC83" s="1653"/>
      <c r="AD83" s="1653"/>
      <c r="AE83" s="1653"/>
      <c r="AF83" s="1653"/>
      <c r="AG83" s="1653"/>
      <c r="AH83" s="1653"/>
      <c r="AI83" s="1653"/>
      <c r="AJ83" s="1653"/>
      <c r="AK83" s="1653"/>
      <c r="AL83" s="1653"/>
      <c r="AM83" s="1653"/>
      <c r="AN83" s="1653"/>
      <c r="AO83" s="1653"/>
      <c r="AP83" s="1653"/>
      <c r="AQ83" s="1653"/>
      <c r="AR83" s="1653"/>
      <c r="AS83" s="1653"/>
      <c r="AT83" s="1653"/>
      <c r="AU83" s="1653"/>
      <c r="AV83" s="1653"/>
      <c r="AW83" s="1653"/>
      <c r="AX83" s="1653"/>
      <c r="AY83" s="1653"/>
      <c r="AZ83" s="1653"/>
      <c r="BA83" s="1653"/>
      <c r="BB83" s="1653"/>
      <c r="BC83" s="1653"/>
      <c r="BD83" s="1653"/>
      <c r="BE83" s="1653"/>
      <c r="BF83" s="1653"/>
      <c r="BG83" s="1653"/>
      <c r="BH83" s="1653"/>
      <c r="BI83" s="1653"/>
      <c r="BJ83" s="1653"/>
      <c r="BK83" s="1653"/>
      <c r="BL83" s="1653"/>
      <c r="BM83" s="1653"/>
      <c r="BN83" s="1653"/>
      <c r="BO83" s="1653"/>
      <c r="BP83" s="1653"/>
      <c r="BQ83" s="1653"/>
      <c r="BR83" s="1653"/>
      <c r="BS83" s="1653"/>
      <c r="BT83" s="1653"/>
      <c r="BU83" s="1653"/>
      <c r="BV83" s="1653"/>
      <c r="BW83" s="1653"/>
      <c r="BX83" s="1653"/>
    </row>
    <row r="84" spans="1:98" ht="13.5" thickTop="1"/>
    <row r="85" spans="1:98" ht="12.75">
      <c r="A85" s="819" t="s">
        <v>642</v>
      </c>
      <c r="C85" s="344" t="s">
        <v>1585</v>
      </c>
    </row>
    <row r="86" spans="1:98" ht="12.75">
      <c r="D86" s="344" t="s">
        <v>1641</v>
      </c>
      <c r="AB86" s="1692">
        <f>IF(A61="$500M State Credit",AB77/(Application!AG424-Application!AG425),"N/A")</f>
        <v>0</v>
      </c>
      <c r="AC86" s="1692"/>
      <c r="AD86" s="1692"/>
      <c r="AE86" s="1692"/>
      <c r="AF86" s="1692"/>
    </row>
    <row r="87" spans="1:98" ht="13.5" thickBot="1">
      <c r="D87" s="344" t="s">
        <v>1642</v>
      </c>
      <c r="AB87" s="1691" t="e">
        <f>IF(A61="$500M State Credit",(Application!AG424-Application!AG425)/AB77,"N/A")</f>
        <v>#DIV/0!</v>
      </c>
      <c r="AC87" s="1691"/>
      <c r="AD87" s="1691"/>
      <c r="AE87" s="1691"/>
      <c r="AF87" s="1691"/>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abSelected="1" topLeftCell="A28" zoomScaleNormal="100" zoomScaleSheetLayoutView="100" workbookViewId="0">
      <selection activeCell="E36" sqref="E36"/>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374760</v>
      </c>
      <c r="G4" s="366">
        <f>E4*$C$4</f>
        <v>384128.99999999994</v>
      </c>
      <c r="I4" s="366">
        <f>G4*$C$4</f>
        <v>393732.22499999992</v>
      </c>
      <c r="K4" s="366">
        <f>I4*$C$4</f>
        <v>403575.5306249999</v>
      </c>
      <c r="M4" s="366">
        <f>K4*$C$4</f>
        <v>413664.91889062483</v>
      </c>
      <c r="O4" s="366">
        <f>M4*$C$4</f>
        <v>424006.54186289042</v>
      </c>
      <c r="Q4" s="366">
        <f>O4*$C$4</f>
        <v>434606.70540946262</v>
      </c>
      <c r="S4" s="366">
        <f>Q4*$C$4</f>
        <v>445471.87304469914</v>
      </c>
      <c r="U4" s="366">
        <f>S4*$C$4</f>
        <v>456608.66987081658</v>
      </c>
      <c r="W4" s="366">
        <f>U4*$C$4</f>
        <v>468023.88661758695</v>
      </c>
      <c r="Y4" s="366">
        <f>W4*$C$4</f>
        <v>479724.48378302658</v>
      </c>
      <c r="AA4" s="366">
        <f>Y4*$C$4</f>
        <v>491717.59587760217</v>
      </c>
      <c r="AC4" s="366">
        <f>AA4*$C$4</f>
        <v>504010.53577454219</v>
      </c>
      <c r="AE4" s="366">
        <f>AC4*$C$4</f>
        <v>516610.79916890571</v>
      </c>
      <c r="AG4" s="366">
        <f>AE4*$C$4</f>
        <v>529526.06914812827</v>
      </c>
    </row>
    <row r="5" spans="1:34" s="350" customFormat="1" ht="14.25">
      <c r="B5" s="350" t="s">
        <v>924</v>
      </c>
      <c r="C5" s="391">
        <v>0.1</v>
      </c>
      <c r="E5" s="368">
        <f>-E4*$C$5</f>
        <v>-37476</v>
      </c>
      <c r="F5" s="368"/>
      <c r="G5" s="368">
        <f>-G4*$C$5</f>
        <v>-38412.899999999994</v>
      </c>
      <c r="H5" s="368"/>
      <c r="I5" s="368">
        <f>-I4*$C$5</f>
        <v>-39373.222499999996</v>
      </c>
      <c r="J5" s="368"/>
      <c r="K5" s="368">
        <f>-K4*$C$5</f>
        <v>-40357.553062499996</v>
      </c>
      <c r="L5" s="368"/>
      <c r="M5" s="368">
        <f>-M4*$C$5</f>
        <v>-41366.491889062483</v>
      </c>
      <c r="N5" s="368"/>
      <c r="O5" s="368">
        <f>-O4*$C$5</f>
        <v>-42400.654186289044</v>
      </c>
      <c r="P5" s="368"/>
      <c r="Q5" s="368">
        <f>-Q4*$C$5</f>
        <v>-43460.670540946267</v>
      </c>
      <c r="R5" s="368"/>
      <c r="S5" s="368">
        <f>-S4*$C$5</f>
        <v>-44547.187304469917</v>
      </c>
      <c r="T5" s="368"/>
      <c r="U5" s="368">
        <f>-U4*$C$5</f>
        <v>-45660.866987081659</v>
      </c>
      <c r="V5" s="368"/>
      <c r="W5" s="368">
        <f>-W4*$C$5</f>
        <v>-46802.388661758698</v>
      </c>
      <c r="X5" s="368"/>
      <c r="Y5" s="368">
        <f>-Y4*$C$5</f>
        <v>-47972.448378302659</v>
      </c>
      <c r="Z5" s="368"/>
      <c r="AA5" s="368">
        <f>-AA4*$C$5</f>
        <v>-49171.759587760222</v>
      </c>
      <c r="AB5" s="368"/>
      <c r="AC5" s="368">
        <f>-AC4*$C$5</f>
        <v>-50401.053577454222</v>
      </c>
      <c r="AD5" s="368"/>
      <c r="AE5" s="368">
        <f>-AE4*$C$5</f>
        <v>-51661.079916890572</v>
      </c>
      <c r="AF5" s="368"/>
      <c r="AG5" s="368">
        <f>-AG4*$C$5</f>
        <v>-52952.60691481283</v>
      </c>
    </row>
    <row r="6" spans="1:34" s="350" customFormat="1" ht="14.25">
      <c r="A6" s="350" t="s">
        <v>922</v>
      </c>
      <c r="C6" s="390">
        <v>1.0249999999999999</v>
      </c>
      <c r="E6" s="369">
        <f>Application!Z789</f>
        <v>542724</v>
      </c>
      <c r="F6" s="369"/>
      <c r="G6" s="369">
        <f>E6*$C$6</f>
        <v>556292.1</v>
      </c>
      <c r="H6" s="369"/>
      <c r="I6" s="369">
        <f>G6*$C$6</f>
        <v>570199.40249999997</v>
      </c>
      <c r="J6" s="369"/>
      <c r="K6" s="369">
        <f>I6*$C$6</f>
        <v>584454.38756249996</v>
      </c>
      <c r="L6" s="369"/>
      <c r="M6" s="369">
        <f>K6*$C$6</f>
        <v>599065.74725156242</v>
      </c>
      <c r="N6" s="369"/>
      <c r="O6" s="369">
        <f>M6*$C$6</f>
        <v>614042.39093285147</v>
      </c>
      <c r="P6" s="369"/>
      <c r="Q6" s="369">
        <f>O6*$C$6</f>
        <v>629393.45070617273</v>
      </c>
      <c r="R6" s="369"/>
      <c r="S6" s="369">
        <f>Q6*$C$6</f>
        <v>645128.28697382705</v>
      </c>
      <c r="T6" s="369"/>
      <c r="U6" s="369">
        <f>S6*$C$6</f>
        <v>661256.49414817267</v>
      </c>
      <c r="V6" s="369"/>
      <c r="W6" s="369">
        <f>U6*$C$6</f>
        <v>677787.90650187689</v>
      </c>
      <c r="X6" s="369"/>
      <c r="Y6" s="369">
        <f>W6*$C$6</f>
        <v>694732.60416442377</v>
      </c>
      <c r="Z6" s="369"/>
      <c r="AA6" s="369">
        <f>Y6*$C$6</f>
        <v>712100.91926853429</v>
      </c>
      <c r="AB6" s="369"/>
      <c r="AC6" s="369">
        <f>AA6*$C$6</f>
        <v>729903.44225024758</v>
      </c>
      <c r="AD6" s="369"/>
      <c r="AE6" s="369">
        <f>AC6*$C$6</f>
        <v>748151.02830650366</v>
      </c>
      <c r="AF6" s="369"/>
      <c r="AG6" s="369">
        <f>AE6*$C$6</f>
        <v>766854.80401416623</v>
      </c>
    </row>
    <row r="7" spans="1:34" s="350" customFormat="1" ht="14.25">
      <c r="B7" s="350" t="s">
        <v>924</v>
      </c>
      <c r="C7" s="391">
        <v>0.1</v>
      </c>
      <c r="E7" s="368">
        <f>-E6*$C$7</f>
        <v>-54272.4</v>
      </c>
      <c r="F7" s="368"/>
      <c r="G7" s="368">
        <f>-G6*$C$7</f>
        <v>-55629.21</v>
      </c>
      <c r="H7" s="368"/>
      <c r="I7" s="368">
        <f>-I6*$C$7</f>
        <v>-57019.94025</v>
      </c>
      <c r="J7" s="368"/>
      <c r="K7" s="368">
        <f>-K6*$C$7</f>
        <v>-58445.438756249998</v>
      </c>
      <c r="L7" s="368"/>
      <c r="M7" s="368">
        <f>-M6*$C$7</f>
        <v>-59906.574725156242</v>
      </c>
      <c r="N7" s="368"/>
      <c r="O7" s="368">
        <f>-O6*$C$7</f>
        <v>-61404.239093285149</v>
      </c>
      <c r="P7" s="368"/>
      <c r="Q7" s="368">
        <f>-Q6*$C$7</f>
        <v>-62939.345070617273</v>
      </c>
      <c r="R7" s="368"/>
      <c r="S7" s="368">
        <f>-S6*$C$7</f>
        <v>-64512.828697382705</v>
      </c>
      <c r="T7" s="368"/>
      <c r="U7" s="368">
        <f>-U6*$C$7</f>
        <v>-66125.649414817264</v>
      </c>
      <c r="V7" s="368"/>
      <c r="W7" s="368">
        <f>-W6*$C$7</f>
        <v>-67778.790650187686</v>
      </c>
      <c r="X7" s="368"/>
      <c r="Y7" s="368">
        <f>-Y6*$C$7</f>
        <v>-69473.260416442383</v>
      </c>
      <c r="Z7" s="368"/>
      <c r="AA7" s="368">
        <f>-AA6*$C$7</f>
        <v>-71210.091926853434</v>
      </c>
      <c r="AB7" s="368"/>
      <c r="AC7" s="368">
        <f>-AC6*$C$7</f>
        <v>-72990.344225024761</v>
      </c>
      <c r="AD7" s="368"/>
      <c r="AE7" s="368">
        <f>-AE6*$C$7</f>
        <v>-74815.102830650372</v>
      </c>
      <c r="AF7" s="368"/>
      <c r="AG7" s="368">
        <f>-AG6*$C$7</f>
        <v>-76685.480401416629</v>
      </c>
    </row>
    <row r="8" spans="1:34" s="350" customFormat="1" ht="14.25">
      <c r="A8" s="350" t="s">
        <v>307</v>
      </c>
      <c r="C8" s="390">
        <v>1.0249999999999999</v>
      </c>
      <c r="E8" s="369">
        <f>Application!Z797</f>
        <v>6320</v>
      </c>
      <c r="F8" s="369"/>
      <c r="G8" s="369">
        <f>E8*$C$8</f>
        <v>6477.9999999999991</v>
      </c>
      <c r="H8" s="369"/>
      <c r="I8" s="369">
        <f>G8*$C$8</f>
        <v>6639.9499999999989</v>
      </c>
      <c r="J8" s="369"/>
      <c r="K8" s="369">
        <f>I8*$C$8</f>
        <v>6805.9487499999987</v>
      </c>
      <c r="L8" s="369"/>
      <c r="M8" s="369">
        <f>K8*$C$8</f>
        <v>6976.0974687499984</v>
      </c>
      <c r="N8" s="369"/>
      <c r="O8" s="369">
        <f>M8*$C$8</f>
        <v>7150.4999054687478</v>
      </c>
      <c r="P8" s="369"/>
      <c r="Q8" s="369">
        <f>O8*$C$8</f>
        <v>7329.2624031054656</v>
      </c>
      <c r="R8" s="369"/>
      <c r="S8" s="369">
        <f>Q8*$C$8</f>
        <v>7512.4939631831012</v>
      </c>
      <c r="T8" s="369"/>
      <c r="U8" s="369">
        <f>S8*$C$8</f>
        <v>7700.3063122626781</v>
      </c>
      <c r="V8" s="369"/>
      <c r="W8" s="369">
        <f>U8*$C$8</f>
        <v>7892.8139700692445</v>
      </c>
      <c r="X8" s="369"/>
      <c r="Y8" s="369">
        <f>W8*$C$8</f>
        <v>8090.134319320975</v>
      </c>
      <c r="Z8" s="369"/>
      <c r="AA8" s="369">
        <f>Y8*$C$8</f>
        <v>8292.3876773039992</v>
      </c>
      <c r="AB8" s="369"/>
      <c r="AC8" s="369">
        <f>AA8*$C$8</f>
        <v>8499.6973692365991</v>
      </c>
      <c r="AD8" s="369"/>
      <c r="AE8" s="369">
        <f>AC8*$C$8</f>
        <v>8712.1898034675141</v>
      </c>
      <c r="AF8" s="369"/>
      <c r="AG8" s="369">
        <f>AE8*$C$8</f>
        <v>8929.9945485542012</v>
      </c>
    </row>
    <row r="9" spans="1:34" s="350" customFormat="1" ht="14.25">
      <c r="B9" s="350" t="s">
        <v>924</v>
      </c>
      <c r="C9" s="391">
        <v>0.1</v>
      </c>
      <c r="E9" s="388">
        <f>-E8*$C$9</f>
        <v>-632</v>
      </c>
      <c r="F9" s="368"/>
      <c r="G9" s="388">
        <f>-G8*$C$9</f>
        <v>-647.79999999999995</v>
      </c>
      <c r="H9" s="368"/>
      <c r="I9" s="388">
        <f>-I8*$C$9</f>
        <v>-663.99499999999989</v>
      </c>
      <c r="J9" s="368"/>
      <c r="K9" s="388">
        <f>-K8*$C$9</f>
        <v>-680.59487499999989</v>
      </c>
      <c r="L9" s="368"/>
      <c r="M9" s="388">
        <f>-M8*$C$9</f>
        <v>-697.60974687499993</v>
      </c>
      <c r="N9" s="368"/>
      <c r="O9" s="388">
        <f>-O8*$C$9</f>
        <v>-715.04999054687482</v>
      </c>
      <c r="P9" s="368"/>
      <c r="Q9" s="388">
        <f>-Q8*$C$9</f>
        <v>-732.92624031054663</v>
      </c>
      <c r="R9" s="368"/>
      <c r="S9" s="388">
        <f>-S8*$C$9</f>
        <v>-751.24939631831012</v>
      </c>
      <c r="T9" s="368"/>
      <c r="U9" s="388">
        <f>-U8*$C$9</f>
        <v>-770.03063122626781</v>
      </c>
      <c r="V9" s="368"/>
      <c r="W9" s="388">
        <f>-W8*$C$9</f>
        <v>-789.28139700692452</v>
      </c>
      <c r="X9" s="368"/>
      <c r="Y9" s="388">
        <f>-Y8*$C$9</f>
        <v>-809.01343193209755</v>
      </c>
      <c r="Z9" s="368"/>
      <c r="AA9" s="388">
        <f>-AA8*$C$9</f>
        <v>-829.23876773040001</v>
      </c>
      <c r="AB9" s="368"/>
      <c r="AC9" s="388">
        <f>-AC8*$C$9</f>
        <v>-849.96973692365998</v>
      </c>
      <c r="AD9" s="368"/>
      <c r="AE9" s="388">
        <f>-AE8*$C$9</f>
        <v>-871.21898034675144</v>
      </c>
      <c r="AF9" s="368"/>
      <c r="AG9" s="388">
        <f>-AG8*$C$9</f>
        <v>-892.99945485542014</v>
      </c>
    </row>
    <row r="10" spans="1:34" s="370" customFormat="1" ht="15">
      <c r="A10" s="370" t="s">
        <v>946</v>
      </c>
      <c r="C10" s="361"/>
      <c r="E10" s="370">
        <f>SUM(E4:E9)</f>
        <v>831423.6</v>
      </c>
      <c r="G10" s="370">
        <f>SUM(G4:G9)</f>
        <v>852209.19</v>
      </c>
      <c r="I10" s="370">
        <f>SUM(I4:I9)</f>
        <v>873514.41974999988</v>
      </c>
      <c r="K10" s="370">
        <f>SUM(K4:K9)</f>
        <v>895352.28024374996</v>
      </c>
      <c r="M10" s="370">
        <f>SUM(M4:M9)</f>
        <v>917736.08724984352</v>
      </c>
      <c r="O10" s="370">
        <f>SUM(O4:O9)</f>
        <v>940679.48943108949</v>
      </c>
      <c r="Q10" s="370">
        <f>SUM(Q4:Q9)</f>
        <v>964196.4766668668</v>
      </c>
      <c r="S10" s="370">
        <f>SUM(S4:S9)</f>
        <v>988301.38858353836</v>
      </c>
      <c r="U10" s="370">
        <f>SUM(U4:U9)</f>
        <v>1013008.9232981268</v>
      </c>
      <c r="W10" s="370">
        <f>SUM(W4:W9)</f>
        <v>1038334.1463805798</v>
      </c>
      <c r="Y10" s="370">
        <f>SUM(Y4:Y9)</f>
        <v>1064292.5000400944</v>
      </c>
      <c r="AA10" s="370">
        <f>SUM(AA4:AA9)</f>
        <v>1090899.8125410965</v>
      </c>
      <c r="AC10" s="370">
        <f>SUM(AC4:AC9)</f>
        <v>1118172.3078546235</v>
      </c>
      <c r="AE10" s="370">
        <f>SUM(AE4:AE9)</f>
        <v>1146126.6155509893</v>
      </c>
      <c r="AG10" s="370">
        <f>SUM(AG4:AG9)</f>
        <v>1174779.7809397639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108000</v>
      </c>
      <c r="G14" s="366">
        <f>E14*$C$13</f>
        <v>111779.99999999999</v>
      </c>
      <c r="I14" s="366">
        <f>G14*$C$13</f>
        <v>115692.29999999997</v>
      </c>
      <c r="K14" s="366">
        <f>I14*$C$13</f>
        <v>119741.53049999996</v>
      </c>
      <c r="M14" s="366">
        <f>K14*$C$13</f>
        <v>123932.48406749996</v>
      </c>
      <c r="O14" s="366">
        <f>M14*$C$13</f>
        <v>128270.12100986244</v>
      </c>
      <c r="Q14" s="366">
        <f>O14*$C$13</f>
        <v>132759.57524520761</v>
      </c>
      <c r="S14" s="366">
        <f>Q14*$C$13</f>
        <v>137406.16037878988</v>
      </c>
      <c r="U14" s="366">
        <f>S14*$C$13</f>
        <v>142215.37599204751</v>
      </c>
      <c r="W14" s="366">
        <f>U14*$C$13</f>
        <v>147192.91415176916</v>
      </c>
      <c r="Y14" s="366">
        <f>W14*$C$13</f>
        <v>152344.66614708106</v>
      </c>
      <c r="AA14" s="366">
        <f>Y14*$C$13</f>
        <v>157676.72946222889</v>
      </c>
      <c r="AC14" s="366">
        <f>AA14*$C$13</f>
        <v>163195.41499340688</v>
      </c>
      <c r="AE14" s="366">
        <f>AC14*$C$13</f>
        <v>168907.25451817611</v>
      </c>
      <c r="AG14" s="366">
        <f>AE14*$C$13</f>
        <v>174819.00842631227</v>
      </c>
    </row>
    <row r="15" spans="1:34" s="350" customFormat="1" ht="14.25">
      <c r="A15" s="350" t="s">
        <v>368</v>
      </c>
      <c r="C15" s="380"/>
      <c r="E15" s="369">
        <f>Application!W829</f>
        <v>49885</v>
      </c>
      <c r="F15" s="369"/>
      <c r="G15" s="369">
        <f t="shared" ref="G15:AG20" si="0">E15*$C$13</f>
        <v>51630.974999999999</v>
      </c>
      <c r="H15" s="369"/>
      <c r="I15" s="369">
        <f t="shared" si="0"/>
        <v>53438.059124999992</v>
      </c>
      <c r="J15" s="369"/>
      <c r="K15" s="369">
        <f t="shared" si="0"/>
        <v>55308.391194374984</v>
      </c>
      <c r="L15" s="369"/>
      <c r="M15" s="369">
        <f t="shared" si="0"/>
        <v>57244.184886178104</v>
      </c>
      <c r="N15" s="369"/>
      <c r="O15" s="369">
        <f t="shared" si="0"/>
        <v>59247.73135719433</v>
      </c>
      <c r="P15" s="369"/>
      <c r="Q15" s="369">
        <f t="shared" si="0"/>
        <v>61321.401954696128</v>
      </c>
      <c r="R15" s="369"/>
      <c r="S15" s="369">
        <f t="shared" si="0"/>
        <v>63467.651023110491</v>
      </c>
      <c r="T15" s="369"/>
      <c r="U15" s="369">
        <f t="shared" si="0"/>
        <v>65689.018808919354</v>
      </c>
      <c r="V15" s="369"/>
      <c r="W15" s="369">
        <f t="shared" si="0"/>
        <v>67988.134467231532</v>
      </c>
      <c r="X15" s="369"/>
      <c r="Y15" s="369">
        <f t="shared" si="0"/>
        <v>70367.719173584628</v>
      </c>
      <c r="Z15" s="369"/>
      <c r="AA15" s="369">
        <f t="shared" si="0"/>
        <v>72830.589344660082</v>
      </c>
      <c r="AB15" s="369"/>
      <c r="AC15" s="369">
        <f t="shared" si="0"/>
        <v>75379.659971723173</v>
      </c>
      <c r="AD15" s="369"/>
      <c r="AE15" s="369">
        <f t="shared" si="0"/>
        <v>78017.948070733473</v>
      </c>
      <c r="AF15" s="369"/>
      <c r="AG15" s="369">
        <f t="shared" si="0"/>
        <v>80748.576253209132</v>
      </c>
    </row>
    <row r="16" spans="1:34" s="350" customFormat="1" ht="14.25">
      <c r="A16" s="350" t="s">
        <v>609</v>
      </c>
      <c r="C16" s="380"/>
      <c r="E16" s="369">
        <f>Application!W835</f>
        <v>80000</v>
      </c>
      <c r="F16" s="369"/>
      <c r="G16" s="369">
        <f t="shared" si="0"/>
        <v>82800</v>
      </c>
      <c r="H16" s="369"/>
      <c r="I16" s="369">
        <f t="shared" si="0"/>
        <v>85698</v>
      </c>
      <c r="J16" s="369"/>
      <c r="K16" s="369">
        <f t="shared" si="0"/>
        <v>88697.43</v>
      </c>
      <c r="L16" s="369"/>
      <c r="M16" s="369">
        <f t="shared" si="0"/>
        <v>91801.840049999984</v>
      </c>
      <c r="N16" s="369"/>
      <c r="O16" s="369">
        <f t="shared" si="0"/>
        <v>95014.904451749971</v>
      </c>
      <c r="P16" s="369"/>
      <c r="Q16" s="369">
        <f t="shared" si="0"/>
        <v>98340.426107561216</v>
      </c>
      <c r="R16" s="369"/>
      <c r="S16" s="369">
        <f t="shared" si="0"/>
        <v>101782.34102132585</v>
      </c>
      <c r="T16" s="369"/>
      <c r="U16" s="369">
        <f t="shared" si="0"/>
        <v>105344.72295707224</v>
      </c>
      <c r="V16" s="369"/>
      <c r="W16" s="369">
        <f t="shared" si="0"/>
        <v>109031.78826056977</v>
      </c>
      <c r="X16" s="369"/>
      <c r="Y16" s="369">
        <f t="shared" si="0"/>
        <v>112847.9008496897</v>
      </c>
      <c r="Z16" s="369"/>
      <c r="AA16" s="369">
        <f t="shared" si="0"/>
        <v>116797.57737942883</v>
      </c>
      <c r="AB16" s="369"/>
      <c r="AC16" s="369">
        <f t="shared" si="0"/>
        <v>120885.49258770882</v>
      </c>
      <c r="AD16" s="369"/>
      <c r="AE16" s="369">
        <f t="shared" si="0"/>
        <v>125116.48482827863</v>
      </c>
      <c r="AF16" s="369"/>
      <c r="AG16" s="369">
        <f t="shared" si="0"/>
        <v>129495.56179726837</v>
      </c>
    </row>
    <row r="17" spans="1:33" s="350" customFormat="1" ht="14.25">
      <c r="A17" s="350" t="s">
        <v>928</v>
      </c>
      <c r="C17" s="380"/>
      <c r="E17" s="369">
        <f>Application!W840</f>
        <v>93000</v>
      </c>
      <c r="F17" s="369"/>
      <c r="G17" s="369">
        <f t="shared" si="0"/>
        <v>96254.999999999985</v>
      </c>
      <c r="H17" s="369"/>
      <c r="I17" s="369">
        <f t="shared" si="0"/>
        <v>99623.924999999974</v>
      </c>
      <c r="J17" s="369"/>
      <c r="K17" s="369">
        <f t="shared" si="0"/>
        <v>103110.76237499996</v>
      </c>
      <c r="L17" s="369"/>
      <c r="M17" s="369">
        <f t="shared" si="0"/>
        <v>106719.63905812496</v>
      </c>
      <c r="N17" s="369"/>
      <c r="O17" s="369">
        <f t="shared" si="0"/>
        <v>110454.82642515932</v>
      </c>
      <c r="P17" s="369"/>
      <c r="Q17" s="369">
        <f t="shared" si="0"/>
        <v>114320.74535003988</v>
      </c>
      <c r="R17" s="369"/>
      <c r="S17" s="369">
        <f t="shared" si="0"/>
        <v>118321.97143729127</v>
      </c>
      <c r="T17" s="369"/>
      <c r="U17" s="369">
        <f t="shared" si="0"/>
        <v>122463.24043759645</v>
      </c>
      <c r="V17" s="369"/>
      <c r="W17" s="369">
        <f t="shared" si="0"/>
        <v>126749.45385291232</v>
      </c>
      <c r="X17" s="369"/>
      <c r="Y17" s="369">
        <f t="shared" si="0"/>
        <v>131185.68473776424</v>
      </c>
      <c r="Z17" s="369"/>
      <c r="AA17" s="369">
        <f t="shared" si="0"/>
        <v>135777.18370358596</v>
      </c>
      <c r="AB17" s="369"/>
      <c r="AC17" s="369">
        <f t="shared" si="0"/>
        <v>140529.38513321147</v>
      </c>
      <c r="AD17" s="369"/>
      <c r="AE17" s="369">
        <f t="shared" si="0"/>
        <v>145447.91361287388</v>
      </c>
      <c r="AF17" s="369"/>
      <c r="AG17" s="369">
        <f t="shared" si="0"/>
        <v>150538.59058932445</v>
      </c>
    </row>
    <row r="18" spans="1:33" s="350" customFormat="1" ht="14.25">
      <c r="A18" s="350" t="s">
        <v>162</v>
      </c>
      <c r="C18" s="380"/>
      <c r="E18" s="369">
        <f>Application!W841</f>
        <v>28000</v>
      </c>
      <c r="F18" s="369"/>
      <c r="G18" s="369">
        <f t="shared" si="0"/>
        <v>28979.999999999996</v>
      </c>
      <c r="H18" s="369"/>
      <c r="I18" s="369">
        <f t="shared" si="0"/>
        <v>29994.299999999996</v>
      </c>
      <c r="J18" s="369"/>
      <c r="K18" s="369">
        <f t="shared" si="0"/>
        <v>31044.100499999993</v>
      </c>
      <c r="L18" s="369"/>
      <c r="M18" s="369">
        <f t="shared" si="0"/>
        <v>32130.644017499992</v>
      </c>
      <c r="N18" s="369"/>
      <c r="O18" s="369">
        <f t="shared" si="0"/>
        <v>33255.216558112486</v>
      </c>
      <c r="P18" s="369"/>
      <c r="Q18" s="369">
        <f t="shared" si="0"/>
        <v>34419.149137646418</v>
      </c>
      <c r="R18" s="369"/>
      <c r="S18" s="369">
        <f t="shared" si="0"/>
        <v>35623.819357464039</v>
      </c>
      <c r="T18" s="369"/>
      <c r="U18" s="369">
        <f t="shared" si="0"/>
        <v>36870.653034975279</v>
      </c>
      <c r="V18" s="369"/>
      <c r="W18" s="369">
        <f t="shared" si="0"/>
        <v>38161.125891199408</v>
      </c>
      <c r="X18" s="369"/>
      <c r="Y18" s="369">
        <f t="shared" si="0"/>
        <v>39496.765297391386</v>
      </c>
      <c r="Z18" s="369"/>
      <c r="AA18" s="369">
        <f t="shared" si="0"/>
        <v>40879.152082800079</v>
      </c>
      <c r="AB18" s="369"/>
      <c r="AC18" s="369">
        <f t="shared" si="0"/>
        <v>42309.922405698082</v>
      </c>
      <c r="AD18" s="369"/>
      <c r="AE18" s="369">
        <f t="shared" si="0"/>
        <v>43790.769689897512</v>
      </c>
      <c r="AF18" s="369"/>
      <c r="AG18" s="369">
        <f t="shared" si="0"/>
        <v>45323.446629043923</v>
      </c>
    </row>
    <row r="19" spans="1:33" s="350" customFormat="1" ht="14.25">
      <c r="A19" s="350" t="s">
        <v>423</v>
      </c>
      <c r="C19" s="380"/>
      <c r="E19" s="369">
        <f>Application!W850</f>
        <v>45500</v>
      </c>
      <c r="F19" s="369"/>
      <c r="G19" s="369">
        <f t="shared" si="0"/>
        <v>47092.5</v>
      </c>
      <c r="H19" s="369"/>
      <c r="I19" s="369">
        <f t="shared" si="0"/>
        <v>48740.737499999996</v>
      </c>
      <c r="J19" s="369"/>
      <c r="K19" s="369">
        <f t="shared" si="0"/>
        <v>50446.663312499993</v>
      </c>
      <c r="L19" s="369"/>
      <c r="M19" s="369">
        <f t="shared" si="0"/>
        <v>52212.296528437488</v>
      </c>
      <c r="N19" s="369"/>
      <c r="O19" s="369">
        <f t="shared" si="0"/>
        <v>54039.726906932796</v>
      </c>
      <c r="P19" s="369"/>
      <c r="Q19" s="369">
        <f t="shared" si="0"/>
        <v>55931.117348675441</v>
      </c>
      <c r="R19" s="369"/>
      <c r="S19" s="369">
        <f t="shared" si="0"/>
        <v>57888.706455879081</v>
      </c>
      <c r="T19" s="369"/>
      <c r="U19" s="369">
        <f t="shared" si="0"/>
        <v>59914.811181834841</v>
      </c>
      <c r="V19" s="369"/>
      <c r="W19" s="369">
        <f t="shared" si="0"/>
        <v>62011.829573199058</v>
      </c>
      <c r="X19" s="369"/>
      <c r="Y19" s="369">
        <f t="shared" si="0"/>
        <v>64182.243608261022</v>
      </c>
      <c r="Z19" s="369"/>
      <c r="AA19" s="369">
        <f t="shared" si="0"/>
        <v>66428.622134550154</v>
      </c>
      <c r="AB19" s="369"/>
      <c r="AC19" s="369">
        <f t="shared" si="0"/>
        <v>68753.623909259404</v>
      </c>
      <c r="AD19" s="369"/>
      <c r="AE19" s="369">
        <f t="shared" si="0"/>
        <v>71160.000746083475</v>
      </c>
      <c r="AF19" s="369"/>
      <c r="AG19" s="369">
        <f t="shared" si="0"/>
        <v>73650.600772196398</v>
      </c>
    </row>
    <row r="20" spans="1:33" s="350" customFormat="1" ht="14.25">
      <c r="A20" s="373" t="s">
        <v>1071</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929</v>
      </c>
      <c r="C21" s="380"/>
      <c r="E21" s="370">
        <f>SUM(E14:E20)</f>
        <v>404385</v>
      </c>
      <c r="G21" s="370">
        <f>SUM(G14:G20)</f>
        <v>418538.47499999998</v>
      </c>
      <c r="I21" s="370">
        <f>SUM(I14:I20)</f>
        <v>433187.32162499992</v>
      </c>
      <c r="K21" s="370">
        <f>SUM(K14:K20)</f>
        <v>448348.87788187485</v>
      </c>
      <c r="M21" s="370">
        <f>SUM(M14:M20)</f>
        <v>464041.08860774047</v>
      </c>
      <c r="O21" s="370">
        <f>SUM(O14:O20)</f>
        <v>480282.52670901135</v>
      </c>
      <c r="Q21" s="370">
        <f>SUM(Q14:Q20)</f>
        <v>497092.41514382669</v>
      </c>
      <c r="S21" s="370">
        <f>SUM(S14:S20)</f>
        <v>514490.64967386064</v>
      </c>
      <c r="U21" s="370">
        <f>SUM(U14:U20)</f>
        <v>532497.82241244568</v>
      </c>
      <c r="W21" s="370">
        <f>SUM(W14:W20)</f>
        <v>551135.24619688129</v>
      </c>
      <c r="Y21" s="370">
        <f>SUM(Y14:Y20)</f>
        <v>570424.97981377202</v>
      </c>
      <c r="AA21" s="370">
        <f>SUM(AA14:AA20)</f>
        <v>590389.85410725395</v>
      </c>
      <c r="AC21" s="370">
        <f>SUM(AC14:AC20)</f>
        <v>611053.49900100788</v>
      </c>
      <c r="AE21" s="370">
        <f>SUM(AE14:AE20)</f>
        <v>632440.37146604306</v>
      </c>
      <c r="AG21" s="370">
        <f>SUM(AG14:AG20)</f>
        <v>654575.78446735453</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20000</v>
      </c>
      <c r="F24" s="369"/>
      <c r="G24" s="369">
        <f>E24*$C$24</f>
        <v>20700</v>
      </c>
      <c r="H24" s="369"/>
      <c r="I24" s="369">
        <f>G24*$C$24</f>
        <v>21424.5</v>
      </c>
      <c r="J24" s="369"/>
      <c r="K24" s="369">
        <f>I24*$C$24</f>
        <v>22174.357499999998</v>
      </c>
      <c r="L24" s="369"/>
      <c r="M24" s="369">
        <f>K24*$C$24</f>
        <v>22950.460012499996</v>
      </c>
      <c r="N24" s="369"/>
      <c r="O24" s="369">
        <f>M24*$C$24</f>
        <v>23753.726112937493</v>
      </c>
      <c r="P24" s="369"/>
      <c r="Q24" s="369">
        <f>O24*$C$24</f>
        <v>24585.106526890304</v>
      </c>
      <c r="R24" s="369"/>
      <c r="S24" s="369">
        <f>Q24*$C$24</f>
        <v>25445.585255331462</v>
      </c>
      <c r="T24" s="369"/>
      <c r="U24" s="369">
        <f>S24*$C$24</f>
        <v>26336.18073926806</v>
      </c>
      <c r="V24" s="369"/>
      <c r="W24" s="369">
        <f>U24*$C$24</f>
        <v>27257.947065142442</v>
      </c>
      <c r="X24" s="369"/>
      <c r="Y24" s="369">
        <f>W24*$C$24</f>
        <v>28211.975212422425</v>
      </c>
      <c r="Z24" s="369"/>
      <c r="AA24" s="369">
        <f>Y24*$C$24</f>
        <v>29199.394344857206</v>
      </c>
      <c r="AB24" s="369"/>
      <c r="AC24" s="369">
        <f>AA24*$C$24</f>
        <v>30221.373146927206</v>
      </c>
      <c r="AD24" s="369"/>
      <c r="AE24" s="369">
        <f>AC24*$C$24</f>
        <v>31279.121207069657</v>
      </c>
      <c r="AF24" s="369"/>
      <c r="AG24" s="369">
        <f>AE24*$C$24</f>
        <v>32373.890449317092</v>
      </c>
    </row>
    <row r="25" spans="1:33" s="350" customFormat="1" ht="14.25">
      <c r="A25" s="350" t="s">
        <v>932</v>
      </c>
      <c r="C25" s="392"/>
      <c r="E25" s="369">
        <f>Application!AC867</f>
        <v>27500</v>
      </c>
      <c r="F25" s="369"/>
      <c r="G25" s="369">
        <f>$E$25</f>
        <v>27500</v>
      </c>
      <c r="H25" s="369"/>
      <c r="I25" s="369">
        <f>$E$25</f>
        <v>27500</v>
      </c>
      <c r="J25" s="369"/>
      <c r="K25" s="369">
        <f>$E$25</f>
        <v>27500</v>
      </c>
      <c r="L25" s="369"/>
      <c r="M25" s="369">
        <f>$E$25</f>
        <v>27500</v>
      </c>
      <c r="N25" s="369"/>
      <c r="O25" s="369">
        <f>$E$25</f>
        <v>27500</v>
      </c>
      <c r="P25" s="369"/>
      <c r="Q25" s="369">
        <f>$E$25</f>
        <v>27500</v>
      </c>
      <c r="R25" s="369"/>
      <c r="S25" s="369">
        <f>$E$25</f>
        <v>27500</v>
      </c>
      <c r="T25" s="369"/>
      <c r="U25" s="369">
        <f>$E$25</f>
        <v>27500</v>
      </c>
      <c r="V25" s="369"/>
      <c r="W25" s="369">
        <f>$E$25</f>
        <v>27500</v>
      </c>
      <c r="X25" s="369"/>
      <c r="Y25" s="369">
        <f>$E$25</f>
        <v>27500</v>
      </c>
      <c r="Z25" s="369"/>
      <c r="AA25" s="369">
        <f>$E$25</f>
        <v>27500</v>
      </c>
      <c r="AB25" s="369"/>
      <c r="AC25" s="369">
        <f>$E$25</f>
        <v>27500</v>
      </c>
      <c r="AD25" s="369"/>
      <c r="AE25" s="369">
        <f>$E$25</f>
        <v>27500</v>
      </c>
      <c r="AF25" s="369"/>
      <c r="AG25" s="369">
        <f>$E$25</f>
        <v>27500</v>
      </c>
    </row>
    <row r="26" spans="1:33" s="350" customFormat="1" ht="14.25">
      <c r="A26" s="350" t="s">
        <v>930</v>
      </c>
      <c r="C26" s="390">
        <v>1.02</v>
      </c>
      <c r="E26" s="369">
        <f>Application!AC868</f>
        <v>5000</v>
      </c>
      <c r="F26" s="369"/>
      <c r="G26" s="369">
        <f>E26*$C$26</f>
        <v>5100</v>
      </c>
      <c r="H26" s="369"/>
      <c r="I26" s="369">
        <f>G26*$C$26</f>
        <v>5202</v>
      </c>
      <c r="J26" s="369"/>
      <c r="K26" s="369">
        <f>I26*$C$26</f>
        <v>5306.04</v>
      </c>
      <c r="L26" s="369"/>
      <c r="M26" s="369">
        <f>K26*$C$26</f>
        <v>5412.1607999999997</v>
      </c>
      <c r="N26" s="369"/>
      <c r="O26" s="369">
        <f>M26*$C$26</f>
        <v>5520.4040159999995</v>
      </c>
      <c r="P26" s="369"/>
      <c r="Q26" s="369">
        <f>O26*$C$26</f>
        <v>5630.8120963199999</v>
      </c>
      <c r="R26" s="369"/>
      <c r="S26" s="369">
        <f>Q26*$C$26</f>
        <v>5743.4283382464</v>
      </c>
      <c r="T26" s="369"/>
      <c r="U26" s="369">
        <f>S26*$C$26</f>
        <v>5858.2969050113279</v>
      </c>
      <c r="V26" s="369"/>
      <c r="W26" s="369">
        <f>U26*$C$26</f>
        <v>5975.4628431115543</v>
      </c>
      <c r="X26" s="369"/>
      <c r="Y26" s="369">
        <f>W26*$C$26</f>
        <v>6094.9720999737856</v>
      </c>
      <c r="Z26" s="369"/>
      <c r="AA26" s="369">
        <f>Y26*$C$26</f>
        <v>6216.8715419732616</v>
      </c>
      <c r="AB26" s="369"/>
      <c r="AC26" s="369">
        <f>AA26*$C$26</f>
        <v>6341.2089728127266</v>
      </c>
      <c r="AD26" s="369"/>
      <c r="AE26" s="369">
        <f>AC26*$C$26</f>
        <v>6468.0331522689812</v>
      </c>
      <c r="AF26" s="369"/>
      <c r="AG26" s="369">
        <f>AE26*$C$26</f>
        <v>6597.3938153143608</v>
      </c>
    </row>
    <row r="27" spans="1:33" s="350" customFormat="1" ht="14.25">
      <c r="A27" s="373" t="str">
        <f>Application!E869</f>
        <v>Other (Misc state &amp; local fees, HCIDLA annual issuer fee):</v>
      </c>
      <c r="B27" s="373"/>
      <c r="C27" s="509">
        <v>1.0349999999999999</v>
      </c>
      <c r="E27" s="369">
        <f>Application!AC869</f>
        <v>14000</v>
      </c>
      <c r="F27" s="369"/>
      <c r="G27" s="369">
        <f>E27*$C$27</f>
        <v>14489.999999999998</v>
      </c>
      <c r="H27" s="369"/>
      <c r="I27" s="369">
        <f>G27*$C$27</f>
        <v>14997.149999999998</v>
      </c>
      <c r="J27" s="369"/>
      <c r="K27" s="369">
        <f>I27*$C$27</f>
        <v>15522.050249999997</v>
      </c>
      <c r="L27" s="369"/>
      <c r="M27" s="369">
        <f>K27*$C$27</f>
        <v>16065.322008749996</v>
      </c>
      <c r="N27" s="369"/>
      <c r="O27" s="369">
        <f>M27*$C$27</f>
        <v>16627.608279056243</v>
      </c>
      <c r="P27" s="369"/>
      <c r="Q27" s="369">
        <f>O27*$C$27</f>
        <v>17209.574568823209</v>
      </c>
      <c r="R27" s="369"/>
      <c r="S27" s="369">
        <f>Q27*$C$27</f>
        <v>17811.90967873202</v>
      </c>
      <c r="T27" s="369"/>
      <c r="U27" s="369">
        <f>S27*$C$27</f>
        <v>18435.32651748764</v>
      </c>
      <c r="V27" s="369"/>
      <c r="W27" s="369">
        <f>U27*$C$27</f>
        <v>19080.562945599704</v>
      </c>
      <c r="X27" s="369"/>
      <c r="Y27" s="369">
        <f>W27*$C$27</f>
        <v>19748.382648695693</v>
      </c>
      <c r="Z27" s="369"/>
      <c r="AA27" s="369">
        <f>Y27*$C$27</f>
        <v>20439.57604140004</v>
      </c>
      <c r="AB27" s="369"/>
      <c r="AC27" s="369">
        <f>AA27*$C$27</f>
        <v>21154.961202849041</v>
      </c>
      <c r="AD27" s="369"/>
      <c r="AE27" s="369">
        <f>AC27*$C$27</f>
        <v>21895.384844948756</v>
      </c>
      <c r="AF27" s="369"/>
      <c r="AG27" s="369">
        <f>AE27*$C$27</f>
        <v>22661.723314521962</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470885</v>
      </c>
      <c r="G30" s="370">
        <f>SUM(G21:G28)</f>
        <v>486328.47499999998</v>
      </c>
      <c r="I30" s="370">
        <f>SUM(I21:I28)</f>
        <v>502310.97162499995</v>
      </c>
      <c r="K30" s="370">
        <f>SUM(K21:K28)</f>
        <v>518851.32563187479</v>
      </c>
      <c r="M30" s="370">
        <f>SUM(M21:M28)</f>
        <v>535969.03142899054</v>
      </c>
      <c r="O30" s="370">
        <f>SUM(O21:O28)</f>
        <v>553684.2651170051</v>
      </c>
      <c r="Q30" s="370">
        <f>SUM(Q21:Q28)</f>
        <v>572017.90833586024</v>
      </c>
      <c r="S30" s="370">
        <f>SUM(S21:S28)</f>
        <v>590991.57294617058</v>
      </c>
      <c r="U30" s="370">
        <f>SUM(U21:U28)</f>
        <v>610627.62657421269</v>
      </c>
      <c r="W30" s="370">
        <f>SUM(W21:W28)</f>
        <v>630949.219050735</v>
      </c>
      <c r="Y30" s="370">
        <f>SUM(Y21:Y28)</f>
        <v>651980.309774864</v>
      </c>
      <c r="AA30" s="370">
        <f>SUM(AA21:AA28)</f>
        <v>673745.69603548443</v>
      </c>
      <c r="AC30" s="370">
        <f>SUM(AC21:AC28)</f>
        <v>696271.04232359689</v>
      </c>
      <c r="AE30" s="370">
        <f>SUM(AE21:AE28)</f>
        <v>719582.9106703304</v>
      </c>
      <c r="AG30" s="370">
        <f>SUM(AG21:AG28)</f>
        <v>743708.79204650794</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360538.6</v>
      </c>
      <c r="G32" s="370">
        <f>G10-G30</f>
        <v>365880.71499999997</v>
      </c>
      <c r="I32" s="370">
        <f>I10-I30</f>
        <v>371203.44812499994</v>
      </c>
      <c r="K32" s="370">
        <f>K10-K30</f>
        <v>376500.95461187518</v>
      </c>
      <c r="M32" s="370">
        <f>M10-M30</f>
        <v>381767.05582085298</v>
      </c>
      <c r="O32" s="370">
        <f>O10-O30</f>
        <v>386995.22431408439</v>
      </c>
      <c r="Q32" s="370">
        <f>Q10-Q30</f>
        <v>392178.56833100657</v>
      </c>
      <c r="S32" s="370">
        <f>S10-S30</f>
        <v>397309.81563736778</v>
      </c>
      <c r="U32" s="370">
        <f>U10-U30</f>
        <v>402381.2967239141</v>
      </c>
      <c r="W32" s="370">
        <f>W10-W30</f>
        <v>407384.9273298448</v>
      </c>
      <c r="Y32" s="370">
        <f>Y10-Y30</f>
        <v>412312.19026523037</v>
      </c>
      <c r="AA32" s="370">
        <f>AA10-AA30</f>
        <v>417154.11650561204</v>
      </c>
      <c r="AC32" s="370">
        <f>AC10-AC30</f>
        <v>421901.26553102664</v>
      </c>
      <c r="AE32" s="370">
        <f>AE10-AE30</f>
        <v>426543.70488065889</v>
      </c>
      <c r="AG32" s="370">
        <f>AG10-AG30</f>
        <v>431070.98889325594</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Tranche B Loan - Banner Bank</v>
      </c>
      <c r="B35" s="373"/>
      <c r="C35" s="367"/>
      <c r="E35" s="369">
        <v>320182</v>
      </c>
      <c r="F35" s="369"/>
      <c r="G35" s="369">
        <f>$E$35</f>
        <v>320182</v>
      </c>
      <c r="H35" s="369"/>
      <c r="I35" s="369">
        <f>$E$35</f>
        <v>320182</v>
      </c>
      <c r="J35" s="369"/>
      <c r="K35" s="369">
        <f>$E$35</f>
        <v>320182</v>
      </c>
      <c r="L35" s="369"/>
      <c r="M35" s="369">
        <f>$E$35</f>
        <v>320182</v>
      </c>
      <c r="N35" s="369"/>
      <c r="O35" s="369">
        <f>$E$35</f>
        <v>320182</v>
      </c>
      <c r="P35" s="369"/>
      <c r="Q35" s="369">
        <f>$E$35</f>
        <v>320182</v>
      </c>
      <c r="R35" s="369"/>
      <c r="S35" s="369">
        <f>$E$35</f>
        <v>320182</v>
      </c>
      <c r="T35" s="369"/>
      <c r="U35" s="369">
        <f>$E$35</f>
        <v>320182</v>
      </c>
      <c r="V35" s="369"/>
      <c r="W35" s="369">
        <f>$E$35</f>
        <v>320182</v>
      </c>
      <c r="X35" s="369"/>
      <c r="Y35" s="369">
        <f>$E$35</f>
        <v>320182</v>
      </c>
      <c r="Z35" s="369"/>
      <c r="AA35" s="369">
        <f>$E$35</f>
        <v>320182</v>
      </c>
      <c r="AB35" s="369"/>
      <c r="AC35" s="369">
        <f>$E$35</f>
        <v>320182</v>
      </c>
      <c r="AD35" s="369"/>
      <c r="AE35" s="369">
        <f>$E$35</f>
        <v>320182</v>
      </c>
      <c r="AF35" s="369"/>
      <c r="AG35" s="369">
        <f>$E$35</f>
        <v>320182</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320182</v>
      </c>
      <c r="G38" s="370">
        <f>SUM(G35:G37)</f>
        <v>320182</v>
      </c>
      <c r="I38" s="370">
        <f>SUM(I35:I37)</f>
        <v>320182</v>
      </c>
      <c r="K38" s="370">
        <f>SUM(K35:K37)</f>
        <v>320182</v>
      </c>
      <c r="M38" s="370">
        <f>SUM(M35:M37)</f>
        <v>320182</v>
      </c>
      <c r="O38" s="370">
        <f>SUM(O35:O37)</f>
        <v>320182</v>
      </c>
      <c r="Q38" s="370">
        <f>SUM(Q35:Q37)</f>
        <v>320182</v>
      </c>
      <c r="S38" s="370">
        <f>SUM(S35:S37)</f>
        <v>320182</v>
      </c>
      <c r="U38" s="370">
        <f>SUM(U35:U37)</f>
        <v>320182</v>
      </c>
      <c r="W38" s="370">
        <f>SUM(W35:W37)</f>
        <v>320182</v>
      </c>
      <c r="Y38" s="370">
        <f>SUM(Y35:Y37)</f>
        <v>320182</v>
      </c>
      <c r="AA38" s="370">
        <f>SUM(AA35:AA37)</f>
        <v>320182</v>
      </c>
      <c r="AC38" s="370">
        <f>SUM(AC35:AC37)</f>
        <v>320182</v>
      </c>
      <c r="AE38" s="370">
        <f>SUM(AE35:AE37)</f>
        <v>320182</v>
      </c>
      <c r="AG38" s="370">
        <f>SUM(AG35:AG37)</f>
        <v>320182</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40356.599999999977</v>
      </c>
      <c r="G40" s="370">
        <f>G32-G38</f>
        <v>45698.714999999967</v>
      </c>
      <c r="I40" s="370">
        <f>I32-I38</f>
        <v>51021.448124999937</v>
      </c>
      <c r="K40" s="370">
        <f>K32-K38</f>
        <v>56318.954611875175</v>
      </c>
      <c r="M40" s="370">
        <f>M32-M38</f>
        <v>61585.055820852984</v>
      </c>
      <c r="O40" s="370">
        <f>O32-O38</f>
        <v>66813.224314084393</v>
      </c>
      <c r="Q40" s="370">
        <f>Q32-Q38</f>
        <v>71996.568331006565</v>
      </c>
      <c r="S40" s="370">
        <f>S32-S38</f>
        <v>77127.815637367778</v>
      </c>
      <c r="U40" s="370">
        <f>U32-U38</f>
        <v>82199.2967239141</v>
      </c>
      <c r="W40" s="370">
        <f>W32-W38</f>
        <v>87202.927329844795</v>
      </c>
      <c r="Y40" s="370">
        <f>Y32-Y38</f>
        <v>92130.190265230369</v>
      </c>
      <c r="AA40" s="370">
        <f>AA32-AA38</f>
        <v>96972.116505612037</v>
      </c>
      <c r="AC40" s="370">
        <f>AC32-AC38</f>
        <v>101719.26553102664</v>
      </c>
      <c r="AE40" s="370">
        <f>AE32-AE38</f>
        <v>106361.70488065889</v>
      </c>
      <c r="AG40" s="370">
        <f>AG32-AG38</f>
        <v>110888.98889325594</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4.3685240592160217E-2</v>
      </c>
      <c r="G42" s="374">
        <f>G40/(G4+G6+G8)</f>
        <v>4.8261440949727348E-2</v>
      </c>
      <c r="I42" s="374">
        <f>I40/(I4+I6+I8)</f>
        <v>5.2568454823724672E-2</v>
      </c>
      <c r="K42" s="374">
        <f>K40/(K4+K6+K8)</f>
        <v>5.6611302912959197E-2</v>
      </c>
      <c r="M42" s="374">
        <f>M40/(M4+M6+M8)</f>
        <v>6.0394868425478421E-2</v>
      </c>
      <c r="O42" s="374">
        <f>O40/(O4+O6+O8)</f>
        <v>6.3923900285146995E-2</v>
      </c>
      <c r="Q42" s="374">
        <f>Q40/(Q4+Q6+Q8)</f>
        <v>6.7203016258576803E-2</v>
      </c>
      <c r="S42" s="374">
        <f>S40/(S4+S6+S8)</f>
        <v>7.0236706004348115E-2</v>
      </c>
      <c r="U42" s="374">
        <f>U40/(U4+U6+U8)</f>
        <v>7.3029334046399788E-2</v>
      </c>
      <c r="W42" s="374">
        <f>W40/(W4+W6+W8)</f>
        <v>7.5585142673420411E-2</v>
      </c>
      <c r="Y42" s="374">
        <f>Y40/(Y4+Y6+Y8)</f>
        <v>7.7908254766038146E-2</v>
      </c>
      <c r="AA42" s="374">
        <f>AA40/(AA4+AA6+AA8)</f>
        <v>8.0002676553547397E-2</v>
      </c>
      <c r="AC42" s="374">
        <f>AC40/(AC4+AC6+AC8)</f>
        <v>8.1872300301883583E-2</v>
      </c>
      <c r="AE42" s="374">
        <f>AE40/(AE4+AE6+AE8)</f>
        <v>8.3520906934504674E-2</v>
      </c>
      <c r="AG42" s="374">
        <f>AG40/(AG4+AG6+AG8)</f>
        <v>8.495216858779725E-2</v>
      </c>
    </row>
    <row r="43" spans="1:35" s="374" customFormat="1" ht="14.25">
      <c r="A43" s="374" t="s">
        <v>938</v>
      </c>
      <c r="C43" s="367"/>
      <c r="E43" s="374">
        <f>E40/E38</f>
        <v>0.1260426882210742</v>
      </c>
      <c r="G43" s="374">
        <f>G40/G38</f>
        <v>0.14272730821845064</v>
      </c>
      <c r="I43" s="374">
        <f>I40/I38</f>
        <v>0.15935139428512513</v>
      </c>
      <c r="K43" s="374">
        <f>K40/K38</f>
        <v>0.17589669191858123</v>
      </c>
      <c r="M43" s="374">
        <f>M40/M38</f>
        <v>0.19234390384485381</v>
      </c>
      <c r="O43" s="374">
        <f>O40/O38</f>
        <v>0.20867264341557112</v>
      </c>
      <c r="Q43" s="374">
        <f>Q40/Q38</f>
        <v>0.22486138612103918</v>
      </c>
      <c r="S43" s="374">
        <f>S40/S38</f>
        <v>0.24088741914713438</v>
      </c>
      <c r="U43" s="374">
        <f>U40/U38</f>
        <v>0.25672678890104411</v>
      </c>
      <c r="W43" s="374">
        <f>W40/W38</f>
        <v>0.27235424642810901</v>
      </c>
      <c r="Y43" s="374">
        <f>Y40/Y38</f>
        <v>0.28774319063916887</v>
      </c>
      <c r="AA43" s="374">
        <f>AA40/AA38</f>
        <v>0.3028656092647683</v>
      </c>
      <c r="AC43" s="374">
        <f>AC40/AC38</f>
        <v>0.31769201744953385</v>
      </c>
      <c r="AE43" s="374">
        <f>AE40/AE38</f>
        <v>0.33219139389678021</v>
      </c>
      <c r="AG43" s="374">
        <f>AG40/AG38</f>
        <v>0.34633111447006998</v>
      </c>
    </row>
    <row r="44" spans="1:35" s="375" customFormat="1" ht="14.25">
      <c r="A44" s="375" t="s">
        <v>936</v>
      </c>
      <c r="C44" s="376"/>
      <c r="E44" s="375">
        <f>E32/E38</f>
        <v>1.1260426882210741</v>
      </c>
      <c r="G44" s="375">
        <f>G32/G38</f>
        <v>1.1427273082184506</v>
      </c>
      <c r="I44" s="375">
        <f>I32/I38</f>
        <v>1.1593513942851252</v>
      </c>
      <c r="K44" s="375">
        <f>K32/K38</f>
        <v>1.1758966919185811</v>
      </c>
      <c r="M44" s="375">
        <f>M32/M38</f>
        <v>1.1923439038448538</v>
      </c>
      <c r="O44" s="375">
        <f>O32/O38</f>
        <v>1.208672643415571</v>
      </c>
      <c r="Q44" s="375">
        <f>Q32/Q38</f>
        <v>1.2248613861210391</v>
      </c>
      <c r="S44" s="375">
        <f>S32/S38</f>
        <v>1.2408874191471344</v>
      </c>
      <c r="U44" s="375">
        <f>U32/U38</f>
        <v>1.2567267889010441</v>
      </c>
      <c r="W44" s="375">
        <f>W32/W38</f>
        <v>1.272354246428109</v>
      </c>
      <c r="Y44" s="375">
        <f>Y32/Y38</f>
        <v>1.287743190639169</v>
      </c>
      <c r="AA44" s="375">
        <f>AA32/AA38</f>
        <v>1.3028656092647684</v>
      </c>
      <c r="AC44" s="375">
        <f>AC32/AC38</f>
        <v>1.3176920174495339</v>
      </c>
      <c r="AE44" s="375">
        <f>AE32/AE38</f>
        <v>1.3321913938967802</v>
      </c>
      <c r="AG44" s="375">
        <f>AG32/AG38</f>
        <v>1.34633111447007</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v>0.03</v>
      </c>
      <c r="E47" s="383">
        <v>20000</v>
      </c>
      <c r="G47" s="255">
        <f>E47+(E47*$C$47)</f>
        <v>20600</v>
      </c>
      <c r="I47" s="255">
        <f>G47+(G47*$C$47)</f>
        <v>21218</v>
      </c>
      <c r="K47" s="255">
        <f>I47+(I47*$C$47)</f>
        <v>21854.54</v>
      </c>
      <c r="M47" s="255">
        <f>K47+(K47*$C$47)</f>
        <v>22510.176200000002</v>
      </c>
      <c r="O47" s="255">
        <f>M47+(M47*$C$47)</f>
        <v>23185.481486000001</v>
      </c>
      <c r="Q47" s="255">
        <f>O47+(O47*$C$47)</f>
        <v>23881.04593058</v>
      </c>
      <c r="S47" s="255">
        <f>Q47+(Q47*$C$47)</f>
        <v>24597.4773084974</v>
      </c>
      <c r="U47" s="255">
        <f>S47+(S47*$C$47)</f>
        <v>25335.401627752322</v>
      </c>
      <c r="W47" s="255">
        <f>U47+(U47*$C$47)</f>
        <v>26095.463676584892</v>
      </c>
      <c r="Y47" s="255">
        <f>W47+(W47*$C$47)</f>
        <v>26878.327586882438</v>
      </c>
      <c r="AA47" s="255">
        <f>Y47+(Y47*$C$47)</f>
        <v>27684.677414488913</v>
      </c>
      <c r="AC47" s="255">
        <f>AA47+(AA47*$C$47)</f>
        <v>28515.21773692358</v>
      </c>
      <c r="AE47" s="255">
        <f>AC47+(AC47*$C$47)</f>
        <v>29370.674269031286</v>
      </c>
      <c r="AG47" s="255">
        <f>AE47+(AE47*$C$47)</f>
        <v>30251.794497102223</v>
      </c>
    </row>
    <row r="48" spans="1:35" s="152" customFormat="1">
      <c r="A48" s="152" t="s">
        <v>941</v>
      </c>
      <c r="C48" s="394">
        <v>0.03</v>
      </c>
      <c r="E48" s="384">
        <v>5000</v>
      </c>
      <c r="F48" s="363"/>
      <c r="G48" s="255">
        <f>E48+(E48*$C$47)</f>
        <v>5150</v>
      </c>
      <c r="H48" s="363"/>
      <c r="I48" s="255">
        <f>G48+(G48*$C$47)</f>
        <v>5304.5</v>
      </c>
      <c r="J48" s="363"/>
      <c r="K48" s="255">
        <f>I48+(I48*$C$47)</f>
        <v>5463.6350000000002</v>
      </c>
      <c r="L48" s="363"/>
      <c r="M48" s="255">
        <f>K48+(K48*$C$47)</f>
        <v>5627.5440500000004</v>
      </c>
      <c r="N48" s="363"/>
      <c r="O48" s="255">
        <f>M48+(M48*$C$47)</f>
        <v>5796.3703715000001</v>
      </c>
      <c r="P48" s="363"/>
      <c r="Q48" s="255">
        <f>O48+(O48*$C$47)</f>
        <v>5970.2614826449999</v>
      </c>
      <c r="R48" s="363"/>
      <c r="S48" s="255">
        <f>Q48+(Q48*$C$47)</f>
        <v>6149.3693271243501</v>
      </c>
      <c r="T48" s="363"/>
      <c r="U48" s="255">
        <f>S48+(S48*$C$47)</f>
        <v>6333.8504069380806</v>
      </c>
      <c r="V48" s="363"/>
      <c r="W48" s="255">
        <f>U48+(U48*$C$47)</f>
        <v>6523.865919146223</v>
      </c>
      <c r="X48" s="363"/>
      <c r="Y48" s="255">
        <f>W48+(W48*$C$47)</f>
        <v>6719.5818967206096</v>
      </c>
      <c r="Z48" s="363"/>
      <c r="AA48" s="255">
        <f>Y48+(Y48*$C$47)</f>
        <v>6921.1693536222283</v>
      </c>
      <c r="AB48" s="363"/>
      <c r="AC48" s="255">
        <f>AA48+(AA48*$C$47)</f>
        <v>7128.8044342308949</v>
      </c>
      <c r="AD48" s="363"/>
      <c r="AE48" s="255">
        <f>AC48+(AC48*$C$47)</f>
        <v>7342.6685672578215</v>
      </c>
      <c r="AF48" s="363"/>
      <c r="AG48" s="255">
        <f>AE48+(AE48*$C$47)</f>
        <v>7562.9486242755556</v>
      </c>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25000</v>
      </c>
      <c r="F52" s="363"/>
      <c r="G52" s="363">
        <f>SUM(G47:G51)</f>
        <v>25750</v>
      </c>
      <c r="H52" s="363"/>
      <c r="I52" s="363">
        <f>SUM(I47:I51)</f>
        <v>26522.5</v>
      </c>
      <c r="J52" s="363"/>
      <c r="K52" s="363">
        <f>SUM(K47:K51)</f>
        <v>27318.175000000003</v>
      </c>
      <c r="L52" s="363"/>
      <c r="M52" s="363">
        <f>SUM(M47:M51)</f>
        <v>28137.720250000002</v>
      </c>
      <c r="N52" s="363"/>
      <c r="O52" s="363">
        <f>SUM(O47:O51)</f>
        <v>28981.851857500002</v>
      </c>
      <c r="P52" s="363"/>
      <c r="Q52" s="363">
        <f>SUM(Q47:Q51)</f>
        <v>29851.307413225</v>
      </c>
      <c r="R52" s="363"/>
      <c r="S52" s="363">
        <f>SUM(S47:S51)</f>
        <v>30746.84663562175</v>
      </c>
      <c r="T52" s="363"/>
      <c r="U52" s="363">
        <f>SUM(U47:U51)</f>
        <v>31669.252034690402</v>
      </c>
      <c r="V52" s="363"/>
      <c r="W52" s="363">
        <f>SUM(W47:W51)</f>
        <v>32619.329595731113</v>
      </c>
      <c r="X52" s="363"/>
      <c r="Y52" s="363">
        <f>SUM(Y47:Y51)</f>
        <v>33597.909483603049</v>
      </c>
      <c r="Z52" s="363"/>
      <c r="AA52" s="363">
        <f>SUM(AA47:AA51)</f>
        <v>34605.846768111143</v>
      </c>
      <c r="AB52" s="363"/>
      <c r="AC52" s="363">
        <f>SUM(AC47:AC51)</f>
        <v>35644.022171154473</v>
      </c>
      <c r="AD52" s="363"/>
      <c r="AE52" s="363">
        <f>SUM(AE47:AE51)</f>
        <v>36713.342836289106</v>
      </c>
      <c r="AF52" s="363"/>
      <c r="AG52" s="363">
        <f>SUM(AG47:AG51)</f>
        <v>37814.743121377775</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15356.599999999977</v>
      </c>
      <c r="G54" s="255">
        <f>G40-G52</f>
        <v>19948.714999999967</v>
      </c>
      <c r="I54" s="255">
        <f>I40-I52</f>
        <v>24498.948124999937</v>
      </c>
      <c r="K54" s="255">
        <f>K40-K52</f>
        <v>29000.779611875172</v>
      </c>
      <c r="M54" s="255">
        <f>M40-M52</f>
        <v>33447.335570852985</v>
      </c>
      <c r="O54" s="255">
        <f>O40-O52</f>
        <v>37831.372456584388</v>
      </c>
      <c r="Q54" s="255">
        <f>Q40-Q52</f>
        <v>42145.260917781561</v>
      </c>
      <c r="S54" s="255">
        <f>S40-S52</f>
        <v>46380.969001746023</v>
      </c>
      <c r="U54" s="255">
        <f>U40-U52</f>
        <v>50530.044689223694</v>
      </c>
      <c r="W54" s="255">
        <f>W40-W52</f>
        <v>54583.597734113682</v>
      </c>
      <c r="Y54" s="255">
        <f>Y40-Y52</f>
        <v>58532.28078162732</v>
      </c>
      <c r="AA54" s="255">
        <f>AA40-AA52</f>
        <v>62366.269737500894</v>
      </c>
      <c r="AC54" s="255">
        <f>AC40-AC52</f>
        <v>66075.243359872169</v>
      </c>
      <c r="AE54" s="255">
        <f>AE40-AE52</f>
        <v>69648.362044369773</v>
      </c>
      <c r="AG54" s="255">
        <f>AG40-AG52</f>
        <v>73074.245771878166</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6" t="s">
        <v>1773</v>
      </c>
      <c r="B59" s="383"/>
      <c r="C59" s="381"/>
      <c r="E59" s="383">
        <f>0.5*E54</f>
        <v>7678.2999999999884</v>
      </c>
      <c r="G59" s="383">
        <f>0.5*G54</f>
        <v>9974.3574999999837</v>
      </c>
      <c r="I59" s="383">
        <f>0.5*I54</f>
        <v>12249.474062499969</v>
      </c>
      <c r="K59" s="383">
        <f>0.5*K54</f>
        <v>14500.389805937586</v>
      </c>
      <c r="M59" s="383">
        <f>0.5*M54</f>
        <v>16723.667785426493</v>
      </c>
      <c r="O59" s="383">
        <f>0.5*O54</f>
        <v>18915.686228292194</v>
      </c>
      <c r="Q59" s="383">
        <f>0.5*Q54</f>
        <v>21072.630458890781</v>
      </c>
      <c r="S59" s="383">
        <f>0.5*S54</f>
        <v>23190.484500873012</v>
      </c>
      <c r="U59" s="383">
        <f>0.5*U54</f>
        <v>25265.022344611847</v>
      </c>
      <c r="W59" s="383">
        <f>0.5*W54</f>
        <v>27291.798867056841</v>
      </c>
      <c r="Y59" s="383">
        <f>0.5*Y54</f>
        <v>29266.14039081366</v>
      </c>
      <c r="AA59" s="383">
        <f>0.5*AA54</f>
        <v>31183.134868750447</v>
      </c>
      <c r="AC59" s="383">
        <f>0.5*AC54</f>
        <v>33037.621679936085</v>
      </c>
      <c r="AE59" s="383">
        <f>0.5*AE54</f>
        <v>34824.181022184886</v>
      </c>
      <c r="AG59" s="383">
        <f>0.5*AG54</f>
        <v>36537.122885939083</v>
      </c>
    </row>
    <row r="60" spans="1:35" s="363" customFormat="1">
      <c r="A60" s="957" t="s">
        <v>1774</v>
      </c>
      <c r="B60" s="384"/>
      <c r="C60" s="364"/>
      <c r="E60" s="383">
        <f>0.5*E54</f>
        <v>7678.2999999999884</v>
      </c>
      <c r="G60" s="383">
        <f>0.5*G54</f>
        <v>9974.3574999999837</v>
      </c>
      <c r="I60" s="383">
        <f>0.5*I54</f>
        <v>12249.474062499969</v>
      </c>
      <c r="K60" s="383">
        <f>0.5*K54</f>
        <v>14500.389805937586</v>
      </c>
      <c r="M60" s="383">
        <f>0.5*M54</f>
        <v>16723.667785426493</v>
      </c>
      <c r="O60" s="383">
        <f>0.5*O54</f>
        <v>18915.686228292194</v>
      </c>
      <c r="Q60" s="383">
        <f>0.5*Q54</f>
        <v>21072.630458890781</v>
      </c>
      <c r="S60" s="383">
        <f>0.5*S54</f>
        <v>23190.484500873012</v>
      </c>
      <c r="U60" s="383">
        <f>0.5*U54</f>
        <v>25265.022344611847</v>
      </c>
      <c r="W60" s="383">
        <f>0.5*W54</f>
        <v>27291.798867056841</v>
      </c>
      <c r="Y60" s="383">
        <f>0.5*Y54</f>
        <v>29266.14039081366</v>
      </c>
      <c r="AA60" s="383">
        <f>0.5*AA54</f>
        <v>31183.134868750447</v>
      </c>
      <c r="AC60" s="383">
        <f>0.5*AC54</f>
        <v>33037.621679936085</v>
      </c>
      <c r="AE60" s="383">
        <f>0.5*AE54</f>
        <v>34824.181022184886</v>
      </c>
      <c r="AG60" s="383">
        <f>0.5*AG54</f>
        <v>36537.122885939083</v>
      </c>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06" t="s">
        <v>950</v>
      </c>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Marie Allen</cp:lastModifiedBy>
  <cp:lastPrinted>2019-12-27T22:34:09Z</cp:lastPrinted>
  <dcterms:created xsi:type="dcterms:W3CDTF">2007-12-27T18:26:28Z</dcterms:created>
  <dcterms:modified xsi:type="dcterms:W3CDTF">2020-09-23T21:10:36Z</dcterms:modified>
</cp:coreProperties>
</file>