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L:\San Cris Rehab 2018\05 finance\5.08 TCAC\5.8.3 application\5.8.3.2 Draft\Attachment 40\"/>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0388" yWindow="0" windowWidth="13620" windowHeight="2106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A910" i="3" l="1"/>
  <c r="M922" i="3" l="1"/>
  <c r="AA905" i="3"/>
  <c r="AA896" i="3"/>
  <c r="AA893" i="3"/>
  <c r="S52" i="4" l="1"/>
  <c r="S44" i="4"/>
  <c r="C93" i="4"/>
  <c r="C47" i="4"/>
  <c r="C44" i="4"/>
  <c r="AE554" i="3"/>
  <c r="C52" i="4"/>
  <c r="AA937" i="3"/>
  <c r="Q18" i="4"/>
  <c r="AG628" i="3"/>
  <c r="O24" i="4"/>
  <c r="O23" i="4"/>
  <c r="O20" i="4"/>
  <c r="O19" i="4"/>
  <c r="I18" i="4"/>
  <c r="I25" i="4" s="1"/>
  <c r="H18" i="4"/>
  <c r="G18" i="4"/>
  <c r="F18" i="4"/>
  <c r="S66" i="4"/>
  <c r="S67" i="4" s="1"/>
  <c r="E67" i="13" s="1"/>
  <c r="C76" i="4"/>
  <c r="S76" i="4"/>
  <c r="S78" i="4" s="1"/>
  <c r="E78" i="13" s="1"/>
  <c r="S77" i="4"/>
  <c r="B45" i="11"/>
  <c r="D45" i="11" s="1"/>
  <c r="S92" i="4"/>
  <c r="S91" i="4"/>
  <c r="S89" i="4"/>
  <c r="S86" i="4"/>
  <c r="E86" i="13" s="1"/>
  <c r="S83" i="4"/>
  <c r="S81" i="4"/>
  <c r="E81" i="13" s="1"/>
  <c r="S50" i="4"/>
  <c r="S48" i="4"/>
  <c r="E48" i="13" s="1"/>
  <c r="S46" i="4"/>
  <c r="S41" i="4"/>
  <c r="E41" i="13"/>
  <c r="S38" i="4"/>
  <c r="E38" i="13" s="1"/>
  <c r="S26" i="4"/>
  <c r="S24" i="4"/>
  <c r="E24" i="13" s="1"/>
  <c r="S23" i="4"/>
  <c r="S22" i="4"/>
  <c r="S21" i="4"/>
  <c r="S20" i="4"/>
  <c r="E20" i="13" s="1"/>
  <c r="S19" i="4"/>
  <c r="E19" i="13" s="1"/>
  <c r="S18" i="4"/>
  <c r="E18" i="13"/>
  <c r="T9" i="4"/>
  <c r="C66" i="4"/>
  <c r="C13" i="4"/>
  <c r="C65" i="4"/>
  <c r="B66" i="11" s="1"/>
  <c r="C60" i="4"/>
  <c r="C90" i="4"/>
  <c r="B90" i="13" s="1"/>
  <c r="C51" i="4"/>
  <c r="S51" i="4" s="1"/>
  <c r="E51" i="13" s="1"/>
  <c r="W838" i="3"/>
  <c r="W840" i="3"/>
  <c r="E17" i="7" s="1"/>
  <c r="G17" i="7" s="1"/>
  <c r="I17" i="7" s="1"/>
  <c r="K17" i="7" s="1"/>
  <c r="M17" i="7" s="1"/>
  <c r="O17" i="7" s="1"/>
  <c r="Q17" i="7" s="1"/>
  <c r="S17" i="7"/>
  <c r="U17" i="7" s="1"/>
  <c r="W17" i="7" s="1"/>
  <c r="Y17" i="7" s="1"/>
  <c r="AA17" i="7" s="1"/>
  <c r="AC17" i="7" s="1"/>
  <c r="AE17" i="7" s="1"/>
  <c r="AG17" i="7" s="1"/>
  <c r="G48" i="7"/>
  <c r="I48" i="7" s="1"/>
  <c r="K48" i="7" s="1"/>
  <c r="M48" i="7" s="1"/>
  <c r="O48" i="7" s="1"/>
  <c r="Q48" i="7" s="1"/>
  <c r="S48" i="7" s="1"/>
  <c r="U48" i="7" s="1"/>
  <c r="W48" i="7"/>
  <c r="Y48" i="7" s="1"/>
  <c r="AA48" i="7" s="1"/>
  <c r="AC48" i="7" s="1"/>
  <c r="AE48" i="7" s="1"/>
  <c r="AG48" i="7" s="1"/>
  <c r="G47" i="7"/>
  <c r="I47" i="7"/>
  <c r="K47" i="7"/>
  <c r="M47" i="7" s="1"/>
  <c r="A36" i="7"/>
  <c r="AB625" i="3"/>
  <c r="E37" i="7" s="1"/>
  <c r="AB627" i="3"/>
  <c r="AC864" i="3"/>
  <c r="AG626" i="3"/>
  <c r="N98" i="4" s="1"/>
  <c r="C622" i="3"/>
  <c r="AG625" i="3"/>
  <c r="M9" i="4"/>
  <c r="S625" i="3"/>
  <c r="P625" i="3"/>
  <c r="C625" i="3"/>
  <c r="AG623" i="3"/>
  <c r="K9" i="4" s="1"/>
  <c r="K11" i="4" s="1"/>
  <c r="S623" i="3"/>
  <c r="P623" i="3"/>
  <c r="C623" i="3"/>
  <c r="AG622" i="3"/>
  <c r="B4" i="4"/>
  <c r="J4" i="4"/>
  <c r="J9" i="4"/>
  <c r="J11" i="4" s="1"/>
  <c r="S622" i="3"/>
  <c r="P622" i="3"/>
  <c r="AG621" i="3"/>
  <c r="S621" i="3"/>
  <c r="P621" i="3"/>
  <c r="C621" i="3"/>
  <c r="AB619" i="3"/>
  <c r="E36" i="7" s="1"/>
  <c r="P618" i="3"/>
  <c r="AB618" i="3"/>
  <c r="E35" i="7" s="1"/>
  <c r="A3" i="15"/>
  <c r="AN929" i="3"/>
  <c r="AD64" i="15"/>
  <c r="A61" i="15"/>
  <c r="AD67" i="15"/>
  <c r="Y67" i="15"/>
  <c r="Y64" i="15"/>
  <c r="Y68" i="15" s="1"/>
  <c r="AI20" i="15"/>
  <c r="AI22" i="15" s="1"/>
  <c r="AD20" i="15"/>
  <c r="AD22" i="15" s="1"/>
  <c r="T11" i="4"/>
  <c r="R10" i="4"/>
  <c r="T25" i="15"/>
  <c r="AI7" i="15" s="1"/>
  <c r="AG428" i="3"/>
  <c r="AG431" i="3"/>
  <c r="B58" i="4"/>
  <c r="E58" i="4" s="1"/>
  <c r="C78" i="11"/>
  <c r="D78" i="11" s="1"/>
  <c r="B78" i="11"/>
  <c r="I95" i="13"/>
  <c r="J95" i="13"/>
  <c r="J78" i="13"/>
  <c r="I78" i="13"/>
  <c r="G78" i="13"/>
  <c r="F78" i="13"/>
  <c r="D78" i="13"/>
  <c r="C78" i="13"/>
  <c r="H77" i="13"/>
  <c r="E77" i="13"/>
  <c r="B77" i="13"/>
  <c r="B77" i="4"/>
  <c r="E77" i="4" s="1"/>
  <c r="R77" i="4"/>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2" i="13"/>
  <c r="E91" i="13"/>
  <c r="E90" i="13"/>
  <c r="E89" i="13"/>
  <c r="E88" i="13"/>
  <c r="E87" i="13"/>
  <c r="E84" i="13"/>
  <c r="E83" i="13"/>
  <c r="E82" i="13"/>
  <c r="E65" i="13"/>
  <c r="E52" i="13"/>
  <c r="E50" i="13"/>
  <c r="E49" i="13"/>
  <c r="E47" i="13"/>
  <c r="E45" i="13"/>
  <c r="E44" i="13"/>
  <c r="E43" i="13"/>
  <c r="E39" i="13"/>
  <c r="E35" i="13"/>
  <c r="E34" i="13"/>
  <c r="E33" i="13"/>
  <c r="E32" i="13"/>
  <c r="E31" i="13"/>
  <c r="E30" i="13"/>
  <c r="E29" i="13"/>
  <c r="E28" i="13"/>
  <c r="E26" i="13"/>
  <c r="E23" i="13"/>
  <c r="E22" i="13"/>
  <c r="E21" i="13"/>
  <c r="E17" i="13"/>
  <c r="E15" i="13"/>
  <c r="E14" i="13"/>
  <c r="E13" i="13"/>
  <c r="E10" i="13"/>
  <c r="B103" i="13"/>
  <c r="B102" i="13"/>
  <c r="B101" i="13"/>
  <c r="B100" i="13"/>
  <c r="B99" i="13"/>
  <c r="B98" i="13"/>
  <c r="B94" i="13"/>
  <c r="B92" i="13"/>
  <c r="B91" i="13"/>
  <c r="B89" i="13"/>
  <c r="B88" i="13"/>
  <c r="B87" i="13"/>
  <c r="B86" i="13"/>
  <c r="B85" i="13"/>
  <c r="B84" i="13"/>
  <c r="B83" i="13"/>
  <c r="B82" i="13"/>
  <c r="B81" i="13"/>
  <c r="B80" i="13"/>
  <c r="B73" i="13"/>
  <c r="B72" i="13"/>
  <c r="B71" i="13"/>
  <c r="B70" i="13"/>
  <c r="B69" i="13"/>
  <c r="C67" i="4"/>
  <c r="B66" i="13"/>
  <c r="B65" i="13"/>
  <c r="B61" i="13"/>
  <c r="B59" i="13"/>
  <c r="B58" i="13"/>
  <c r="B57" i="13"/>
  <c r="B56" i="13"/>
  <c r="B55"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c r="F36" i="13"/>
  <c r="D40" i="13"/>
  <c r="C40" i="13"/>
  <c r="J36" i="13"/>
  <c r="I36" i="13"/>
  <c r="G36" i="13"/>
  <c r="D36" i="13"/>
  <c r="C36" i="13"/>
  <c r="J25" i="13"/>
  <c r="I25" i="13"/>
  <c r="I63" i="13"/>
  <c r="I96" i="13" s="1"/>
  <c r="I105" i="13" s="1"/>
  <c r="I107" i="13" s="1"/>
  <c r="I11" i="13"/>
  <c r="G25" i="13"/>
  <c r="D25" i="13"/>
  <c r="C25" i="13"/>
  <c r="J11" i="13"/>
  <c r="D11" i="13"/>
  <c r="C11" i="13"/>
  <c r="C12" i="13" s="1"/>
  <c r="C8" i="13"/>
  <c r="D8" i="13"/>
  <c r="R103" i="4"/>
  <c r="R99" i="4"/>
  <c r="R100" i="4"/>
  <c r="R101" i="4"/>
  <c r="R102" i="4"/>
  <c r="R58" i="4"/>
  <c r="R35" i="4"/>
  <c r="R34" i="4"/>
  <c r="R33" i="4"/>
  <c r="R32" i="4"/>
  <c r="R31" i="4"/>
  <c r="R30" i="4"/>
  <c r="R29" i="4"/>
  <c r="R36" i="4" s="1"/>
  <c r="R28" i="4"/>
  <c r="R5" i="4"/>
  <c r="R6" i="4"/>
  <c r="R7" i="4"/>
  <c r="AD991" i="3"/>
  <c r="B5" i="11"/>
  <c r="C5" i="11"/>
  <c r="B6" i="11"/>
  <c r="C6" i="11"/>
  <c r="B7" i="11"/>
  <c r="C7" i="11"/>
  <c r="C8" i="11"/>
  <c r="C10" i="11"/>
  <c r="B10" i="11"/>
  <c r="B12" i="11"/>
  <c r="B8" i="11"/>
  <c r="B11" i="11"/>
  <c r="C11" i="11"/>
  <c r="B14" i="11"/>
  <c r="C14" i="11"/>
  <c r="B15" i="11"/>
  <c r="C15" i="11"/>
  <c r="D15" i="11" s="1"/>
  <c r="B16" i="11"/>
  <c r="C16" i="11"/>
  <c r="D16" i="11" s="1"/>
  <c r="B18" i="11"/>
  <c r="B26" i="11" s="1"/>
  <c r="C18" i="11"/>
  <c r="B19" i="11"/>
  <c r="D19" i="11" s="1"/>
  <c r="C19" i="11"/>
  <c r="B20" i="11"/>
  <c r="C20" i="11"/>
  <c r="B21" i="11"/>
  <c r="D21" i="11" s="1"/>
  <c r="C21" i="11"/>
  <c r="B22" i="11"/>
  <c r="B23" i="11"/>
  <c r="B24" i="11"/>
  <c r="B25" i="11"/>
  <c r="C22" i="11"/>
  <c r="D22" i="11"/>
  <c r="C23" i="11"/>
  <c r="C24" i="11"/>
  <c r="D24" i="11"/>
  <c r="C25" i="11"/>
  <c r="D25" i="11" s="1"/>
  <c r="B27" i="11"/>
  <c r="D27" i="11" s="1"/>
  <c r="C27" i="11"/>
  <c r="B29" i="11"/>
  <c r="B30" i="11"/>
  <c r="B31" i="11"/>
  <c r="B32" i="11"/>
  <c r="B33" i="11"/>
  <c r="D33" i="11"/>
  <c r="B34" i="11"/>
  <c r="B35" i="11"/>
  <c r="B36" i="11"/>
  <c r="C29" i="11"/>
  <c r="D29" i="11" s="1"/>
  <c r="C30" i="11"/>
  <c r="C31" i="11"/>
  <c r="C32" i="11"/>
  <c r="C33" i="11"/>
  <c r="C34" i="11"/>
  <c r="D34" i="11"/>
  <c r="C35" i="11"/>
  <c r="D35" i="11" s="1"/>
  <c r="C36" i="11"/>
  <c r="D36" i="11"/>
  <c r="B39" i="11"/>
  <c r="C39" i="11"/>
  <c r="C40" i="11"/>
  <c r="B40" i="11"/>
  <c r="D40" i="11" s="1"/>
  <c r="B41" i="11"/>
  <c r="B42" i="11"/>
  <c r="C42" i="11"/>
  <c r="D42" i="11"/>
  <c r="B44" i="11"/>
  <c r="C44" i="11"/>
  <c r="C45" i="11"/>
  <c r="B46" i="11"/>
  <c r="B47" i="11"/>
  <c r="D47" i="11"/>
  <c r="B48" i="11"/>
  <c r="C48" i="11"/>
  <c r="B49" i="11"/>
  <c r="B50" i="11"/>
  <c r="B51" i="11"/>
  <c r="D51" i="11" s="1"/>
  <c r="C46" i="11"/>
  <c r="C47" i="11"/>
  <c r="C49" i="11"/>
  <c r="C50" i="11"/>
  <c r="D50" i="11" s="1"/>
  <c r="C51" i="11"/>
  <c r="B56" i="11"/>
  <c r="C56" i="11"/>
  <c r="B57" i="11"/>
  <c r="C57" i="11"/>
  <c r="B58" i="11"/>
  <c r="C58" i="11"/>
  <c r="B59" i="11"/>
  <c r="C59" i="11"/>
  <c r="D59" i="11" s="1"/>
  <c r="B60" i="11"/>
  <c r="C60" i="11"/>
  <c r="B61" i="11"/>
  <c r="B62" i="11"/>
  <c r="C62" i="11"/>
  <c r="D62" i="11" s="1"/>
  <c r="B67" i="11"/>
  <c r="B68" i="11" s="1"/>
  <c r="C66" i="11"/>
  <c r="C67" i="11"/>
  <c r="B70" i="11"/>
  <c r="C70" i="11"/>
  <c r="B71" i="11"/>
  <c r="C71" i="11"/>
  <c r="B72" i="11"/>
  <c r="C72" i="11"/>
  <c r="B73" i="11"/>
  <c r="C73" i="11"/>
  <c r="D73" i="11" s="1"/>
  <c r="B74" i="11"/>
  <c r="C74" i="11"/>
  <c r="D74" i="11" s="1"/>
  <c r="B81" i="11"/>
  <c r="C81" i="11"/>
  <c r="D81" i="11"/>
  <c r="B82" i="11"/>
  <c r="C82" i="11"/>
  <c r="C83" i="11"/>
  <c r="D83" i="11"/>
  <c r="C84" i="11"/>
  <c r="C85" i="11"/>
  <c r="C86" i="11"/>
  <c r="D86" i="11" s="1"/>
  <c r="C87" i="11"/>
  <c r="D87" i="11" s="1"/>
  <c r="C88" i="11"/>
  <c r="C89" i="11"/>
  <c r="C90" i="11"/>
  <c r="C91" i="11"/>
  <c r="D91" i="11" s="1"/>
  <c r="C92" i="11"/>
  <c r="C93" i="11"/>
  <c r="C95" i="11"/>
  <c r="D95" i="11" s="1"/>
  <c r="B83" i="11"/>
  <c r="B84" i="11"/>
  <c r="D84" i="11"/>
  <c r="B85" i="11"/>
  <c r="B86" i="11"/>
  <c r="B87" i="11"/>
  <c r="B88" i="11"/>
  <c r="D88" i="11"/>
  <c r="B89" i="11"/>
  <c r="B90" i="11"/>
  <c r="B91" i="11"/>
  <c r="B92" i="11"/>
  <c r="B93" i="11"/>
  <c r="D93" i="11" s="1"/>
  <c r="B95" i="11"/>
  <c r="B99" i="11"/>
  <c r="C99" i="11"/>
  <c r="D99" i="11" s="1"/>
  <c r="B100" i="11"/>
  <c r="B101" i="11"/>
  <c r="B102" i="11"/>
  <c r="B103" i="11"/>
  <c r="B104" i="11"/>
  <c r="D104" i="11" s="1"/>
  <c r="C100" i="11"/>
  <c r="C101" i="11"/>
  <c r="C102" i="11"/>
  <c r="C103" i="11"/>
  <c r="D103" i="11"/>
  <c r="C104" i="11"/>
  <c r="A4" i="8"/>
  <c r="B4" i="8"/>
  <c r="F4" i="8"/>
  <c r="C4" i="8"/>
  <c r="H4" i="8"/>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8" i="3" s="1"/>
  <c r="Y756" i="3"/>
  <c r="Y757" i="3"/>
  <c r="Y768" i="3"/>
  <c r="Y769" i="3"/>
  <c r="Y778" i="3" s="1"/>
  <c r="Y780" i="3" s="1"/>
  <c r="Y770" i="3"/>
  <c r="Y771" i="3"/>
  <c r="Y772" i="3"/>
  <c r="Y773" i="3"/>
  <c r="Y774" i="3"/>
  <c r="Y775" i="3"/>
  <c r="Y776" i="3"/>
  <c r="Y777" i="3"/>
  <c r="Z797" i="3"/>
  <c r="E8" i="7"/>
  <c r="G8" i="7" s="1"/>
  <c r="W827" i="3"/>
  <c r="E14" i="7"/>
  <c r="G14" i="7" s="1"/>
  <c r="I14" i="7" s="1"/>
  <c r="E15" i="7"/>
  <c r="G15" i="7" s="1"/>
  <c r="I15" i="7" s="1"/>
  <c r="K15" i="7" s="1"/>
  <c r="M15" i="7" s="1"/>
  <c r="O15" i="7" s="1"/>
  <c r="Q15" i="7"/>
  <c r="S15" i="7" s="1"/>
  <c r="U15" i="7" s="1"/>
  <c r="W15" i="7" s="1"/>
  <c r="Y15" i="7" s="1"/>
  <c r="AA15" i="7"/>
  <c r="AC15" i="7" s="1"/>
  <c r="AE15" i="7" s="1"/>
  <c r="AG15" i="7" s="1"/>
  <c r="W835" i="3"/>
  <c r="E16" i="7"/>
  <c r="G16" i="7" s="1"/>
  <c r="I16" i="7" s="1"/>
  <c r="E18" i="7"/>
  <c r="G18" i="7" s="1"/>
  <c r="I18" i="7" s="1"/>
  <c r="K18" i="7"/>
  <c r="M18" i="7" s="1"/>
  <c r="O18" i="7" s="1"/>
  <c r="Q18" i="7" s="1"/>
  <c r="S18" i="7" s="1"/>
  <c r="U18" i="7"/>
  <c r="W18" i="7" s="1"/>
  <c r="Y18" i="7" s="1"/>
  <c r="AA18" i="7" s="1"/>
  <c r="AC18" i="7" s="1"/>
  <c r="AE18" i="7" s="1"/>
  <c r="AG18" i="7" s="1"/>
  <c r="W850" i="3"/>
  <c r="E19" i="7"/>
  <c r="G19" i="7" s="1"/>
  <c r="I19" i="7" s="1"/>
  <c r="K19" i="7"/>
  <c r="M19" i="7" s="1"/>
  <c r="O19" i="7" s="1"/>
  <c r="Q19" i="7" s="1"/>
  <c r="S19" i="7" s="1"/>
  <c r="U19" i="7" s="1"/>
  <c r="W19" i="7" s="1"/>
  <c r="Y19" i="7" s="1"/>
  <c r="AA19" i="7" s="1"/>
  <c r="AC19" i="7" s="1"/>
  <c r="AE19" i="7" s="1"/>
  <c r="AG19" i="7" s="1"/>
  <c r="W857" i="3"/>
  <c r="E20" i="7"/>
  <c r="G20" i="7" s="1"/>
  <c r="I20" i="7" s="1"/>
  <c r="K20" i="7" s="1"/>
  <c r="M20" i="7" s="1"/>
  <c r="O20" i="7" s="1"/>
  <c r="Q20" i="7" s="1"/>
  <c r="S20" i="7" s="1"/>
  <c r="U20" i="7" s="1"/>
  <c r="W20" i="7" s="1"/>
  <c r="Y20" i="7" s="1"/>
  <c r="AA20" i="7" s="1"/>
  <c r="AC20" i="7" s="1"/>
  <c r="AE20" i="7" s="1"/>
  <c r="AG20" i="7" s="1"/>
  <c r="E23" i="7"/>
  <c r="G23" i="7"/>
  <c r="I23" i="7" s="1"/>
  <c r="K23" i="7" s="1"/>
  <c r="M23" i="7"/>
  <c r="O23" i="7" s="1"/>
  <c r="Q23" i="7" s="1"/>
  <c r="S23" i="7" s="1"/>
  <c r="U23" i="7" s="1"/>
  <c r="W23" i="7"/>
  <c r="Y23" i="7" s="1"/>
  <c r="AA23" i="7" s="1"/>
  <c r="AC23" i="7" s="1"/>
  <c r="AE23" i="7" s="1"/>
  <c r="AG23" i="7"/>
  <c r="E24" i="7"/>
  <c r="G24" i="7"/>
  <c r="I24" i="7" s="1"/>
  <c r="K24" i="7"/>
  <c r="M24" i="7" s="1"/>
  <c r="O24" i="7" s="1"/>
  <c r="Q24" i="7" s="1"/>
  <c r="S24" i="7" s="1"/>
  <c r="U24" i="7"/>
  <c r="W24" i="7" s="1"/>
  <c r="Y24" i="7" s="1"/>
  <c r="AA24" i="7" s="1"/>
  <c r="AC24" i="7" s="1"/>
  <c r="AE24" i="7" s="1"/>
  <c r="AG24" i="7" s="1"/>
  <c r="E25" i="7"/>
  <c r="AE25" i="7"/>
  <c r="E26" i="7"/>
  <c r="G26" i="7"/>
  <c r="I26" i="7" s="1"/>
  <c r="K26" i="7"/>
  <c r="M26" i="7" s="1"/>
  <c r="O26" i="7" s="1"/>
  <c r="Q26" i="7" s="1"/>
  <c r="S26" i="7"/>
  <c r="U26" i="7" s="1"/>
  <c r="W26" i="7" s="1"/>
  <c r="Y26" i="7" s="1"/>
  <c r="AA26" i="7"/>
  <c r="AC26" i="7" s="1"/>
  <c r="AE26" i="7" s="1"/>
  <c r="AG26" i="7" s="1"/>
  <c r="A27" i="7"/>
  <c r="E27" i="7"/>
  <c r="G27" i="7"/>
  <c r="I27" i="7" s="1"/>
  <c r="K27" i="7"/>
  <c r="M27" i="7" s="1"/>
  <c r="O27" i="7" s="1"/>
  <c r="Q27" i="7" s="1"/>
  <c r="S27" i="7" s="1"/>
  <c r="U27" i="7" s="1"/>
  <c r="W27" i="7" s="1"/>
  <c r="Y27" i="7" s="1"/>
  <c r="AA27" i="7" s="1"/>
  <c r="AC27" i="7" s="1"/>
  <c r="AE27" i="7" s="1"/>
  <c r="AG27" i="7" s="1"/>
  <c r="A28" i="7"/>
  <c r="E28" i="7"/>
  <c r="G28" i="7"/>
  <c r="I28" i="7" s="1"/>
  <c r="K28" i="7"/>
  <c r="M28" i="7" s="1"/>
  <c r="O28" i="7" s="1"/>
  <c r="Q28" i="7" s="1"/>
  <c r="S28" i="7"/>
  <c r="U28" i="7" s="1"/>
  <c r="W28" i="7" s="1"/>
  <c r="Y28" i="7" s="1"/>
  <c r="AA28" i="7"/>
  <c r="AC28" i="7" s="1"/>
  <c r="AE28" i="7" s="1"/>
  <c r="AG28" i="7" s="1"/>
  <c r="A35" i="7"/>
  <c r="G36" i="7"/>
  <c r="I36" i="7"/>
  <c r="K36" i="7"/>
  <c r="O36" i="7"/>
  <c r="Q36" i="7"/>
  <c r="W36" i="7"/>
  <c r="Y36" i="7"/>
  <c r="AA36" i="7"/>
  <c r="AC36" i="7"/>
  <c r="AE36" i="7"/>
  <c r="AG36" i="7"/>
  <c r="U37" i="7"/>
  <c r="E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1" i="3" s="1"/>
  <c r="BA620" i="3"/>
  <c r="BA623" i="3"/>
  <c r="BA624" i="3"/>
  <c r="BA633" i="3" s="1"/>
  <c r="BA625" i="3"/>
  <c r="BA626" i="3"/>
  <c r="BA627" i="3"/>
  <c r="BA628" i="3"/>
  <c r="BA629" i="3"/>
  <c r="BA630" i="3"/>
  <c r="BA631" i="3"/>
  <c r="BA632" i="3"/>
  <c r="BF589" i="3"/>
  <c r="BF590" i="3"/>
  <c r="BF614"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1" i="3" s="1"/>
  <c r="BK620" i="3"/>
  <c r="BK623" i="3"/>
  <c r="BK624" i="3"/>
  <c r="BK625" i="3"/>
  <c r="BK626" i="3"/>
  <c r="BK627" i="3"/>
  <c r="BK628" i="3"/>
  <c r="BK633" i="3" s="1"/>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33" i="3" s="1"/>
  <c r="BZ627" i="3"/>
  <c r="BZ628" i="3"/>
  <c r="BZ629" i="3"/>
  <c r="BZ630" i="3"/>
  <c r="BZ631" i="3"/>
  <c r="BZ632" i="3"/>
  <c r="BZ617" i="3"/>
  <c r="BZ618" i="3"/>
  <c r="BZ621" i="3" s="1"/>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1" i="3" s="1"/>
  <c r="BU620" i="3"/>
  <c r="BU623" i="3"/>
  <c r="BU633" i="3" s="1"/>
  <c r="BU624" i="3"/>
  <c r="BU625" i="3"/>
  <c r="BU626" i="3"/>
  <c r="BU627" i="3"/>
  <c r="BU628" i="3"/>
  <c r="BU629" i="3"/>
  <c r="BU630" i="3"/>
  <c r="BU631" i="3"/>
  <c r="BU632" i="3"/>
  <c r="AD955" i="3"/>
  <c r="AQ877" i="3"/>
  <c r="AD958" i="3"/>
  <c r="AQ878" i="3"/>
  <c r="AD965" i="3"/>
  <c r="AQ879" i="3"/>
  <c r="AD969" i="3"/>
  <c r="AQ880" i="3"/>
  <c r="AD971" i="3"/>
  <c r="AQ881" i="3"/>
  <c r="AD974" i="3"/>
  <c r="L947" i="3"/>
  <c r="L949" i="3"/>
  <c r="L950" i="3"/>
  <c r="L951" i="3"/>
  <c r="AR589" i="3"/>
  <c r="AT589" i="3"/>
  <c r="AR590" i="3"/>
  <c r="AT590" i="3" s="1"/>
  <c r="AR591" i="3"/>
  <c r="AT591" i="3"/>
  <c r="AR592" i="3"/>
  <c r="AT592" i="3" s="1"/>
  <c r="AR593" i="3"/>
  <c r="AT593" i="3" s="1"/>
  <c r="AR594" i="3"/>
  <c r="AT594" i="3" s="1"/>
  <c r="AR595" i="3"/>
  <c r="AT595" i="3" s="1"/>
  <c r="AR596" i="3"/>
  <c r="AT596" i="3"/>
  <c r="AR597" i="3"/>
  <c r="AT597" i="3" s="1"/>
  <c r="AR598" i="3"/>
  <c r="AT598" i="3"/>
  <c r="AR599" i="3"/>
  <c r="AT599" i="3" s="1"/>
  <c r="AR600" i="3"/>
  <c r="AT600" i="3" s="1"/>
  <c r="AR601" i="3"/>
  <c r="AT601" i="3" s="1"/>
  <c r="AR602" i="3"/>
  <c r="AT602" i="3" s="1"/>
  <c r="AR603" i="3"/>
  <c r="AT603" i="3" s="1"/>
  <c r="AR604" i="3"/>
  <c r="AT604" i="3"/>
  <c r="AR605" i="3"/>
  <c r="AT605" i="3" s="1"/>
  <c r="AR606" i="3"/>
  <c r="AT606" i="3"/>
  <c r="AR607" i="3"/>
  <c r="AT607" i="3" s="1"/>
  <c r="AR608" i="3"/>
  <c r="AT608" i="3" s="1"/>
  <c r="AR609" i="3"/>
  <c r="AT609" i="3" s="1"/>
  <c r="AR610" i="3"/>
  <c r="AT610" i="3" s="1"/>
  <c r="AT614" i="3" s="1"/>
  <c r="X999" i="3" s="1"/>
  <c r="AR611" i="3"/>
  <c r="AT611" i="3" s="1"/>
  <c r="AR612" i="3"/>
  <c r="AT612" i="3"/>
  <c r="AR613" i="3"/>
  <c r="AT613" i="3" s="1"/>
  <c r="AV589" i="3"/>
  <c r="AX589" i="3"/>
  <c r="AV590" i="3"/>
  <c r="AX590" i="3" s="1"/>
  <c r="AV591" i="3"/>
  <c r="AX591" i="3" s="1"/>
  <c r="AV592" i="3"/>
  <c r="AX592" i="3" s="1"/>
  <c r="AV593" i="3"/>
  <c r="AX593" i="3" s="1"/>
  <c r="AV594" i="3"/>
  <c r="AX594" i="3" s="1"/>
  <c r="AV595" i="3"/>
  <c r="AX595" i="3"/>
  <c r="AV596" i="3"/>
  <c r="AX596" i="3" s="1"/>
  <c r="AV597" i="3"/>
  <c r="AX597" i="3"/>
  <c r="AV598" i="3"/>
  <c r="AX598" i="3" s="1"/>
  <c r="AV599" i="3"/>
  <c r="AX599" i="3" s="1"/>
  <c r="AV600" i="3"/>
  <c r="AX600" i="3" s="1"/>
  <c r="AV601" i="3"/>
  <c r="AX601" i="3" s="1"/>
  <c r="AV602" i="3"/>
  <c r="AX602" i="3" s="1"/>
  <c r="AV603" i="3"/>
  <c r="AX603" i="3"/>
  <c r="AV604" i="3"/>
  <c r="AX604" i="3" s="1"/>
  <c r="AV605" i="3"/>
  <c r="AX605" i="3"/>
  <c r="AV606" i="3"/>
  <c r="AX606" i="3" s="1"/>
  <c r="AV607" i="3"/>
  <c r="AX607" i="3" s="1"/>
  <c r="AV608" i="3"/>
  <c r="AX608" i="3" s="1"/>
  <c r="AV609" i="3"/>
  <c r="AX609" i="3" s="1"/>
  <c r="AV610" i="3"/>
  <c r="AX610" i="3" s="1"/>
  <c r="AV611" i="3"/>
  <c r="AX611" i="3"/>
  <c r="AV612" i="3"/>
  <c r="AX612" i="3" s="1"/>
  <c r="AV613" i="3"/>
  <c r="AX613" i="3"/>
  <c r="C11" i="4"/>
  <c r="C25" i="4"/>
  <c r="B25" i="13"/>
  <c r="C36" i="4"/>
  <c r="C53" i="4"/>
  <c r="C62" i="4"/>
  <c r="B62" i="4" s="1"/>
  <c r="C74" i="4"/>
  <c r="B74" i="4" s="1"/>
  <c r="C95" i="4"/>
  <c r="C96" i="4" s="1"/>
  <c r="C104" i="4"/>
  <c r="B104" i="13" s="1"/>
  <c r="B36" i="13"/>
  <c r="B62" i="13"/>
  <c r="D8" i="4"/>
  <c r="D11" i="4"/>
  <c r="D12" i="4"/>
  <c r="D25" i="4"/>
  <c r="D36" i="4"/>
  <c r="B36" i="4"/>
  <c r="D40" i="4"/>
  <c r="B40" i="4" s="1"/>
  <c r="D53" i="4"/>
  <c r="D62" i="4"/>
  <c r="D67" i="4"/>
  <c r="D74" i="4"/>
  <c r="D95" i="4"/>
  <c r="D104" i="4"/>
  <c r="B104" i="4" s="1"/>
  <c r="S36" i="4"/>
  <c r="E36" i="13" s="1"/>
  <c r="F2" i="4"/>
  <c r="G2" i="4"/>
  <c r="H2" i="4"/>
  <c r="I2" i="4"/>
  <c r="J2" i="4"/>
  <c r="K2" i="4"/>
  <c r="L2" i="4"/>
  <c r="M2" i="4"/>
  <c r="N2" i="4"/>
  <c r="O2" i="4"/>
  <c r="P2" i="4"/>
  <c r="Q2" i="4"/>
  <c r="R4" i="4"/>
  <c r="R8" i="4"/>
  <c r="B5" i="4"/>
  <c r="B6" i="4"/>
  <c r="B7" i="4"/>
  <c r="E8" i="4"/>
  <c r="F8" i="4"/>
  <c r="G8" i="4"/>
  <c r="G11" i="4"/>
  <c r="H8" i="4"/>
  <c r="H12" i="4" s="1"/>
  <c r="H11" i="4"/>
  <c r="I8" i="4"/>
  <c r="I11" i="4"/>
  <c r="J8" i="4"/>
  <c r="J25" i="4"/>
  <c r="J36" i="4"/>
  <c r="J40" i="4"/>
  <c r="J53" i="4"/>
  <c r="J62" i="4"/>
  <c r="J67" i="4"/>
  <c r="J74" i="4"/>
  <c r="J95" i="4"/>
  <c r="J104" i="4"/>
  <c r="K8" i="4"/>
  <c r="K12" i="4"/>
  <c r="L8" i="4"/>
  <c r="L11" i="4"/>
  <c r="M8" i="4"/>
  <c r="M11" i="4"/>
  <c r="M12" i="4"/>
  <c r="N8" i="4"/>
  <c r="O8" i="4"/>
  <c r="Q8" i="4"/>
  <c r="Q11" i="4"/>
  <c r="B9" i="4"/>
  <c r="B10" i="4"/>
  <c r="F11" i="4"/>
  <c r="F25" i="4"/>
  <c r="F36" i="4"/>
  <c r="F40" i="4"/>
  <c r="F53" i="4"/>
  <c r="F62" i="4"/>
  <c r="N11" i="4"/>
  <c r="O11" i="4"/>
  <c r="O12" i="4"/>
  <c r="B13" i="4"/>
  <c r="E13" i="4" s="1"/>
  <c r="R13" i="4" s="1"/>
  <c r="B14" i="4"/>
  <c r="E14" i="4"/>
  <c r="R14" i="4" s="1"/>
  <c r="B15" i="4"/>
  <c r="E15" i="4" s="1"/>
  <c r="R15" i="4" s="1"/>
  <c r="B17" i="4"/>
  <c r="E17" i="4"/>
  <c r="R17" i="4" s="1"/>
  <c r="B18" i="4"/>
  <c r="B19" i="4"/>
  <c r="E19" i="4"/>
  <c r="R19" i="4" s="1"/>
  <c r="B20" i="4"/>
  <c r="E20" i="4" s="1"/>
  <c r="R20" i="4"/>
  <c r="B21" i="4"/>
  <c r="E21" i="4" s="1"/>
  <c r="R21" i="4" s="1"/>
  <c r="B22" i="4"/>
  <c r="E22" i="4"/>
  <c r="R22" i="4"/>
  <c r="B23" i="4"/>
  <c r="E23" i="4"/>
  <c r="R23" i="4"/>
  <c r="B24" i="4"/>
  <c r="E24" i="4" s="1"/>
  <c r="R24" i="4" s="1"/>
  <c r="G25" i="4"/>
  <c r="H25" i="4"/>
  <c r="I36" i="4"/>
  <c r="I40" i="4"/>
  <c r="I53" i="4"/>
  <c r="I62" i="4"/>
  <c r="K25" i="4"/>
  <c r="L25" i="4"/>
  <c r="M25" i="4"/>
  <c r="M36" i="4"/>
  <c r="M40" i="4"/>
  <c r="M63" i="4" s="1"/>
  <c r="M96" i="4" s="1"/>
  <c r="M105" i="4" s="1"/>
  <c r="M53" i="4"/>
  <c r="M62" i="4"/>
  <c r="M67" i="4"/>
  <c r="M74" i="4"/>
  <c r="M95" i="4"/>
  <c r="M104" i="4"/>
  <c r="N25" i="4"/>
  <c r="N36" i="4"/>
  <c r="N104" i="4"/>
  <c r="N40" i="4"/>
  <c r="N53" i="4"/>
  <c r="N62" i="4"/>
  <c r="N67" i="4"/>
  <c r="N74" i="4"/>
  <c r="N95" i="4"/>
  <c r="P25" i="4"/>
  <c r="Q25" i="4"/>
  <c r="B26" i="4"/>
  <c r="B28" i="4"/>
  <c r="B29" i="4"/>
  <c r="B30" i="4"/>
  <c r="B31" i="4"/>
  <c r="B32" i="4"/>
  <c r="B33" i="4"/>
  <c r="B34" i="4"/>
  <c r="B35" i="4"/>
  <c r="E36" i="4"/>
  <c r="G36" i="4"/>
  <c r="H36" i="4"/>
  <c r="K36" i="4"/>
  <c r="L36" i="4"/>
  <c r="O36" i="4"/>
  <c r="P36" i="4"/>
  <c r="P40" i="4"/>
  <c r="P53" i="4"/>
  <c r="P62" i="4"/>
  <c r="P63" i="4"/>
  <c r="P67" i="4"/>
  <c r="P74" i="4"/>
  <c r="P95" i="4"/>
  <c r="P104" i="4"/>
  <c r="Q36" i="4"/>
  <c r="B38" i="4"/>
  <c r="E38" i="4" s="1"/>
  <c r="R38" i="4" s="1"/>
  <c r="R40" i="4" s="1"/>
  <c r="B39" i="4"/>
  <c r="E39" i="4" s="1"/>
  <c r="R39" i="4" s="1"/>
  <c r="G40" i="4"/>
  <c r="H40" i="4"/>
  <c r="K40" i="4"/>
  <c r="L40" i="4"/>
  <c r="O40" i="4"/>
  <c r="Q40" i="4"/>
  <c r="B41" i="4"/>
  <c r="E41" i="4"/>
  <c r="R41" i="4"/>
  <c r="B43" i="4"/>
  <c r="E43" i="4" s="1"/>
  <c r="R43" i="4" s="1"/>
  <c r="B44" i="4"/>
  <c r="E44" i="4"/>
  <c r="R44" i="4" s="1"/>
  <c r="B45" i="4"/>
  <c r="E45" i="4"/>
  <c r="R45" i="4"/>
  <c r="B46" i="4"/>
  <c r="E46" i="4"/>
  <c r="R46" i="4"/>
  <c r="B47" i="4"/>
  <c r="E47" i="4" s="1"/>
  <c r="R47" i="4" s="1"/>
  <c r="B48" i="4"/>
  <c r="E48" i="4"/>
  <c r="R48" i="4" s="1"/>
  <c r="B49" i="4"/>
  <c r="E49" i="4"/>
  <c r="R49" i="4"/>
  <c r="B50" i="4"/>
  <c r="E50" i="4"/>
  <c r="R50" i="4"/>
  <c r="B51" i="4"/>
  <c r="E51" i="4" s="1"/>
  <c r="R51" i="4" s="1"/>
  <c r="B52" i="4"/>
  <c r="G53" i="4"/>
  <c r="G63" i="4" s="1"/>
  <c r="G96" i="4" s="1"/>
  <c r="H53" i="4"/>
  <c r="K53" i="4"/>
  <c r="O53" i="4"/>
  <c r="Q53" i="4"/>
  <c r="B55" i="4"/>
  <c r="E55" i="4"/>
  <c r="R55" i="4"/>
  <c r="B56" i="4"/>
  <c r="E56" i="4" s="1"/>
  <c r="R56" i="4" s="1"/>
  <c r="B57" i="4"/>
  <c r="E57" i="4"/>
  <c r="R57" i="4" s="1"/>
  <c r="B59" i="4"/>
  <c r="E59" i="4"/>
  <c r="R59" i="4"/>
  <c r="B60" i="4"/>
  <c r="E60" i="4"/>
  <c r="R60" i="4"/>
  <c r="B61" i="4"/>
  <c r="E61" i="4" s="1"/>
  <c r="R61" i="4" s="1"/>
  <c r="G62" i="4"/>
  <c r="H62" i="4"/>
  <c r="K62" i="4"/>
  <c r="L62" i="4"/>
  <c r="O62" i="4"/>
  <c r="O67" i="4"/>
  <c r="O74" i="4"/>
  <c r="O95" i="4"/>
  <c r="O104" i="4"/>
  <c r="Q62" i="4"/>
  <c r="B65" i="4"/>
  <c r="E65" i="4"/>
  <c r="R65" i="4"/>
  <c r="B66" i="4"/>
  <c r="E66" i="4" s="1"/>
  <c r="E67" i="4" s="1"/>
  <c r="F67" i="4"/>
  <c r="G67" i="4"/>
  <c r="H67" i="4"/>
  <c r="I67" i="4"/>
  <c r="K67" i="4"/>
  <c r="L67" i="4"/>
  <c r="Q67" i="4"/>
  <c r="B69" i="4"/>
  <c r="E69" i="4"/>
  <c r="R69" i="4"/>
  <c r="B70" i="4"/>
  <c r="E70" i="4"/>
  <c r="R70" i="4"/>
  <c r="B71" i="4"/>
  <c r="E71" i="4" s="1"/>
  <c r="B72" i="4"/>
  <c r="E72" i="4"/>
  <c r="R72" i="4" s="1"/>
  <c r="B73" i="4"/>
  <c r="E73" i="4"/>
  <c r="R73" i="4"/>
  <c r="F74" i="4"/>
  <c r="G74" i="4"/>
  <c r="H74" i="4"/>
  <c r="I74" i="4"/>
  <c r="K74" i="4"/>
  <c r="L74" i="4"/>
  <c r="Q74" i="4"/>
  <c r="B76" i="4"/>
  <c r="E76" i="4" s="1"/>
  <c r="E78" i="4" s="1"/>
  <c r="B80" i="4"/>
  <c r="E80" i="4"/>
  <c r="R80" i="4"/>
  <c r="B81" i="4"/>
  <c r="E81" i="4"/>
  <c r="R81" i="4"/>
  <c r="B82" i="4"/>
  <c r="E82" i="4" s="1"/>
  <c r="B83" i="4"/>
  <c r="E83" i="4"/>
  <c r="R83" i="4" s="1"/>
  <c r="B84" i="4"/>
  <c r="E84" i="4"/>
  <c r="R84" i="4"/>
  <c r="B85" i="4"/>
  <c r="E85" i="4"/>
  <c r="R85" i="4"/>
  <c r="B86" i="4"/>
  <c r="E86" i="4" s="1"/>
  <c r="R86" i="4" s="1"/>
  <c r="B87" i="4"/>
  <c r="E87" i="4"/>
  <c r="R87" i="4" s="1"/>
  <c r="B88" i="4"/>
  <c r="E88" i="4"/>
  <c r="R88" i="4"/>
  <c r="B89" i="4"/>
  <c r="E89" i="4"/>
  <c r="R89" i="4"/>
  <c r="B90" i="4"/>
  <c r="E90" i="4" s="1"/>
  <c r="R90" i="4" s="1"/>
  <c r="B91" i="4"/>
  <c r="E91" i="4"/>
  <c r="R91" i="4" s="1"/>
  <c r="B92" i="4"/>
  <c r="E92" i="4"/>
  <c r="R92" i="4"/>
  <c r="B93" i="4"/>
  <c r="E93" i="4"/>
  <c r="R93" i="4"/>
  <c r="B94" i="4"/>
  <c r="E94" i="4" s="1"/>
  <c r="R94" i="4" s="1"/>
  <c r="F95" i="4"/>
  <c r="G95" i="4"/>
  <c r="H95" i="4"/>
  <c r="I95" i="4"/>
  <c r="K95" i="4"/>
  <c r="L95" i="4"/>
  <c r="Q95" i="4"/>
  <c r="B98" i="4"/>
  <c r="E98" i="4"/>
  <c r="R98" i="4"/>
  <c r="R104" i="4" s="1"/>
  <c r="B99" i="4"/>
  <c r="B100" i="4"/>
  <c r="B101" i="4"/>
  <c r="B102" i="4"/>
  <c r="B103" i="4"/>
  <c r="F104" i="4"/>
  <c r="G104" i="4"/>
  <c r="H104" i="4"/>
  <c r="I104" i="4"/>
  <c r="K104" i="4"/>
  <c r="L104" i="4"/>
  <c r="Q104" i="4"/>
  <c r="E108" i="4"/>
  <c r="F108" i="4"/>
  <c r="G108" i="4"/>
  <c r="H108" i="4"/>
  <c r="I108" i="4"/>
  <c r="J108" i="4"/>
  <c r="K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O614" i="3" s="1"/>
  <c r="CT589" i="3"/>
  <c r="CY589" i="3"/>
  <c r="DD589" i="3"/>
  <c r="CE590" i="3"/>
  <c r="CE614" i="3" s="1"/>
  <c r="CJ590" i="3"/>
  <c r="CO590" i="3"/>
  <c r="CT590" i="3"/>
  <c r="CY590" i="3"/>
  <c r="CY614" i="3" s="1"/>
  <c r="DD590" i="3"/>
  <c r="CE591" i="3"/>
  <c r="CJ591" i="3"/>
  <c r="CJ614" i="3" s="1"/>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U665" i="3" s="1"/>
  <c r="AV665" i="3" s="1"/>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s="1"/>
  <c r="O778" i="3"/>
  <c r="O758" i="3"/>
  <c r="M812" i="3"/>
  <c r="Q812" i="3"/>
  <c r="U812" i="3"/>
  <c r="Y812" i="3"/>
  <c r="AC812" i="3"/>
  <c r="AG812" i="3"/>
  <c r="AV824" i="3"/>
  <c r="Z877" i="3"/>
  <c r="AN926" i="3"/>
  <c r="AN927" i="3"/>
  <c r="AN928" i="3"/>
  <c r="AN930" i="3"/>
  <c r="AN931" i="3"/>
  <c r="AN932" i="3"/>
  <c r="AN933" i="3"/>
  <c r="AN934" i="3"/>
  <c r="Z979" i="3"/>
  <c r="V983" i="3"/>
  <c r="Z985" i="3"/>
  <c r="D58" i="11"/>
  <c r="D49" i="11"/>
  <c r="B8" i="4"/>
  <c r="D39" i="11"/>
  <c r="D23" i="11"/>
  <c r="D92" i="11"/>
  <c r="D67" i="11"/>
  <c r="D31" i="11"/>
  <c r="D6" i="11"/>
  <c r="D32" i="11"/>
  <c r="D71" i="11"/>
  <c r="D18" i="11"/>
  <c r="D102" i="11"/>
  <c r="D60" i="11"/>
  <c r="D8" i="11"/>
  <c r="D56" i="11"/>
  <c r="D10" i="11"/>
  <c r="D101" i="11"/>
  <c r="D90" i="11"/>
  <c r="D44" i="11"/>
  <c r="B75" i="11"/>
  <c r="D70" i="11"/>
  <c r="D57" i="11"/>
  <c r="AG432" i="3"/>
  <c r="B63" i="11"/>
  <c r="C105" i="11"/>
  <c r="K63" i="4"/>
  <c r="K96" i="4" s="1"/>
  <c r="K105" i="4" s="1"/>
  <c r="D100" i="11"/>
  <c r="D82" i="11"/>
  <c r="D7" i="11"/>
  <c r="D46" i="11"/>
  <c r="D12" i="13"/>
  <c r="B25" i="4"/>
  <c r="F105" i="13"/>
  <c r="F107" i="13"/>
  <c r="G105" i="4"/>
  <c r="C37" i="11"/>
  <c r="D37" i="11" s="1"/>
  <c r="D20" i="11"/>
  <c r="D5" i="11"/>
  <c r="D63" i="4"/>
  <c r="D96" i="4" s="1"/>
  <c r="D105" i="4" s="1"/>
  <c r="D14" i="11"/>
  <c r="K35" i="7"/>
  <c r="W35" i="7"/>
  <c r="AD7" i="15"/>
  <c r="C26" i="11"/>
  <c r="D26" i="11" s="1"/>
  <c r="Y7" i="15"/>
  <c r="T63" i="4"/>
  <c r="T96" i="4" s="1"/>
  <c r="H96" i="13" s="1"/>
  <c r="T7" i="15"/>
  <c r="K25" i="7"/>
  <c r="O25" i="7"/>
  <c r="I25" i="7"/>
  <c r="W25" i="7"/>
  <c r="S25" i="7"/>
  <c r="Y25" i="7"/>
  <c r="AC25" i="7"/>
  <c r="AG25" i="7"/>
  <c r="M25" i="7"/>
  <c r="G25" i="7"/>
  <c r="AA25" i="7"/>
  <c r="Q25" i="7"/>
  <c r="U25" i="7"/>
  <c r="I30" i="8"/>
  <c r="Z789" i="3" s="1"/>
  <c r="E6" i="7"/>
  <c r="E7" i="7"/>
  <c r="AC861" i="3"/>
  <c r="P734" i="3"/>
  <c r="Y781" i="3" s="1"/>
  <c r="E9" i="7"/>
  <c r="G9" i="7"/>
  <c r="I8" i="7"/>
  <c r="I9" i="7"/>
  <c r="K16" i="7"/>
  <c r="M16" i="7" s="1"/>
  <c r="O16" i="7" s="1"/>
  <c r="Q16" i="7" s="1"/>
  <c r="S16" i="7" s="1"/>
  <c r="U16" i="7" s="1"/>
  <c r="W16" i="7" s="1"/>
  <c r="Y16" i="7" s="1"/>
  <c r="AA16" i="7" s="1"/>
  <c r="AC16" i="7" s="1"/>
  <c r="AE16" i="7" s="1"/>
  <c r="AG16" i="7" s="1"/>
  <c r="D11" i="11"/>
  <c r="K8" i="7"/>
  <c r="M8" i="7" s="1"/>
  <c r="H63" i="13"/>
  <c r="R66" i="4"/>
  <c r="R67" i="4" s="1"/>
  <c r="AU673" i="3"/>
  <c r="AV673" i="3"/>
  <c r="B11" i="13"/>
  <c r="C63" i="4"/>
  <c r="G6" i="7"/>
  <c r="AU669" i="3"/>
  <c r="AV669" i="3" s="1"/>
  <c r="F12" i="4"/>
  <c r="E38" i="7"/>
  <c r="AE35" i="7"/>
  <c r="Q35" i="7"/>
  <c r="I35" i="7"/>
  <c r="G35" i="7"/>
  <c r="M35" i="7"/>
  <c r="M38" i="7"/>
  <c r="U35" i="7"/>
  <c r="U38" i="7" s="1"/>
  <c r="AA35" i="7"/>
  <c r="J12" i="4"/>
  <c r="AT675" i="3"/>
  <c r="AU651" i="3"/>
  <c r="AV651" i="3"/>
  <c r="E9" i="4"/>
  <c r="L12" i="4"/>
  <c r="L52" i="4"/>
  <c r="L53" i="4" s="1"/>
  <c r="F30" i="8"/>
  <c r="CT614" i="3"/>
  <c r="S35" i="7"/>
  <c r="S38" i="7" s="1"/>
  <c r="AI710" i="3"/>
  <c r="R76" i="4"/>
  <c r="R78" i="4" s="1"/>
  <c r="AC35" i="7"/>
  <c r="AN891" i="3"/>
  <c r="AQ882" i="3"/>
  <c r="O35" i="7"/>
  <c r="O38" i="7"/>
  <c r="Y35" i="7"/>
  <c r="AG35" i="7"/>
  <c r="H63" i="4"/>
  <c r="H96" i="4" s="1"/>
  <c r="H105" i="4" s="1"/>
  <c r="G12" i="4"/>
  <c r="E62" i="4"/>
  <c r="O18" i="4"/>
  <c r="O25" i="4" s="1"/>
  <c r="O26" i="4" s="1"/>
  <c r="E26" i="4" s="1"/>
  <c r="R26" i="4" s="1"/>
  <c r="BZ614" i="3"/>
  <c r="G37" i="7"/>
  <c r="G38" i="7" s="1"/>
  <c r="Y37" i="7"/>
  <c r="M37" i="7"/>
  <c r="I37" i="7"/>
  <c r="AA37" i="7"/>
  <c r="AA38" i="7" s="1"/>
  <c r="I52" i="7"/>
  <c r="S37" i="7"/>
  <c r="G21" i="7"/>
  <c r="G30" i="7" s="1"/>
  <c r="B51" i="13"/>
  <c r="O47" i="7"/>
  <c r="M52" i="7"/>
  <c r="E104" i="4"/>
  <c r="G52" i="7"/>
  <c r="Q37" i="7"/>
  <c r="Q38" i="7" s="1"/>
  <c r="E21" i="7"/>
  <c r="E30" i="7" s="1"/>
  <c r="D85" i="11"/>
  <c r="C52" i="11"/>
  <c r="B53" i="11"/>
  <c r="B54" i="11" s="1"/>
  <c r="E76" i="13"/>
  <c r="C77" i="11"/>
  <c r="K52" i="7"/>
  <c r="O37" i="7"/>
  <c r="B52" i="11"/>
  <c r="B37" i="11"/>
  <c r="B76" i="13"/>
  <c r="S40" i="4"/>
  <c r="E40" i="13" s="1"/>
  <c r="AG37" i="7"/>
  <c r="AG38" i="7" s="1"/>
  <c r="K37" i="7"/>
  <c r="K38" i="7" s="1"/>
  <c r="AE37" i="7"/>
  <c r="C41" i="11"/>
  <c r="D41" i="11"/>
  <c r="E52" i="4"/>
  <c r="R52" i="4" s="1"/>
  <c r="S25" i="4"/>
  <c r="E25" i="13" s="1"/>
  <c r="BP621" i="3"/>
  <c r="AC37" i="7"/>
  <c r="D89" i="11"/>
  <c r="AG624" i="3"/>
  <c r="AG630" i="3" s="1"/>
  <c r="AB48" i="15" s="1"/>
  <c r="L108" i="4"/>
  <c r="W37" i="7"/>
  <c r="W38" i="7" s="1"/>
  <c r="C78" i="4"/>
  <c r="B77" i="11"/>
  <c r="B79" i="11" s="1"/>
  <c r="M36" i="7"/>
  <c r="S36" i="7"/>
  <c r="U36" i="7"/>
  <c r="B63" i="13"/>
  <c r="Q47" i="7"/>
  <c r="O52" i="7"/>
  <c r="R9" i="4"/>
  <c r="R11" i="4" s="1"/>
  <c r="R12" i="4" s="1"/>
  <c r="E11" i="4"/>
  <c r="D52" i="11"/>
  <c r="I38" i="7"/>
  <c r="B78" i="13"/>
  <c r="B78" i="4"/>
  <c r="AU654" i="3"/>
  <c r="AV654" i="3" s="1"/>
  <c r="AU668" i="3"/>
  <c r="AV668" i="3" s="1"/>
  <c r="AU666" i="3"/>
  <c r="AV666" i="3"/>
  <c r="AU671" i="3"/>
  <c r="AV671" i="3"/>
  <c r="AU674" i="3"/>
  <c r="AV674" i="3" s="1"/>
  <c r="AU672" i="3"/>
  <c r="AV672" i="3"/>
  <c r="AU667" i="3"/>
  <c r="AV667" i="3" s="1"/>
  <c r="AU662" i="3"/>
  <c r="AV662" i="3"/>
  <c r="AU664" i="3"/>
  <c r="AV664" i="3" s="1"/>
  <c r="AU650" i="3"/>
  <c r="AU655" i="3"/>
  <c r="AV655" i="3" s="1"/>
  <c r="AU652" i="3"/>
  <c r="AV652" i="3"/>
  <c r="AU663" i="3"/>
  <c r="AV663" i="3" s="1"/>
  <c r="AU659" i="3"/>
  <c r="AV659" i="3"/>
  <c r="AE38" i="7"/>
  <c r="AU661" i="3"/>
  <c r="AV661" i="3" s="1"/>
  <c r="G7" i="7"/>
  <c r="I6" i="7"/>
  <c r="I7" i="7" s="1"/>
  <c r="D77" i="11"/>
  <c r="C79" i="11"/>
  <c r="D79" i="11" s="1"/>
  <c r="E18" i="4"/>
  <c r="R18" i="4" s="1"/>
  <c r="Y38" i="7"/>
  <c r="AC38" i="7"/>
  <c r="S47" i="7"/>
  <c r="U47" i="7" s="1"/>
  <c r="Q52" i="7"/>
  <c r="E12" i="4"/>
  <c r="K6" i="7"/>
  <c r="K7" i="7" s="1"/>
  <c r="AV650" i="3"/>
  <c r="M6" i="7"/>
  <c r="M7" i="7" s="1"/>
  <c r="U52" i="7" l="1"/>
  <c r="W47" i="7"/>
  <c r="Z798" i="3"/>
  <c r="E4" i="7"/>
  <c r="O8" i="7"/>
  <c r="M9" i="7"/>
  <c r="R25" i="4"/>
  <c r="C105" i="4"/>
  <c r="B96" i="4"/>
  <c r="B96" i="13"/>
  <c r="AA996" i="3"/>
  <c r="I21" i="7"/>
  <c r="I30" i="7" s="1"/>
  <c r="K14" i="7"/>
  <c r="E25" i="4"/>
  <c r="E63" i="4" s="1"/>
  <c r="AC862" i="3"/>
  <c r="AC863" i="3" s="1"/>
  <c r="R62" i="4"/>
  <c r="R53" i="4"/>
  <c r="N63" i="4"/>
  <c r="N96" i="4" s="1"/>
  <c r="N105" i="4" s="1"/>
  <c r="F63" i="4"/>
  <c r="F96" i="4" s="1"/>
  <c r="F105" i="4" s="1"/>
  <c r="Q12" i="4"/>
  <c r="Q63" i="4"/>
  <c r="Q96" i="4" s="1"/>
  <c r="Q105" i="4" s="1"/>
  <c r="L63" i="4"/>
  <c r="L96" i="4" s="1"/>
  <c r="L105" i="4" s="1"/>
  <c r="J63" i="4"/>
  <c r="J96" i="4" s="1"/>
  <c r="J105" i="4" s="1"/>
  <c r="AX614" i="3"/>
  <c r="X1003" i="3" s="1"/>
  <c r="BK614" i="3"/>
  <c r="BK635" i="3" s="1"/>
  <c r="V949" i="3" s="1"/>
  <c r="AD949" i="3" s="1"/>
  <c r="BF633" i="3"/>
  <c r="B67" i="13"/>
  <c r="B67" i="4"/>
  <c r="AD27" i="15"/>
  <c r="T27" i="15"/>
  <c r="Y27" i="15"/>
  <c r="E53" i="4"/>
  <c r="S52" i="7"/>
  <c r="AG632" i="3"/>
  <c r="O63" i="4"/>
  <c r="O96" i="4" s="1"/>
  <c r="O105" i="4" s="1"/>
  <c r="AU657" i="3"/>
  <c r="AV657" i="3" s="1"/>
  <c r="AU653" i="3"/>
  <c r="AU660" i="3"/>
  <c r="AV660" i="3" s="1"/>
  <c r="AU656" i="3"/>
  <c r="AV656" i="3" s="1"/>
  <c r="E40" i="4"/>
  <c r="K9" i="7"/>
  <c r="C30" i="8"/>
  <c r="D105" i="11"/>
  <c r="DD614" i="3"/>
  <c r="P96" i="4"/>
  <c r="P105" i="4" s="1"/>
  <c r="I63" i="4"/>
  <c r="I96" i="4" s="1"/>
  <c r="I105" i="4" s="1"/>
  <c r="BZ635" i="3"/>
  <c r="O6" i="7"/>
  <c r="B95" i="13"/>
  <c r="B95" i="4"/>
  <c r="AI27" i="15"/>
  <c r="I999" i="3"/>
  <c r="AO906" i="3" s="1"/>
  <c r="I1003" i="3"/>
  <c r="AU670" i="3"/>
  <c r="AV670" i="3" s="1"/>
  <c r="AU658" i="3"/>
  <c r="AV658" i="3" s="1"/>
  <c r="AT237" i="3"/>
  <c r="BB239" i="3" s="1"/>
  <c r="T262" i="3" s="1"/>
  <c r="E95" i="4"/>
  <c r="R82" i="4"/>
  <c r="R95" i="4" s="1"/>
  <c r="E74" i="4"/>
  <c r="R71" i="4"/>
  <c r="R74" i="4" s="1"/>
  <c r="B53" i="13"/>
  <c r="B53" i="4"/>
  <c r="B11" i="4"/>
  <c r="C12" i="4"/>
  <c r="B12" i="13" s="1"/>
  <c r="D72" i="11"/>
  <c r="C75" i="11"/>
  <c r="D75" i="11" s="1"/>
  <c r="BU614" i="3"/>
  <c r="BU635" i="3" s="1"/>
  <c r="BP633" i="3"/>
  <c r="BF621" i="3"/>
  <c r="BF635" i="3"/>
  <c r="V948" i="3" s="1"/>
  <c r="AD948" i="3" s="1"/>
  <c r="C12" i="11"/>
  <c r="D12" i="11" s="1"/>
  <c r="J63" i="13"/>
  <c r="J96" i="13" s="1"/>
  <c r="J105" i="13" s="1"/>
  <c r="J107" i="13" s="1"/>
  <c r="B52" i="13"/>
  <c r="C53" i="11"/>
  <c r="S93" i="4"/>
  <c r="C94" i="11"/>
  <c r="B93" i="13"/>
  <c r="B94" i="11"/>
  <c r="B96" i="11" s="1"/>
  <c r="I12" i="4"/>
  <c r="BP614" i="3"/>
  <c r="BP635" i="3" s="1"/>
  <c r="V950" i="3" s="1"/>
  <c r="AD950" i="3" s="1"/>
  <c r="B105" i="11"/>
  <c r="C96" i="11"/>
  <c r="D96" i="11" s="1"/>
  <c r="N12" i="4"/>
  <c r="B74" i="13"/>
  <c r="BA614" i="3"/>
  <c r="BA635" i="3" s="1"/>
  <c r="V947" i="3" s="1"/>
  <c r="C68" i="11"/>
  <c r="D68" i="11" s="1"/>
  <c r="D66" i="11"/>
  <c r="C63" i="13"/>
  <c r="C96" i="13" s="1"/>
  <c r="C105" i="13" s="1"/>
  <c r="G63" i="13"/>
  <c r="G96" i="13" s="1"/>
  <c r="G105" i="13" s="1"/>
  <c r="G107" i="13" s="1"/>
  <c r="E66" i="13"/>
  <c r="D48" i="11"/>
  <c r="B9" i="11"/>
  <c r="E46" i="13"/>
  <c r="S53" i="4"/>
  <c r="D63" i="13"/>
  <c r="D96" i="13" s="1"/>
  <c r="D105" i="13" s="1"/>
  <c r="D30" i="11"/>
  <c r="C9" i="11"/>
  <c r="B60" i="13"/>
  <c r="C61" i="11"/>
  <c r="D61" i="11" l="1"/>
  <c r="C63" i="11"/>
  <c r="D63" i="11" s="1"/>
  <c r="B63" i="4"/>
  <c r="B12" i="4"/>
  <c r="B13" i="11"/>
  <c r="B64" i="11"/>
  <c r="B97" i="11" s="1"/>
  <c r="B106" i="11" s="1"/>
  <c r="D94" i="11"/>
  <c r="O7" i="7"/>
  <c r="Q6" i="7"/>
  <c r="AO907" i="3"/>
  <c r="AD1000" i="3" s="1"/>
  <c r="AA1000" i="3"/>
  <c r="E93" i="13"/>
  <c r="S95" i="4"/>
  <c r="E95" i="13" s="1"/>
  <c r="O9" i="7"/>
  <c r="Q8" i="7"/>
  <c r="E96" i="4"/>
  <c r="E105" i="4" s="1"/>
  <c r="B105" i="13"/>
  <c r="B105" i="4"/>
  <c r="AC442" i="3"/>
  <c r="G4" i="7"/>
  <c r="E5" i="7"/>
  <c r="E10" i="7" s="1"/>
  <c r="E32" i="7" s="1"/>
  <c r="V951" i="3"/>
  <c r="AD951" i="3" s="1"/>
  <c r="W52" i="7"/>
  <c r="S63" i="4"/>
  <c r="E53" i="13"/>
  <c r="D53" i="11"/>
  <c r="C54" i="11"/>
  <c r="D54" i="11" s="1"/>
  <c r="C13" i="11"/>
  <c r="D13" i="11" s="1"/>
  <c r="D9" i="11"/>
  <c r="C64" i="11"/>
  <c r="AD947" i="3"/>
  <c r="AD953" i="3" s="1"/>
  <c r="V952" i="3"/>
  <c r="AV653" i="3"/>
  <c r="AV675" i="3" s="1"/>
  <c r="AD734" i="3" s="1"/>
  <c r="AU675" i="3"/>
  <c r="K21" i="7"/>
  <c r="K30" i="7" s="1"/>
  <c r="M14" i="7"/>
  <c r="R63" i="4"/>
  <c r="R96" i="4" s="1"/>
  <c r="R105" i="4" s="1"/>
  <c r="E40" i="7" l="1"/>
  <c r="E44" i="7"/>
  <c r="D64" i="11"/>
  <c r="C97" i="11"/>
  <c r="G5" i="7"/>
  <c r="G10" i="7" s="1"/>
  <c r="G32" i="7" s="1"/>
  <c r="I4" i="7"/>
  <c r="Q7" i="7"/>
  <c r="S6" i="7"/>
  <c r="M21" i="7"/>
  <c r="M30" i="7" s="1"/>
  <c r="O14" i="7"/>
  <c r="Q9" i="7"/>
  <c r="S8" i="7"/>
  <c r="AD988" i="3"/>
  <c r="AD1004" i="3" s="1"/>
  <c r="T24" i="15" s="1"/>
  <c r="B1014" i="3"/>
  <c r="E63" i="13"/>
  <c r="S96" i="4"/>
  <c r="AC441" i="3"/>
  <c r="AB47" i="15"/>
  <c r="AB49" i="15" s="1"/>
  <c r="AD996" i="3"/>
  <c r="G40" i="7" l="1"/>
  <c r="G44" i="7"/>
  <c r="E96" i="13"/>
  <c r="S98" i="4"/>
  <c r="D97" i="11"/>
  <c r="C106" i="11"/>
  <c r="D106" i="11" s="1"/>
  <c r="AM829" i="3"/>
  <c r="AQ885" i="3"/>
  <c r="AM826" i="3"/>
  <c r="O21" i="7"/>
  <c r="O30" i="7" s="1"/>
  <c r="Q14" i="7"/>
  <c r="I5" i="7"/>
  <c r="K4" i="7"/>
  <c r="I10" i="7"/>
  <c r="I32" i="7" s="1"/>
  <c r="S9" i="7"/>
  <c r="U8" i="7"/>
  <c r="S7" i="7"/>
  <c r="U6" i="7"/>
  <c r="E54" i="7"/>
  <c r="E56" i="7" s="1"/>
  <c r="E42" i="7"/>
  <c r="E43" i="7"/>
  <c r="M4" i="7" l="1"/>
  <c r="K5" i="7"/>
  <c r="K10" i="7" s="1"/>
  <c r="K32" i="7" s="1"/>
  <c r="AM834" i="3"/>
  <c r="Q21" i="7"/>
  <c r="Q30" i="7" s="1"/>
  <c r="S14" i="7"/>
  <c r="S104" i="4"/>
  <c r="T98" i="4"/>
  <c r="E98" i="13"/>
  <c r="U9" i="7"/>
  <c r="W8" i="7"/>
  <c r="AQ888" i="3"/>
  <c r="B1012" i="3" s="1"/>
  <c r="AQ886" i="3"/>
  <c r="G43" i="7"/>
  <c r="G54" i="7"/>
  <c r="G56" i="7" s="1"/>
  <c r="G42" i="7"/>
  <c r="W6" i="7"/>
  <c r="U7" i="7"/>
  <c r="I40" i="7"/>
  <c r="I44" i="7"/>
  <c r="K40" i="7" l="1"/>
  <c r="K44" i="7"/>
  <c r="T104" i="4"/>
  <c r="H98" i="13"/>
  <c r="I54" i="7"/>
  <c r="I56" i="7" s="1"/>
  <c r="I43" i="7"/>
  <c r="I42" i="7"/>
  <c r="Y8" i="7"/>
  <c r="W9" i="7"/>
  <c r="E104" i="13"/>
  <c r="S105" i="4"/>
  <c r="U14" i="7"/>
  <c r="S21" i="7"/>
  <c r="S30" i="7" s="1"/>
  <c r="O4" i="7"/>
  <c r="M5" i="7"/>
  <c r="M10" i="7" s="1"/>
  <c r="M32" i="7" s="1"/>
  <c r="W7" i="7"/>
  <c r="Y6" i="7"/>
  <c r="M44" i="7" l="1"/>
  <c r="M40" i="7"/>
  <c r="E105" i="13"/>
  <c r="S107" i="4"/>
  <c r="H104" i="13"/>
  <c r="T105" i="4"/>
  <c r="Q4" i="7"/>
  <c r="O5" i="7"/>
  <c r="O10" i="7" s="1"/>
  <c r="O32" i="7" s="1"/>
  <c r="W14" i="7"/>
  <c r="U21" i="7"/>
  <c r="U30" i="7" s="1"/>
  <c r="AA8" i="7"/>
  <c r="Y9" i="7"/>
  <c r="Y7" i="7"/>
  <c r="AA6" i="7"/>
  <c r="K42" i="7"/>
  <c r="K54" i="7"/>
  <c r="K56" i="7" s="1"/>
  <c r="K43" i="7"/>
  <c r="O40" i="7" l="1"/>
  <c r="O44" i="7"/>
  <c r="AC443" i="3"/>
  <c r="E107" i="13"/>
  <c r="AC8" i="7"/>
  <c r="AA9" i="7"/>
  <c r="AA7" i="7"/>
  <c r="AC6" i="7"/>
  <c r="T107" i="4"/>
  <c r="H107" i="13" s="1"/>
  <c r="H105" i="13"/>
  <c r="S4" i="7"/>
  <c r="Q5" i="7"/>
  <c r="Q10" i="7" s="1"/>
  <c r="Q32" i="7" s="1"/>
  <c r="W21" i="7"/>
  <c r="W30" i="7" s="1"/>
  <c r="Y14" i="7"/>
  <c r="M54" i="7"/>
  <c r="M56" i="7" s="1"/>
  <c r="M43" i="7"/>
  <c r="M42" i="7"/>
  <c r="Q40" i="7" l="1"/>
  <c r="Q44" i="7"/>
  <c r="S5" i="7"/>
  <c r="S10" i="7" s="1"/>
  <c r="S32" i="7" s="1"/>
  <c r="U4" i="7"/>
  <c r="AE6" i="7"/>
  <c r="AC7" i="7"/>
  <c r="T11" i="15"/>
  <c r="T23" i="15" s="1"/>
  <c r="Y11" i="15"/>
  <c r="Y23" i="15" s="1"/>
  <c r="Y26" i="15" s="1"/>
  <c r="Y28" i="15" s="1"/>
  <c r="AA14" i="7"/>
  <c r="Y21" i="7"/>
  <c r="Y30" i="7" s="1"/>
  <c r="AD11" i="15"/>
  <c r="AD23" i="15" s="1"/>
  <c r="AD26" i="15" s="1"/>
  <c r="AD28" i="15" s="1"/>
  <c r="AI11" i="15"/>
  <c r="AI23" i="15" s="1"/>
  <c r="AI26" i="15" s="1"/>
  <c r="AI28" i="15" s="1"/>
  <c r="AE8" i="7"/>
  <c r="AC9" i="7"/>
  <c r="O54" i="7"/>
  <c r="O56" i="7" s="1"/>
  <c r="O42" i="7"/>
  <c r="O43" i="7"/>
  <c r="S44" i="7" l="1"/>
  <c r="S40" i="7"/>
  <c r="T26" i="15"/>
  <c r="T28" i="15" s="1"/>
  <c r="T29" i="15" s="1"/>
  <c r="AD38" i="15"/>
  <c r="AD40" i="15" s="1"/>
  <c r="W4" i="7"/>
  <c r="U5" i="7"/>
  <c r="U10" i="7"/>
  <c r="U32" i="7" s="1"/>
  <c r="AE9" i="7"/>
  <c r="AG8" i="7"/>
  <c r="AG9" i="7" s="1"/>
  <c r="AC14" i="7"/>
  <c r="AA21" i="7"/>
  <c r="AA30" i="7" s="1"/>
  <c r="AE7" i="7"/>
  <c r="AG6" i="7"/>
  <c r="AG7" i="7" s="1"/>
  <c r="Q43" i="7"/>
  <c r="Q54" i="7"/>
  <c r="Q56" i="7" s="1"/>
  <c r="Q42" i="7"/>
  <c r="U44" i="7" l="1"/>
  <c r="U40" i="7"/>
  <c r="AC21" i="7"/>
  <c r="AC30" i="7" s="1"/>
  <c r="AE14" i="7"/>
  <c r="Y4" i="7"/>
  <c r="W5" i="7"/>
  <c r="W10" i="7"/>
  <c r="W32" i="7" s="1"/>
  <c r="S42" i="7"/>
  <c r="S43" i="7"/>
  <c r="S54" i="7"/>
  <c r="S56" i="7" s="1"/>
  <c r="Y38" i="15"/>
  <c r="Y40" i="15" s="1"/>
  <c r="Y41" i="15" s="1"/>
  <c r="AG14" i="7" l="1"/>
  <c r="AG21" i="7" s="1"/>
  <c r="AG30" i="7" s="1"/>
  <c r="AE21" i="7"/>
  <c r="AE30" i="7" s="1"/>
  <c r="AB50" i="15"/>
  <c r="AB54" i="15" s="1"/>
  <c r="AB55" i="15" s="1"/>
  <c r="AB56" i="15" s="1"/>
  <c r="W40" i="7"/>
  <c r="W44" i="7"/>
  <c r="U54" i="7"/>
  <c r="U56" i="7" s="1"/>
  <c r="U43" i="7"/>
  <c r="U42" i="7"/>
  <c r="AA4" i="7"/>
  <c r="Y5" i="7"/>
  <c r="Y10" i="7" s="1"/>
  <c r="Y32" i="7" s="1"/>
  <c r="M26" i="3" l="1"/>
  <c r="P203" i="3" s="1"/>
  <c r="AB57" i="15"/>
  <c r="Y40" i="7"/>
  <c r="Y44" i="7"/>
  <c r="AC4" i="7"/>
  <c r="AA5" i="7"/>
  <c r="AA10" i="7"/>
  <c r="AA32" i="7" s="1"/>
  <c r="W54" i="7"/>
  <c r="W56" i="7" s="1"/>
  <c r="W42" i="7"/>
  <c r="W43" i="7"/>
  <c r="AA40" i="7" l="1"/>
  <c r="AA44" i="7"/>
  <c r="Y42" i="7"/>
  <c r="Y43" i="7"/>
  <c r="Y47" i="7"/>
  <c r="AB59" i="15"/>
  <c r="AB76" i="15" s="1"/>
  <c r="AB77" i="15" s="1"/>
  <c r="AC5" i="7"/>
  <c r="AE4" i="7"/>
  <c r="AC10" i="7"/>
  <c r="AC32" i="7" s="1"/>
  <c r="AC40" i="7" l="1"/>
  <c r="AC44" i="7"/>
  <c r="AB78" i="15"/>
  <c r="AB80" i="15" s="1"/>
  <c r="J81" i="15" s="1"/>
  <c r="AB87" i="15"/>
  <c r="M27" i="3"/>
  <c r="P204" i="3" s="1"/>
  <c r="AB86" i="15"/>
  <c r="AG4" i="7"/>
  <c r="AE5" i="7"/>
  <c r="AE10" i="7" s="1"/>
  <c r="AE32" i="7" s="1"/>
  <c r="AA47" i="7"/>
  <c r="Y52" i="7"/>
  <c r="Y54" i="7" s="1"/>
  <c r="Y56" i="7" s="1"/>
  <c r="AA43" i="7"/>
  <c r="AA42" i="7"/>
  <c r="AE40" i="7" l="1"/>
  <c r="AE44" i="7"/>
  <c r="AG5" i="7"/>
  <c r="AG10" i="7"/>
  <c r="AG32" i="7" s="1"/>
  <c r="AC47" i="7"/>
  <c r="AA52" i="7"/>
  <c r="AA54" i="7" s="1"/>
  <c r="AA56" i="7" s="1"/>
  <c r="AC43" i="7"/>
  <c r="AC42" i="7"/>
  <c r="AG44" i="7" l="1"/>
  <c r="AG40" i="7"/>
  <c r="AE47" i="7"/>
  <c r="AC52" i="7"/>
  <c r="AC54" i="7" s="1"/>
  <c r="AC56" i="7" s="1"/>
  <c r="AE42" i="7"/>
  <c r="AE43" i="7"/>
  <c r="AE52" i="7" l="1"/>
  <c r="AE54" i="7" s="1"/>
  <c r="AE56" i="7" s="1"/>
  <c r="AG47" i="7"/>
  <c r="AG52" i="7" s="1"/>
  <c r="AG54" i="7"/>
  <c r="AG56" i="7" s="1"/>
  <c r="AG43" i="7"/>
  <c r="AG42"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rPr>
          <t>130% adjustment only for sites located in a DDA/QCT.</t>
        </r>
      </text>
    </comment>
    <comment ref="Y25" authorId="2" shapeId="0">
      <text>
        <r>
          <rPr>
            <sz val="10"/>
            <rFont val="Arial"/>
          </rPr>
          <t>No 130% adjustment for sites not located in DDA or QCT</t>
        </r>
      </text>
    </comment>
  </commentList>
</comments>
</file>

<file path=xl/sharedStrings.xml><?xml version="1.0" encoding="utf-8"?>
<sst xmlns="http://schemas.openxmlformats.org/spreadsheetml/2006/main" count="3706" uniqueCount="1820">
  <si>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</si>
  <si>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</si>
  <si>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</si>
  <si>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</si>
  <si>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</si>
  <si>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</si>
  <si>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</si>
  <si>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</si>
  <si>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</si>
  <si>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</si>
  <si>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</si>
  <si>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</si>
  <si>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</si>
  <si>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</si>
  <si>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</si>
  <si>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</si>
  <si>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</si>
  <si>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</si>
  <si>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</si>
  <si>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</si>
  <si>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</si>
  <si>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</si>
  <si>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</si>
  <si>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</si>
  <si>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</si>
  <si>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</si>
  <si>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</si>
  <si>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</si>
  <si>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</si>
  <si>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</si>
  <si>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</si>
  <si>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</si>
  <si>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</si>
  <si>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</si>
  <si>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</si>
  <si>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</si>
  <si>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</si>
  <si>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</si>
  <si>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</si>
  <si>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</si>
  <si>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</si>
  <si>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</si>
  <si>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</si>
  <si>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</si>
  <si>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</si>
  <si>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</si>
  <si>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</si>
  <si>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</si>
  <si>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</si>
  <si>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</si>
  <si>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</si>
  <si>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</si>
  <si>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</si>
  <si>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</si>
  <si>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</si>
  <si>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</si>
  <si>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</si>
  <si>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</si>
  <si>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</si>
  <si>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</si>
  <si>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</si>
  <si>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</si>
  <si>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</si>
  <si>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</si>
  <si>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</si>
  <si>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</si>
  <si>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</si>
  <si>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</si>
  <si>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</si>
  <si>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</si>
  <si>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</si>
  <si>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</si>
  <si>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</si>
  <si>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</si>
  <si>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</si>
  <si>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</si>
  <si>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</si>
  <si>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</si>
  <si>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</si>
  <si>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</si>
  <si>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</si>
  <si>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</si>
  <si>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</si>
  <si>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</si>
  <si>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</si>
  <si>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</si>
  <si>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</si>
  <si>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</si>
  <si>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</si>
  <si>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</si>
  <si>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</si>
  <si>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</si>
  <si>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</si>
  <si>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</si>
  <si>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</si>
  <si>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</si>
  <si>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</si>
  <si>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</si>
  <si>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</si>
  <si>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</si>
  <si>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</si>
  <si>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</si>
  <si>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</si>
  <si>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</si>
  <si>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</si>
  <si>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</si>
  <si>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</si>
  <si>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</si>
  <si>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</si>
  <si>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</si>
  <si>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</si>
  <si>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</si>
  <si>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</si>
  <si>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</si>
  <si>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</si>
  <si>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</si>
  <si>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</si>
  <si>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</si>
  <si>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</si>
  <si>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</si>
  <si>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</si>
  <si>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</si>
  <si>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</si>
  <si>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</si>
  <si>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</si>
  <si>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</si>
  <si>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</si>
  <si>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</si>
  <si>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</si>
  <si>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</si>
  <si>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</si>
  <si>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</si>
  <si>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</si>
  <si>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</si>
  <si>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</si>
  <si>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</si>
  <si>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</si>
  <si>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</si>
  <si>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</si>
  <si>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</si>
  <si>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</si>
  <si>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</si>
  <si>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</si>
  <si>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</si>
  <si>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</si>
  <si>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</si>
  <si>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</si>
  <si>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</si>
  <si>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</si>
  <si>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</si>
  <si>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</si>
  <si>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</si>
  <si>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</si>
  <si>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</si>
  <si>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</si>
  <si>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</si>
  <si>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</si>
  <si>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</si>
  <si>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</si>
  <si>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</si>
  <si>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</si>
  <si>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</si>
  <si>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</si>
  <si>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</si>
  <si>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</si>
  <si>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</si>
  <si>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</si>
  <si>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</si>
  <si>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</si>
  <si>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</si>
  <si>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</si>
  <si>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</si>
  <si>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</si>
  <si>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</si>
  <si>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</si>
  <si>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</si>
  <si>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</si>
  <si>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</si>
  <si>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</si>
  <si>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</si>
  <si>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</si>
  <si>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</si>
  <si>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</si>
  <si>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</si>
  <si>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</si>
  <si>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</si>
  <si>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</si>
  <si>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</si>
  <si>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</si>
  <si>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</si>
  <si>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</si>
  <si>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</si>
  <si>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</si>
  <si>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</si>
  <si>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</si>
  <si>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</si>
  <si>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</si>
  <si>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</si>
  <si>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</si>
  <si>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</si>
  <si>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</si>
  <si>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</si>
  <si>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</si>
  <si>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</si>
  <si>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</si>
  <si>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</si>
  <si>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</si>
  <si>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</si>
  <si>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</si>
  <si>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</si>
  <si>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</si>
  <si>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</si>
  <si>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</si>
  <si>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</si>
  <si>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</si>
  <si>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</si>
  <si>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</si>
  <si>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</si>
  <si>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</si>
  <si>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</si>
  <si>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</si>
  <si>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</si>
  <si>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</si>
  <si>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</si>
  <si>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</si>
  <si>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</si>
  <si>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</si>
  <si>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</si>
  <si>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</si>
  <si>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</si>
  <si>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</si>
  <si>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</si>
  <si>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</si>
  <si>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</si>
  <si>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</si>
  <si>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</si>
  <si>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</si>
  <si>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</si>
  <si>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</si>
  <si>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</si>
  <si>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</si>
  <si>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</si>
  <si>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</si>
  <si>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</si>
  <si>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</si>
  <si>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</si>
  <si>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</si>
  <si>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</si>
  <si>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</si>
  <si>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</si>
  <si>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</si>
  <si>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</si>
  <si>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</si>
  <si>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</si>
  <si>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</si>
  <si>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</si>
  <si>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</si>
  <si>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</si>
  <si>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</si>
  <si>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</si>
  <si>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</si>
  <si>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</si>
  <si>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</si>
  <si>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</si>
  <si>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</si>
  <si>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</si>
  <si>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</si>
  <si>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</si>
  <si>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</si>
  <si>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</si>
  <si>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</si>
  <si>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</si>
  <si>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</si>
  <si>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</si>
  <si>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</si>
  <si>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</si>
  <si>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</si>
  <si>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</si>
  <si>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</si>
  <si>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</si>
  <si>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</si>
  <si>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</si>
  <si>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</si>
  <si>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</si>
  <si>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</si>
  <si>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</si>
  <si>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</si>
  <si>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</si>
  <si>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</si>
  <si>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</si>
  <si>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</si>
  <si>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</si>
  <si>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</si>
  <si>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</si>
  <si>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</si>
  <si>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</si>
  <si>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</si>
  <si>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</si>
  <si>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</si>
  <si>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</si>
  <si>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</si>
  <si>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</si>
  <si>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</si>
  <si>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</si>
  <si>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</si>
  <si>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</si>
  <si>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</si>
  <si>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</si>
  <si>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</si>
  <si>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</si>
  <si>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</si>
  <si>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</si>
  <si>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</si>
  <si>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</si>
  <si>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</si>
  <si>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</si>
  <si>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</si>
  <si>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</si>
  <si>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</si>
  <si>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</si>
  <si>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</si>
  <si>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</si>
  <si>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</si>
  <si>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</si>
  <si>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</si>
  <si>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</si>
  <si>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</si>
  <si>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</si>
  <si>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</si>
  <si>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</si>
  <si>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</si>
  <si>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</si>
  <si>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</si>
  <si>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</si>
  <si>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</si>
  <si>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</si>
  <si>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</si>
  <si>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</si>
  <si>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</si>
  <si>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</si>
  <si>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</si>
  <si>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</si>
  <si>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</si>
  <si>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</si>
  <si>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</si>
  <si>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</si>
  <si>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</si>
  <si>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</si>
  <si>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</si>
  <si>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</si>
  <si>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</si>
  <si>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</si>
  <si>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</si>
  <si>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</si>
  <si>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</si>
  <si>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</si>
  <si>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</si>
  <si>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</si>
  <si>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</si>
  <si>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</si>
  <si>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</si>
  <si>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</si>
  <si>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</si>
  <si>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</si>
  <si>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</si>
  <si>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</si>
  <si>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</si>
  <si>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</si>
  <si>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</si>
  <si>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</si>
  <si>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</si>
  <si>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</si>
  <si>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</si>
  <si>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</si>
  <si>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</si>
  <si>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</si>
  <si>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</si>
  <si>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</si>
  <si>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</si>
  <si>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</si>
  <si>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</si>
  <si>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</si>
  <si>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</si>
  <si>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</si>
  <si>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</si>
  <si>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</si>
  <si>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</si>
  <si>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</si>
  <si>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</si>
  <si>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</si>
  <si>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</si>
  <si>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</si>
  <si>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</si>
  <si>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</si>
  <si>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</si>
  <si>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</si>
  <si>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</si>
  <si>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</si>
  <si>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</si>
  <si>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</si>
  <si>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</si>
  <si>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</si>
  <si>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</si>
  <si>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</si>
  <si>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</si>
  <si>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</si>
  <si>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</si>
  <si>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</si>
  <si>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</si>
  <si>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</si>
  <si>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</si>
  <si>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</si>
  <si>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</si>
  <si>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</si>
  <si>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</si>
  <si>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</si>
  <si>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</si>
  <si>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</si>
  <si>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</si>
  <si>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</si>
  <si>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</si>
  <si>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</si>
  <si>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</si>
  <si>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</si>
  <si>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</si>
  <si>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</si>
  <si>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</si>
  <si>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</si>
  <si>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</si>
  <si>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</si>
  <si>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</si>
  <si>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</si>
  <si>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</si>
  <si>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</si>
  <si>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</si>
  <si>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</si>
  <si>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</si>
  <si>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</si>
  <si>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</si>
  <si>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</si>
  <si>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</si>
  <si>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</si>
  <si>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</si>
  <si>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</si>
  <si>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</si>
  <si>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</si>
  <si>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</si>
  <si>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</si>
  <si>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</si>
  <si>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</si>
  <si>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</si>
  <si>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</si>
  <si>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</si>
  <si>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</si>
  <si>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</si>
  <si>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</si>
  <si>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</si>
  <si>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</si>
  <si>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</si>
  <si>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</si>
  <si>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</si>
  <si>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</si>
  <si>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</si>
  <si>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</si>
  <si>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</si>
  <si>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</si>
  <si>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</si>
  <si>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</si>
  <si>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</si>
  <si>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</si>
  <si>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</si>
  <si>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</si>
  <si>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</si>
  <si>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</si>
  <si>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</si>
  <si>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</si>
  <si>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</si>
  <si>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</si>
  <si>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</si>
  <si>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</si>
  <si>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</si>
  <si>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</si>
  <si>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</si>
  <si>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</si>
  <si>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</si>
  <si>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</si>
  <si>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</si>
  <si>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</si>
  <si>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</si>
  <si>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</si>
  <si>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</si>
  <si>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</si>
  <si>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</si>
  <si>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</si>
  <si>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</si>
  <si>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</si>
  <si>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</si>
  <si>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</si>
  <si>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</si>
  <si>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</si>
  <si>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</si>
  <si>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</si>
  <si>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</si>
  <si>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</si>
  <si>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</si>
  <si>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</si>
  <si>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</si>
  <si>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</si>
  <si>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</si>
  <si>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</si>
  <si>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</si>
  <si>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</si>
  <si>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</si>
  <si>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</si>
  <si>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</si>
  <si>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</si>
  <si>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</si>
  <si>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</si>
  <si>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</si>
  <si>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</si>
  <si>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</si>
  <si>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</si>
  <si>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</si>
  <si>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</si>
  <si>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</si>
  <si>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</si>
  <si>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</si>
  <si>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</si>
  <si>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</si>
  <si>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</si>
  <si>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</si>
  <si>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</si>
  <si>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</si>
  <si>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</si>
  <si>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</si>
  <si>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</si>
  <si>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</si>
  <si>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</si>
  <si>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</si>
  <si>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</si>
  <si>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</si>
  <si>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</si>
  <si>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</si>
  <si>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</si>
  <si>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</si>
  <si>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</si>
  <si>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</si>
  <si>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</si>
  <si>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</si>
  <si>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</si>
  <si>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</si>
  <si>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</si>
  <si>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</si>
  <si>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</si>
  <si>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</si>
  <si>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</si>
  <si>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</si>
  <si>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</si>
  <si>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</si>
  <si>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</si>
  <si>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</si>
  <si>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</si>
  <si>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</si>
  <si>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</si>
  <si>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</si>
  <si>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</si>
  <si>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</si>
  <si>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</si>
  <si>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</si>
  <si>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</si>
  <si>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</si>
  <si>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</si>
  <si>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</si>
  <si>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</si>
  <si>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</si>
  <si>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</si>
  <si>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</si>
  <si>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</si>
  <si>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</si>
  <si>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</si>
  <si>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</si>
  <si>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</si>
  <si>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</si>
  <si>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</si>
  <si>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</si>
  <si>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</si>
  <si>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</si>
  <si>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</si>
  <si>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</si>
  <si>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</si>
  <si>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</si>
  <si>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</si>
  <si>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</si>
  <si>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</si>
  <si>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</si>
  <si>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</si>
  <si>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</si>
  <si>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</si>
  <si>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</si>
  <si>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</si>
  <si>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</si>
  <si>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</si>
  <si>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</si>
  <si>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</si>
  <si>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</si>
  <si>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</si>
  <si>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</si>
  <si>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</si>
  <si>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</si>
  <si>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</si>
  <si>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</si>
  <si>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</si>
  <si>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</si>
  <si>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</si>
  <si>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</si>
  <si>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</si>
  <si>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</si>
  <si>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</si>
  <si>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</si>
  <si>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</si>
  <si>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</si>
  <si>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</si>
  <si>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</si>
  <si>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</si>
  <si>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</si>
  <si>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</si>
  <si>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</si>
  <si>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</si>
  <si>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</si>
  <si>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</si>
  <si>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</si>
  <si>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</si>
  <si>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</si>
  <si>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</si>
  <si>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</si>
  <si>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</si>
  <si>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</si>
  <si>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</si>
  <si>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</si>
  <si>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</si>
  <si>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</si>
  <si>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</si>
  <si>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</si>
  <si>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</si>
  <si>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</si>
  <si>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</si>
  <si>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</si>
  <si>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</si>
  <si>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</si>
  <si>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</si>
  <si>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</si>
  <si>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</si>
  <si>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</si>
  <si>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</si>
  <si>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</si>
  <si>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</si>
  <si>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</si>
  <si>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</si>
  <si>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</si>
  <si>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</si>
  <si>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</si>
  <si>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</si>
  <si>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</si>
  <si>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</si>
  <si>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</si>
  <si>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</si>
  <si>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</si>
  <si>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</si>
  <si>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</si>
  <si>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</si>
  <si>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</si>
  <si>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</si>
  <si>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</si>
  <si>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</si>
  <si>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</si>
  <si>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</si>
  <si>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</si>
  <si>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</si>
  <si>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</si>
  <si>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</si>
  <si>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</si>
  <si>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</si>
  <si>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</si>
  <si>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</si>
  <si>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</si>
  <si>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</si>
  <si>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</si>
  <si>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</si>
  <si>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</si>
  <si>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</si>
  <si>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</si>
  <si>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</si>
  <si>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</si>
  <si>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</si>
  <si>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</si>
  <si>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</si>
  <si>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</si>
  <si>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</si>
  <si>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</si>
  <si>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</si>
  <si>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</si>
  <si>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</si>
  <si>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</si>
  <si>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</si>
  <si>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</si>
  <si>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</si>
  <si>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</si>
  <si>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</si>
  <si>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</si>
  <si>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</si>
  <si>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</si>
  <si>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</si>
  <si>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</si>
  <si>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</si>
  <si>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</si>
  <si>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</si>
  <si>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</si>
  <si>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</si>
  <si>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</si>
  <si>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</si>
  <si>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</si>
  <si>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</si>
  <si>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</si>
  <si>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</si>
  <si>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</si>
  <si>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</si>
  <si>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</si>
  <si>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</si>
  <si>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</si>
  <si>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</si>
  <si>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</si>
  <si>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</si>
  <si>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</si>
  <si>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</si>
  <si>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</si>
  <si>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</si>
  <si>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</si>
  <si>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</si>
  <si>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</si>
  <si>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</si>
  <si>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</si>
  <si>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</si>
  <si>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</si>
  <si>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</si>
  <si>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</si>
  <si>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</si>
  <si>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</si>
  <si>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</si>
  <si>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</si>
  <si>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</si>
  <si>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</si>
  <si>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</si>
  <si>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</si>
  <si>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</si>
  <si>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</si>
  <si>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</si>
  <si>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</si>
  <si>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</si>
  <si>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</si>
  <si>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</si>
  <si>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</si>
  <si>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</si>
  <si>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</si>
  <si>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</si>
  <si>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</si>
  <si>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</si>
  <si>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</si>
  <si>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</si>
  <si>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</si>
  <si>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</si>
  <si>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</si>
  <si>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</si>
  <si>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</si>
  <si>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</si>
  <si>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</si>
  <si>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</si>
  <si>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</si>
  <si>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</si>
  <si>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</si>
  <si>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</si>
  <si>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</si>
  <si>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</si>
  <si>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</si>
  <si>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</si>
  <si>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</si>
  <si>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</si>
  <si>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</si>
  <si>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</si>
  <si>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</si>
  <si>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</si>
  <si>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</si>
  <si>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</si>
  <si>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</si>
  <si>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</si>
  <si>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</si>
  <si>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</si>
  <si>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</si>
  <si>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</si>
  <si>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</si>
  <si>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</si>
  <si>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</si>
  <si>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</si>
  <si>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</si>
  <si>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</si>
  <si>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</si>
  <si>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</si>
  <si>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</si>
  <si>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</si>
  <si>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</si>
  <si>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</si>
  <si>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</si>
  <si>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</si>
  <si>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</si>
  <si>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</si>
  <si>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</si>
  <si>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</si>
  <si>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</si>
  <si>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</si>
  <si>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</si>
  <si>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</si>
  <si>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</si>
  <si>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</si>
  <si>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</si>
  <si>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</si>
  <si>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</si>
  <si>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</si>
  <si>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</si>
  <si>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</si>
  <si>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</si>
  <si>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</si>
  <si>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</si>
  <si>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</si>
  <si>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</si>
  <si>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</si>
  <si>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</si>
  <si>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</si>
  <si>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</si>
  <si>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</si>
  <si>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</si>
  <si>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</si>
  <si>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</si>
  <si>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</si>
  <si>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</si>
  <si>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</si>
  <si>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</si>
  <si>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</si>
  <si>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</si>
  <si>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</si>
  <si>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</si>
  <si>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</si>
  <si>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</si>
  <si>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</si>
  <si>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</si>
  <si>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</si>
  <si>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</si>
  <si>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</si>
  <si>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</si>
  <si>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</si>
  <si>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</si>
  <si>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</si>
  <si>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</si>
  <si>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</si>
  <si>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</si>
  <si>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</si>
  <si>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</si>
  <si>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</si>
  <si>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</si>
  <si>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</si>
  <si>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</si>
  <si>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</si>
  <si>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</si>
  <si>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</si>
  <si>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</si>
  <si>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</si>
  <si>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</si>
  <si>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</si>
  <si>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</si>
  <si>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</si>
  <si>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</si>
  <si>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</si>
  <si>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</si>
  <si>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</si>
  <si>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</si>
  <si>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</si>
  <si>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</si>
  <si>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</si>
  <si>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</si>
  <si>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</si>
  <si>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</si>
  <si>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</si>
  <si>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</si>
  <si>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</si>
  <si>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</si>
  <si>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</si>
  <si>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</si>
  <si>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</si>
  <si>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</si>
  <si>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</si>
  <si>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</si>
  <si>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</si>
  <si>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</si>
  <si>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</si>
  <si>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</si>
  <si>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</si>
  <si>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</si>
  <si>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</si>
  <si>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</si>
  <si>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</si>
  <si>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</si>
  <si>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</si>
  <si>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</si>
  <si>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</si>
  <si>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</si>
  <si>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</si>
  <si>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</si>
  <si>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</si>
  <si>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</si>
  <si>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</si>
  <si>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</si>
  <si>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</si>
  <si>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</si>
  <si>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</si>
  <si>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</si>
  <si>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</si>
  <si>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</si>
  <si>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</si>
  <si>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</si>
  <si>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</si>
  <si>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</si>
  <si>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</si>
  <si>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</si>
  <si>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</si>
  <si>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</si>
  <si>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</si>
  <si>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</si>
  <si>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</si>
  <si>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</si>
  <si>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</si>
  <si>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</si>
  <si>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</si>
  <si>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</si>
  <si>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</si>
  <si>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</si>
  <si>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</si>
  <si>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</si>
  <si>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</si>
  <si>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</si>
  <si>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</si>
  <si>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</si>
  <si>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</si>
  <si>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</si>
  <si>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</si>
  <si>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</si>
  <si>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</si>
  <si>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</si>
  <si>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</si>
  <si>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</si>
  <si>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</si>
  <si>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</si>
  <si>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</si>
  <si>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</si>
  <si>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</si>
  <si>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</si>
  <si>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</si>
  <si>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</si>
  <si>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</si>
  <si>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</si>
  <si>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</si>
  <si>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</si>
  <si>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</si>
  <si>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</si>
  <si>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</si>
  <si>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</si>
  <si>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</si>
  <si>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</si>
  <si>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</si>
  <si>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</si>
  <si>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</si>
  <si>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</si>
  <si>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</si>
  <si>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</si>
  <si>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</si>
  <si>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</si>
  <si>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</si>
  <si>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</si>
  <si>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</si>
  <si>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</si>
  <si>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</si>
  <si>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</si>
  <si>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</si>
  <si>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</si>
  <si>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</si>
  <si>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</si>
  <si>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</si>
  <si>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</si>
  <si>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</si>
  <si>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</si>
  <si>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</si>
  <si>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</si>
  <si>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</si>
  <si>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</si>
  <si>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</si>
  <si>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</si>
  <si>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</si>
  <si>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</si>
  <si>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</si>
  <si>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</si>
  <si>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</si>
  <si>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</si>
  <si>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</si>
  <si>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</si>
  <si>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</si>
  <si>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</si>
  <si>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</si>
  <si>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</si>
  <si>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</si>
  <si>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</si>
  <si>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</si>
  <si>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</si>
  <si>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</si>
  <si>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</si>
  <si>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</si>
  <si>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</si>
  <si>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</si>
  <si>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</si>
  <si>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</si>
  <si>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</si>
  <si>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rPr>
      <t>annual</t>
    </r>
    <r>
      <rPr>
        <sz val="10"/>
        <rFont val="Arial"/>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</si>
  <si>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</si>
  <si>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</si>
  <si>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</si>
  <si>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</si>
  <si>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</si>
  <si>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</si>
  <si>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</si>
  <si>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</si>
  <si>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</si>
  <si>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</si>
  <si>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</si>
  <si>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</si>
  <si>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</si>
  <si>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</si>
  <si>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</si>
  <si>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</si>
  <si>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</si>
  <si>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</si>
  <si>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</si>
  <si>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</si>
  <si>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</si>
  <si>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</si>
  <si>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</si>
  <si>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</si>
  <si>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</si>
  <si>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</si>
  <si>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</si>
  <si>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</si>
  <si>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</si>
  <si>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</si>
  <si>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</si>
  <si>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</si>
  <si>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</si>
  <si>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</si>
  <si>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</si>
  <si>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</si>
  <si>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</si>
  <si>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</si>
  <si>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</si>
  <si>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</si>
  <si>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</si>
  <si>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</si>
  <si>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</si>
  <si>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</si>
  <si>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</si>
  <si>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</si>
  <si>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</si>
  <si>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</si>
  <si>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</si>
  <si>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</si>
  <si>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</si>
  <si>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</si>
  <si>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</si>
  <si>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</si>
  <si>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</si>
  <si>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</si>
  <si>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</si>
  <si>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</si>
  <si>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</si>
  <si>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</si>
  <si>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</si>
  <si>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</si>
  <si>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</si>
  <si>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</si>
  <si>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</si>
  <si>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</si>
  <si>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</si>
  <si>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</si>
  <si>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</si>
  <si>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</si>
  <si>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</si>
  <si>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</si>
  <si>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</si>
  <si>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</si>
  <si>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</si>
  <si>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</si>
  <si>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</si>
  <si>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</si>
  <si>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</si>
  <si>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</si>
  <si>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</si>
  <si>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</si>
  <si>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</si>
  <si>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</si>
  <si>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</si>
  <si>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</si>
  <si>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</si>
  <si>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</si>
  <si>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</si>
  <si>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</si>
  <si>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</si>
  <si>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</si>
  <si>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</si>
  <si>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</si>
  <si>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</si>
  <si>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</si>
  <si>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</si>
  <si>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</si>
  <si>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</si>
  <si>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</si>
  <si>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</si>
  <si>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</si>
  <si>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</si>
  <si>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</si>
  <si>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</si>
  <si>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</si>
  <si>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</si>
  <si>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</si>
  <si>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</si>
  <si>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</si>
  <si>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</si>
  <si>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</si>
  <si>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</si>
  <si>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</si>
  <si>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</si>
  <si>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</si>
  <si>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</si>
  <si>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</si>
  <si>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</si>
  <si>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</si>
  <si>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</si>
  <si>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</si>
  <si>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</si>
  <si>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</si>
  <si>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</si>
  <si>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</si>
  <si>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</si>
  <si>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</si>
  <si>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</si>
  <si>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</si>
  <si>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</si>
  <si>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</si>
  <si>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</si>
  <si>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</si>
  <si>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</si>
  <si>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</si>
  <si>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</si>
  <si>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</si>
  <si>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</si>
  <si>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</si>
  <si>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</si>
  <si>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</si>
  <si>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</si>
  <si>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</si>
  <si>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</si>
  <si>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</si>
  <si>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</si>
  <si>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</si>
  <si>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</si>
  <si>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</si>
  <si>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</si>
  <si>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</si>
  <si>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</si>
  <si>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</si>
  <si>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</si>
  <si>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</si>
  <si>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</si>
  <si>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</si>
  <si>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</si>
  <si>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</si>
  <si>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</si>
  <si>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</si>
  <si>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</si>
  <si>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</si>
  <si>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</si>
  <si>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</si>
  <si>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</si>
  <si>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</si>
  <si>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</si>
  <si>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</si>
  <si>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</si>
  <si>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</si>
  <si>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</si>
  <si>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</si>
  <si>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</si>
  <si>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</si>
  <si>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</si>
  <si>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</si>
  <si>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</si>
  <si>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</si>
  <si>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</si>
  <si>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</si>
  <si>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</si>
  <si>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</si>
  <si>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</si>
  <si>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</si>
  <si>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</si>
  <si>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</si>
  <si>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</si>
  <si>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</si>
  <si>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</si>
  <si>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</si>
  <si>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</si>
  <si>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</si>
  <si>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</si>
  <si>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</si>
  <si>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</si>
  <si>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</si>
  <si>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</si>
  <si>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</si>
  <si>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</si>
  <si>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</si>
  <si>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</si>
  <si>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</si>
  <si>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</si>
  <si>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</si>
  <si>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</si>
  <si>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</si>
  <si>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</si>
  <si>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</si>
  <si>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</si>
  <si>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</si>
  <si>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</si>
  <si>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</si>
  <si>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</si>
  <si>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</si>
  <si>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</si>
  <si>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</si>
  <si>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</si>
  <si>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</si>
  <si>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</si>
  <si>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</si>
  <si>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</si>
  <si>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</si>
  <si>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</si>
  <si>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</si>
  <si>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</si>
  <si>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</si>
  <si>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</si>
  <si>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</si>
  <si>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</si>
  <si>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</si>
  <si>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</si>
  <si>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</si>
  <si>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</si>
  <si>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</si>
  <si>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</si>
  <si>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</si>
  <si>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</si>
  <si>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</si>
  <si>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</si>
  <si>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</si>
  <si>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</si>
  <si>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</si>
  <si>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</si>
  <si>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</si>
  <si>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</si>
  <si>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</si>
  <si>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</si>
  <si>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</si>
  <si>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</si>
  <si>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</si>
  <si>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</si>
  <si>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</si>
  <si>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</si>
  <si>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</si>
  <si>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</si>
  <si>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</si>
  <si>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</si>
  <si>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</si>
  <si>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</si>
  <si>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</si>
  <si>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</si>
  <si>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</si>
  <si>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</si>
  <si>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</si>
  <si>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</si>
  <si>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</si>
  <si>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</si>
  <si>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</si>
  <si>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</si>
  <si>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</si>
  <si>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</si>
  <si>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</si>
  <si>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</si>
  <si>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</si>
  <si>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</si>
  <si>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</si>
  <si>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</si>
  <si>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</si>
  <si>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</si>
  <si>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</si>
  <si>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</si>
  <si>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</si>
  <si>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</si>
  <si>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</si>
  <si>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</si>
  <si>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</si>
  <si>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</si>
  <si>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</si>
  <si>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</si>
  <si>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</si>
  <si>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</si>
  <si>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</si>
  <si>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</si>
  <si>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</si>
  <si>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</si>
  <si>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</si>
  <si>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</si>
  <si>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</si>
  <si>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</si>
  <si>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</si>
  <si>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</si>
  <si>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</si>
  <si>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</si>
  <si>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</si>
  <si>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</si>
  <si>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</si>
  <si>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</si>
  <si>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</si>
  <si>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</si>
  <si>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</si>
  <si>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</si>
  <si>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</si>
  <si>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</si>
  <si>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</si>
  <si>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</si>
  <si>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</si>
  <si>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</si>
  <si>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</si>
  <si>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</si>
  <si>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</si>
  <si>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</si>
  <si>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</si>
  <si>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</si>
  <si>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</si>
  <si>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</si>
  <si>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</si>
  <si>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</si>
  <si>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rPr>
      <t xml:space="preserve">: the period of years the annual 2.5% underwriting increase to
project income is delayed in the 15 Year Pro Forma.  
</t>
    </r>
    <r>
      <rPr>
        <u/>
        <sz val="10"/>
        <rFont val="Arial"/>
        <family val="2"/>
      </rPr>
      <t>Temporary rent adjuster</t>
    </r>
    <r>
      <rPr>
        <sz val="10"/>
        <rFont val="Arial"/>
      </rPr>
      <t xml:space="preserve">: the percentage used in place of the annual 2.5% underwriting increase to project income in the 15 Year Pro Forma. 
</t>
    </r>
    <r>
      <rPr>
        <u/>
        <sz val="10"/>
        <rFont val="Arial"/>
        <family val="2"/>
      </rPr>
      <t>Calculation</t>
    </r>
    <r>
      <rPr>
        <sz val="10"/>
        <rFont val="Arial"/>
      </rPr>
      <t>:</t>
    </r>
    <r>
      <rPr>
        <u/>
        <sz val="10"/>
        <rFont val="Arial"/>
        <family val="2"/>
      </rPr>
      <t xml:space="preserve">
</t>
    </r>
    <r>
      <rPr>
        <sz val="10"/>
        <rFont val="Arial"/>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</si>
  <si>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</si>
  <si>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</si>
  <si>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</si>
  <si>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</si>
  <si>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</si>
  <si>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</si>
  <si>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</si>
  <si>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</si>
  <si>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</si>
  <si>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</si>
  <si>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</si>
  <si>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</si>
  <si>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</si>
  <si>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</si>
  <si>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</si>
  <si>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</si>
  <si>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</si>
  <si>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</si>
  <si>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</si>
  <si>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</si>
  <si>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</si>
  <si>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</si>
  <si>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</si>
  <si>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</si>
  <si>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</si>
  <si>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</si>
  <si>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</si>
  <si>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</si>
  <si>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</si>
  <si>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</si>
  <si>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</si>
  <si>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</si>
  <si>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</si>
  <si>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</si>
  <si>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</si>
  <si>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</si>
  <si>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</si>
  <si>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</si>
  <si>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</si>
  <si>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</si>
  <si>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</si>
  <si>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</si>
  <si>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</si>
  <si>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</si>
  <si>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</si>
  <si>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</si>
  <si>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</si>
  <si>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</si>
  <si>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</si>
  <si>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</si>
  <si>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</si>
  <si>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</si>
  <si>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</si>
  <si>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</si>
  <si>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</si>
  <si>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</si>
  <si>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</si>
  <si>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</si>
  <si>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</si>
  <si>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</si>
  <si>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</si>
  <si>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</si>
  <si>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</si>
  <si>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</si>
  <si>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</si>
  <si>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</si>
  <si>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</si>
  <si>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</si>
  <si>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</si>
  <si>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</si>
  <si>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</si>
  <si>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</si>
  <si>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</si>
  <si>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</si>
  <si>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</si>
  <si>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</si>
  <si>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</si>
  <si>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</si>
  <si>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</si>
  <si>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</si>
  <si>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</si>
  <si>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</si>
  <si>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</si>
  <si>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</si>
  <si>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</si>
  <si>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</si>
  <si>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</si>
  <si>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</si>
  <si>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</si>
  <si>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</si>
  <si>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</si>
  <si>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</si>
  <si>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</si>
  <si>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</si>
  <si>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</si>
  <si>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</si>
  <si>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</si>
  <si>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</si>
  <si>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</si>
  <si>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</si>
  <si>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</si>
  <si>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</si>
  <si>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</si>
  <si>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</si>
  <si>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</si>
  <si>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</si>
  <si>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</si>
  <si>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</si>
  <si>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</si>
  <si>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</si>
  <si>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</si>
  <si>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</si>
  <si>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</si>
  <si>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</si>
  <si>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</si>
  <si>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</si>
  <si>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</si>
  <si>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</si>
  <si>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</si>
  <si>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</si>
  <si>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</si>
  <si>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</si>
  <si>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</si>
  <si>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</si>
  <si>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</si>
  <si>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</si>
  <si>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</si>
  <si>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</si>
  <si>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</si>
  <si>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</si>
  <si>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</si>
  <si>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</si>
  <si>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</si>
  <si>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</si>
  <si>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</si>
  <si>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rPr>
      <t xml:space="preserve"> and </t>
    </r>
    <r>
      <rPr>
        <u/>
        <sz val="10"/>
        <rFont val="Arial"/>
        <family val="2"/>
      </rPr>
      <t>state tax credit factor</t>
    </r>
    <r>
      <rPr>
        <sz val="10"/>
        <rFont val="Arial"/>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</si>
  <si>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</si>
  <si>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</si>
  <si>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</si>
  <si>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</si>
  <si>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</si>
  <si>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</si>
  <si>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</si>
  <si>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</si>
  <si>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</si>
  <si>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</si>
  <si>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</si>
  <si>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</si>
  <si>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</si>
  <si>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</si>
  <si>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</si>
  <si>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</si>
  <si>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</si>
  <si>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</si>
  <si>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</si>
  <si>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</si>
  <si>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</si>
  <si>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</si>
  <si>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</si>
  <si>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</si>
  <si>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</si>
  <si>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</si>
  <si>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</si>
  <si>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</si>
  <si>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</si>
  <si>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</si>
  <si>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</si>
  <si>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</si>
  <si>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</si>
  <si>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</si>
  <si>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</si>
  <si>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rPr>
      <t xml:space="preserve"> Applicants must submit the joint application including this Excel file using the CDLAC online application portal. </t>
    </r>
    <r>
      <rPr>
        <u/>
        <sz val="10"/>
        <rFont val="Arial"/>
        <family val="2"/>
      </rPr>
      <t>Non-Joint Applications</t>
    </r>
    <r>
      <rPr>
        <sz val="10"/>
        <rFont val="Arial"/>
      </rPr>
      <t>: Applicants must submit the application on a flash drive.</t>
    </r>
  </si>
  <si>
    <r>
      <rPr>
        <b/>
        <sz val="10"/>
        <color indexed="10"/>
        <rFont val="Arial"/>
        <family val="2"/>
      </rPr>
      <t>DO NOT UNPROTECT OR UNLOCK CELLS</t>
    </r>
    <r>
      <rPr>
        <sz val="10"/>
        <rFont val="Arial"/>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</si>
  <si>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</si>
  <si>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</si>
  <si>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</si>
  <si>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</si>
  <si>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</si>
  <si>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</si>
  <si>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</si>
  <si>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</si>
  <si>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</si>
  <si>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</si>
  <si>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</si>
  <si>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</si>
  <si>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</si>
  <si>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</si>
  <si>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</si>
  <si>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</si>
  <si>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</si>
  <si>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</si>
  <si>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</si>
  <si>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</si>
  <si>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</si>
  <si>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</si>
  <si>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</si>
  <si>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</si>
  <si>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</si>
  <si>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</si>
  <si>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</si>
  <si>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</si>
  <si>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</si>
  <si>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</si>
  <si>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</si>
  <si>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</si>
  <si>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</si>
  <si>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</si>
  <si>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</si>
  <si>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</si>
  <si>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</si>
  <si>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</si>
  <si>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</si>
  <si>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</si>
  <si>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</si>
  <si>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</si>
  <si>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</si>
  <si>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</si>
  <si>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</si>
  <si>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</si>
  <si>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</si>
  <si>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</si>
  <si>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</si>
  <si>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</si>
  <si>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</si>
  <si>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</si>
  <si>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</si>
  <si>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</si>
  <si>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</si>
  <si>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</si>
  <si>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</si>
  <si>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</si>
  <si>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</si>
  <si>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</si>
  <si>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</si>
  <si>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</si>
  <si>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</si>
  <si>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</si>
  <si>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</si>
  <si>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</si>
  <si>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</si>
  <si>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</si>
  <si>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</si>
  <si>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</si>
  <si>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</si>
  <si>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</si>
  <si>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</si>
  <si>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</si>
  <si>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</si>
  <si>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</si>
  <si>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</si>
  <si>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</si>
  <si>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</si>
  <si>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</si>
  <si>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</si>
  <si>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</si>
  <si>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</si>
  <si>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</si>
  <si>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</si>
  <si>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</si>
  <si>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</si>
  <si>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</si>
  <si>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</si>
  <si>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</si>
  <si>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</si>
  <si>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</si>
  <si>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</si>
  <si>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</si>
  <si>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</si>
  <si>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</si>
  <si>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</si>
  <si>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</si>
  <si>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</si>
  <si>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</si>
  <si>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</si>
  <si>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</si>
  <si>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</si>
  <si>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</si>
  <si>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</si>
  <si>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</si>
  <si>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</si>
  <si>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</si>
  <si>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</si>
  <si>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</si>
  <si>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</si>
  <si>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</si>
  <si>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</si>
  <si>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</si>
  <si>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 xml:space="preserve">San Cristina, L.P. </t>
  </si>
  <si>
    <t>San Cristina</t>
  </si>
  <si>
    <t>Eric Shaw</t>
  </si>
  <si>
    <t>Director</t>
  </si>
  <si>
    <t>1 South Van Ness Ave, 5th Floor</t>
  </si>
  <si>
    <t>415-701-5528</t>
  </si>
  <si>
    <t>415-701-5501</t>
  </si>
  <si>
    <t>eric.shaw@sfgov.org</t>
  </si>
  <si>
    <t>CDLAC-TCAC Joint Application (submitting concurrently)</t>
  </si>
  <si>
    <t>0350-001</t>
  </si>
  <si>
    <t>1000 Market St</t>
  </si>
  <si>
    <t>CA</t>
  </si>
  <si>
    <t>Danielle Thoe</t>
  </si>
  <si>
    <t>(415) 852-5310</t>
  </si>
  <si>
    <t>dthoe@chp-sf.org</t>
  </si>
  <si>
    <t>(415) 749-2791</t>
  </si>
  <si>
    <t>Community Housing Partnership</t>
  </si>
  <si>
    <t>CHP San Cristina LLC</t>
  </si>
  <si>
    <t>Managing GP</t>
  </si>
  <si>
    <t xml:space="preserve">20 Jones St. </t>
  </si>
  <si>
    <t>(415) 852-5300</t>
  </si>
  <si>
    <t>raubry@chp-sf.org</t>
  </si>
  <si>
    <t>20 Jones Street, Ste. 200</t>
  </si>
  <si>
    <t>20 Jones Street, Suite 200</t>
  </si>
  <si>
    <t>San Francisco, CA 94102</t>
  </si>
  <si>
    <t>Gubb &amp; Barshay</t>
  </si>
  <si>
    <t>Jed D'Abravanel</t>
  </si>
  <si>
    <t>505 14th Street, Suite 400</t>
  </si>
  <si>
    <t>Oakland, CA 94612</t>
  </si>
  <si>
    <t>(415) 781-6600</t>
  </si>
  <si>
    <t>jdabravanel@gubbandbarshay.com</t>
  </si>
  <si>
    <t>275 Battery Suite, Suite 1050</t>
  </si>
  <si>
    <t>San Francisco, CA 94111</t>
  </si>
  <si>
    <t>Lisa Wang</t>
  </si>
  <si>
    <t>(628) 201-4018</t>
  </si>
  <si>
    <t>lwang@meiarchitects.com</t>
  </si>
  <si>
    <t>FineLine Construction</t>
  </si>
  <si>
    <t>San Francisco, CA 94103</t>
  </si>
  <si>
    <t>Emily Lin</t>
  </si>
  <si>
    <t>(415) 512-7677</t>
  </si>
  <si>
    <t>emily@finelineconst.com</t>
  </si>
  <si>
    <t>(415) 512-7688</t>
  </si>
  <si>
    <t>Association for Energy Affordability</t>
  </si>
  <si>
    <t>5900 Hollis Street, Suite R2</t>
  </si>
  <si>
    <t>Emeryville, CA 94608</t>
  </si>
  <si>
    <t>Nick Young</t>
  </si>
  <si>
    <t>(510)270-2372</t>
  </si>
  <si>
    <t>nyoung@aea.us.org</t>
  </si>
  <si>
    <t>TBD</t>
  </si>
  <si>
    <t>CHPC</t>
  </si>
  <si>
    <t>369 Pine Street, Ste. 300</t>
  </si>
  <si>
    <t>San Francisco, CA 94104</t>
  </si>
  <si>
    <t>Greg Chin</t>
  </si>
  <si>
    <t>(415) 433-6804</t>
  </si>
  <si>
    <t>greg@chpc.net</t>
  </si>
  <si>
    <t>Gregg Palmer</t>
  </si>
  <si>
    <t>gregg@igpinc.com</t>
  </si>
  <si>
    <t>James G. Palmer Appraisals Inc.</t>
  </si>
  <si>
    <t>1285 W. Shaw #108</t>
  </si>
  <si>
    <t>Fresno, CA 93711</t>
  </si>
  <si>
    <t>(559) 226-5020</t>
  </si>
  <si>
    <t>(559) 226-5063</t>
  </si>
  <si>
    <t>Newport Realty Advisors</t>
  </si>
  <si>
    <t>Charlie Castro</t>
  </si>
  <si>
    <t>(415) 835-6060</t>
  </si>
  <si>
    <t>charlie@newportrealtyadvisors.com</t>
  </si>
  <si>
    <t xml:space="preserve">SF Mayor's Office of Housing </t>
  </si>
  <si>
    <t>Kevin Lewis</t>
  </si>
  <si>
    <t>klewis@chp-sf.org</t>
  </si>
  <si>
    <t>Novogradac &amp; Co LLP</t>
  </si>
  <si>
    <t>1160 Battery Street, East Bldg</t>
  </si>
  <si>
    <t>(415) 356-8000</t>
  </si>
  <si>
    <t>Appraisal</t>
  </si>
  <si>
    <t>Richard Aubry</t>
  </si>
  <si>
    <t>Single Room Occupancy</t>
  </si>
  <si>
    <t>San Francisco Mayor's Office of Housing</t>
  </si>
  <si>
    <t>1000 Market Street</t>
  </si>
  <si>
    <t>AE3/MEI Joint Venture</t>
  </si>
  <si>
    <t>15 Brush Place</t>
  </si>
  <si>
    <t>Eric Barnett</t>
  </si>
  <si>
    <t>Eric.Barnett@novoco.com</t>
  </si>
  <si>
    <t>Chief Executive Officer</t>
  </si>
  <si>
    <t>20 Jones Street, San Francisco, CA 94102</t>
  </si>
  <si>
    <t>The building has two commercial spaces and a cell phone tower tenant.</t>
  </si>
  <si>
    <t>HUD RAD</t>
  </si>
  <si>
    <t>C-3-G Downtown</t>
  </si>
  <si>
    <t>120-X</t>
  </si>
  <si>
    <t>40%/60%</t>
  </si>
  <si>
    <t>Tax-Exempt Private Lender Construction Loan</t>
  </si>
  <si>
    <t>Variable</t>
  </si>
  <si>
    <t>SF MOHCD Predev/Perm Loan</t>
  </si>
  <si>
    <t>Fixed</t>
  </si>
  <si>
    <t>Seller Carryback Loan</t>
  </si>
  <si>
    <t>SF MOHCD CDBG Loan</t>
  </si>
  <si>
    <t>GP Capital (Reserves)</t>
  </si>
  <si>
    <t>HCD LPR CHRP Loan</t>
  </si>
  <si>
    <t>Deferred Developer Fees</t>
  </si>
  <si>
    <t>GP Capital Contribution</t>
  </si>
  <si>
    <t>LP Investor Equity</t>
  </si>
  <si>
    <t>Accrued Interest on Soft Loans</t>
  </si>
  <si>
    <t>Costs Deferred Until Perm Conversion</t>
  </si>
  <si>
    <t>MOHCD PASS Loan - Market Rate Tranche</t>
  </si>
  <si>
    <t>MOHCD PASS Loan - Below Market Rate Tranche</t>
  </si>
  <si>
    <t>HCD MHP-SH Loan</t>
  </si>
  <si>
    <t>Deferred Developer Fees/GP Capital/GP Capital (Reserves)</t>
  </si>
  <si>
    <t>Misc. Admin</t>
  </si>
  <si>
    <t>Payroll Taxes/Benefits</t>
  </si>
  <si>
    <t>Janitorial/Misc.</t>
  </si>
  <si>
    <t>Misc. Taxes/License</t>
  </si>
  <si>
    <t>MOHCD AM Fee</t>
  </si>
  <si>
    <t xml:space="preserve">HCD CHRP/MHP </t>
  </si>
  <si>
    <r>
      <t xml:space="preserve">Other: </t>
    </r>
    <r>
      <rPr>
        <sz val="9"/>
        <rFont val="Arial"/>
        <family val="2"/>
      </rPr>
      <t>Environmental Remediation</t>
    </r>
  </si>
  <si>
    <r>
      <t xml:space="preserve">Other: </t>
    </r>
    <r>
      <rPr>
        <sz val="9"/>
        <rFont val="Arial"/>
        <family val="2"/>
      </rPr>
      <t>Additional Construction Costs Not in Contract</t>
    </r>
  </si>
  <si>
    <r>
      <t xml:space="preserve">Other: </t>
    </r>
    <r>
      <rPr>
        <sz val="9"/>
        <rFont val="Arial"/>
        <family val="2"/>
      </rPr>
      <t>City Tax</t>
    </r>
  </si>
  <si>
    <t>Other: Consultants, Architectural/Construction/Planning</t>
  </si>
  <si>
    <r>
      <t xml:space="preserve">Other: </t>
    </r>
    <r>
      <rPr>
        <sz val="9"/>
        <rFont val="Arial"/>
        <family val="2"/>
      </rPr>
      <t>Soft Debt Loan Fees/Expenses</t>
    </r>
  </si>
  <si>
    <r>
      <t xml:space="preserve">Other: </t>
    </r>
    <r>
      <rPr>
        <sz val="9"/>
        <rFont val="Arial"/>
        <family val="2"/>
      </rPr>
      <t>Soft Debt Accrued Interest</t>
    </r>
  </si>
  <si>
    <r>
      <t>Other:</t>
    </r>
    <r>
      <rPr>
        <sz val="9"/>
        <rFont val="Arial"/>
        <family val="2"/>
      </rPr>
      <t xml:space="preserve"> Resident Engagement/Planning</t>
    </r>
  </si>
  <si>
    <r>
      <t xml:space="preserve">Other: </t>
    </r>
    <r>
      <rPr>
        <sz val="9"/>
        <rFont val="Arial"/>
        <family val="2"/>
      </rPr>
      <t>Transaction</t>
    </r>
  </si>
  <si>
    <t>Other: Transfer Tax/Acq Legal/Acq Title</t>
  </si>
  <si>
    <r>
      <t xml:space="preserve">Other: </t>
    </r>
    <r>
      <rPr>
        <sz val="9"/>
        <rFont val="Arial"/>
        <family val="2"/>
      </rPr>
      <t>Transition Reserve</t>
    </r>
  </si>
  <si>
    <r>
      <t>Other:</t>
    </r>
    <r>
      <rPr>
        <sz val="9"/>
        <rFont val="Arial"/>
        <family val="2"/>
      </rPr>
      <t xml:space="preserve">  Perm Lender Expenses</t>
    </r>
  </si>
  <si>
    <t>MOHCD PASS Loan - Deferred Payment Tranche</t>
  </si>
  <si>
    <t>Income from Operations/Accrued Interest on Soft Loans</t>
  </si>
  <si>
    <t>FHLB AHP</t>
  </si>
  <si>
    <t>Sponsor Seller Carryback Loan</t>
  </si>
  <si>
    <t>Senior Project Manager of General Partner</t>
  </si>
  <si>
    <t>1699 Van Ness Avenue</t>
  </si>
  <si>
    <t>San Francisco CA 94109</t>
  </si>
  <si>
    <t>Physical Property Analysis</t>
  </si>
  <si>
    <t>7227 Broadway, Suite 305</t>
  </si>
  <si>
    <t>Lemon Grove, CA 91945</t>
  </si>
  <si>
    <t>Samantha Speer</t>
  </si>
  <si>
    <t>619-990-8392</t>
  </si>
  <si>
    <t>sspeer@physicalpropertyanalysis.com</t>
  </si>
  <si>
    <t xml:space="preserve">building consists of 58 residential SRO units as well as two commercial spaces - one of which is being used as a restaurant and the other as office space. There is a third commercial tenant, a cell phone tower on the roof.  The project scope does not involve work on the commercial spaces. </t>
  </si>
  <si>
    <t>415-852-5300</t>
  </si>
  <si>
    <t>shape is a flatiron (triangle)</t>
  </si>
  <si>
    <t>Multi-Family/Commercial</t>
  </si>
  <si>
    <t>Same</t>
  </si>
  <si>
    <t>560 Mission street, 3rd Floor</t>
  </si>
  <si>
    <t>San Francisco, CA 94105</t>
  </si>
  <si>
    <t>James Vossoughi</t>
  </si>
  <si>
    <t>(415) 315-6708</t>
  </si>
  <si>
    <t>Rick Aubry</t>
  </si>
  <si>
    <t>capital contribution</t>
  </si>
  <si>
    <t>2020 W. El Camino Avenue, Suite 500</t>
  </si>
  <si>
    <t>Sacramento, CA 95833</t>
  </si>
  <si>
    <t>Laura Bateman</t>
  </si>
  <si>
    <t>(916) 263-1302</t>
  </si>
  <si>
    <t>Permanent Loan</t>
  </si>
  <si>
    <t>333 Bush street, Ste. 2700</t>
  </si>
  <si>
    <t>Alyssa Thunberg</t>
  </si>
  <si>
    <t>(415) 616-2542</t>
  </si>
  <si>
    <t>2020 W. El Camino Avenue, Suite 670</t>
  </si>
  <si>
    <t>Puma Houangvilay</t>
  </si>
  <si>
    <t>(916) 263-2771</t>
  </si>
  <si>
    <t>Equity</t>
  </si>
  <si>
    <t>Jonah Lee</t>
  </si>
  <si>
    <t>One South Van Ness Avenue, Fifth Floor</t>
  </si>
  <si>
    <t>(415) 701-5500</t>
  </si>
  <si>
    <t>Permanent loan</t>
  </si>
  <si>
    <t>Construction Loan</t>
  </si>
  <si>
    <t>SF Housing Authority</t>
  </si>
  <si>
    <t>RAD conversion - PBVs</t>
  </si>
  <si>
    <t>SF-FHLB</t>
  </si>
  <si>
    <t>20 years</t>
  </si>
  <si>
    <t>MOHCD Funding</t>
  </si>
  <si>
    <t>HCD LPR CHRP-R Loan</t>
  </si>
  <si>
    <t>AHP</t>
  </si>
  <si>
    <t>HCD SH-MHP</t>
  </si>
  <si>
    <t>MOHCD PASS Loans</t>
  </si>
  <si>
    <t>Viviana Lopez</t>
  </si>
  <si>
    <t>(415) 701-4324</t>
  </si>
  <si>
    <t>viviana.lopez@sfgov.org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</si>
</sst>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507">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6"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3" fontId="15" fillId="5" borderId="11" xfId="0" applyNumberFormat="1" applyFont="1" applyFill="1" applyBorder="1" applyAlignment="1" applyProtection="1">
      <alignment horizontal="center"/>
      <protection locked="0"/>
    </xf>
    <xf numFmtId="0" fontId="6" fillId="5" borderId="3" xfId="0" applyNumberFormat="1" applyFont="1" applyFill="1" applyBorder="1" applyAlignment="1" applyProtection="1">
      <alignment horizontal="right" vertical="top"/>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507">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106680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1.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85"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8"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8"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3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3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3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35" customHeight="1">
      <c r="A40" s="152"/>
      <c r="B40"/>
      <c r="C40" s="5"/>
      <c r="D40" s="152"/>
      <c r="E40" s="152" t="s">
        <v>706</v>
      </c>
      <c r="F40" s="956" t="s">
        <v>1400</v>
      </c>
    </row>
    <row r="41" spans="1:38" s="956"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3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35"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1"/>
    <hyperlink ref="E31" r:id="rId2" display="https://www.treasurer.ca.gov/ctcac/2019/submittals/non_competitive.asp"/>
    <hyperlink ref="E35" r:id="rId3"/>
    <hyperlink ref="E35:AK35" r:id="rId4" display="http://www.treasurer.ca.gov/ctcac/assignments.asp"/>
    <hyperlink ref="E31:AK31" r:id="rId5" display="https://www.treasurer.ca.gov/ctcac/2019/submitals/non_competitive.asp"/>
    <hyperlink ref="E36:AK36" r:id="rId6" display="http://www.treasurer.ca.gov/ctcac/contacts.asp"/>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SheetLayoutView="100" workbookViewId="0">
      <selection activeCell="E7" sqref="E7"/>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32</v>
      </c>
      <c r="C4" s="682">
        <f>Application!K709</f>
        <v>207</v>
      </c>
      <c r="D4" s="683"/>
      <c r="E4" s="493">
        <v>2215</v>
      </c>
      <c r="F4" s="684">
        <f>E4*B4</f>
        <v>70880</v>
      </c>
      <c r="G4" s="685"/>
      <c r="H4" s="682">
        <f>IF(E4=0," ",(E4-C4))</f>
        <v>2008</v>
      </c>
      <c r="I4" s="684">
        <f>IF(E4=0," ",(H4*B4))</f>
        <v>64256</v>
      </c>
      <c r="J4" s="335"/>
      <c r="K4" s="490"/>
    </row>
    <row r="5" spans="1:11">
      <c r="A5" s="682" t="str">
        <f>Application!B710</f>
        <v>SRO/Studio</v>
      </c>
      <c r="B5" s="691">
        <f>Application!G710</f>
        <v>10</v>
      </c>
      <c r="C5" s="682">
        <f>Application!K710</f>
        <v>207</v>
      </c>
      <c r="D5" s="683"/>
      <c r="E5" s="493">
        <v>2215</v>
      </c>
      <c r="F5" s="684">
        <f t="shared" ref="F5:F28" si="0">E5*B5</f>
        <v>22150</v>
      </c>
      <c r="G5" s="685"/>
      <c r="H5" s="682">
        <f t="shared" ref="H5:H28" si="1">IF(E5=0," ",(E5-C5))</f>
        <v>2008</v>
      </c>
      <c r="I5" s="684">
        <f t="shared" ref="I5:I28" si="2">IF(E5=0," ",(H5*B5))</f>
        <v>20080</v>
      </c>
      <c r="J5" s="335"/>
      <c r="K5" s="490"/>
    </row>
    <row r="6" spans="1:11">
      <c r="A6" s="682" t="str">
        <f>Application!B711</f>
        <v>SRO/Studio</v>
      </c>
      <c r="B6" s="691">
        <f>Application!G711</f>
        <v>16</v>
      </c>
      <c r="C6" s="682">
        <f>Application!K711</f>
        <v>207</v>
      </c>
      <c r="D6" s="683"/>
      <c r="E6" s="493">
        <v>2215</v>
      </c>
      <c r="F6" s="684">
        <f t="shared" si="0"/>
        <v>35440</v>
      </c>
      <c r="G6" s="685"/>
      <c r="H6" s="682">
        <f t="shared" si="1"/>
        <v>2008</v>
      </c>
      <c r="I6" s="684">
        <f t="shared" si="2"/>
        <v>32128</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12006</v>
      </c>
      <c r="D30" s="683"/>
      <c r="E30" s="683"/>
      <c r="F30" s="688">
        <f>SUM(F4:F28)*12</f>
        <v>1541640</v>
      </c>
      <c r="G30" s="689"/>
      <c r="H30" s="687"/>
      <c r="I30" s="688">
        <f>SUM(I4:I28)*12</f>
        <v>1397568</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3.2" zeroHeight="1"/>
  <cols>
    <col min="1" max="1" width="161.6640625" customWidth="1"/>
    <col min="2" max="16384" width="8.886718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459000</v>
      </c>
      <c r="C5" s="438">
        <f>'Sources and Uses Budget'!$C4</f>
        <v>459000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459000</v>
      </c>
      <c r="C9" s="442">
        <f>SUM(C5:C8)</f>
        <v>459000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16141000</v>
      </c>
      <c r="C10" s="438">
        <f>'Sources and Uses Budget'!$C9</f>
        <v>16141000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16141000</v>
      </c>
      <c r="C12" s="442">
        <f>SUM(C10:C11)</f>
        <v>16141000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16600000</v>
      </c>
      <c r="C13" s="442">
        <f>SUM(C9+C12)</f>
        <v>16600000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635594</v>
      </c>
      <c r="C14" s="438">
        <f>'Sources and Uses Budget'!$C13</f>
        <v>635594</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13544002</v>
      </c>
      <c r="C19" s="438">
        <f>'Sources and Uses Budget'!$C18</f>
        <v>13544002</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999329</v>
      </c>
      <c r="C20" s="438">
        <f>'Sources and Uses Budget'!$C19</f>
        <v>999329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880856</v>
      </c>
      <c r="C21" s="438">
        <f>'Sources and Uses Budget'!$C20</f>
        <v>880856</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332009</v>
      </c>
      <c r="C24" s="438">
        <f>'Sources and Uses Budget'!$C23</f>
        <v>332009</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50000</v>
      </c>
      <c r="C25" s="438">
        <f>'Sources and Uses Budget'!$C24</f>
        <v>50000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15806196</v>
      </c>
      <c r="C26" s="442">
        <f>SUM(C18:C25)</f>
        <v>15806196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1385640</v>
      </c>
      <c r="C27" s="438">
        <f>'Sources and Uses Budget'!$C$26</f>
        <v>1385640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1301176</v>
      </c>
      <c r="C39" s="438">
        <f>'Sources and Uses Budget'!$C38</f>
        <v>1301176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1301176</v>
      </c>
      <c r="C41" s="442">
        <f>SUM(C39:C40)</f>
        <v>1301176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120954</v>
      </c>
      <c r="C42" s="438">
        <f>'Sources and Uses Budget'!$C41</f>
        <v>120954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1439763</v>
      </c>
      <c r="C44" s="438">
        <f>'Sources and Uses Budget'!$C43</f>
        <v>1439763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333638</v>
      </c>
      <c r="C45" s="438">
        <f>'Sources and Uses Budget'!$C44</f>
        <v>333638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235275</v>
      </c>
      <c r="C47" s="438">
        <f>'Sources and Uses Budget'!$C46</f>
        <v>235275</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295501</v>
      </c>
      <c r="C48" s="438">
        <f>'Sources and Uses Budget'!$C47</f>
        <v>295501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155640</v>
      </c>
      <c r="C50" s="438">
        <f>'Sources and Uses Budget'!$C49</f>
        <v>155640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250000</v>
      </c>
      <c r="C51" s="438">
        <f>'Sources and Uses Budget'!$C50</f>
        <v>250000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31580</v>
      </c>
      <c r="C52" s="438">
        <f>'Sources and Uses Budget'!$C51</f>
        <v>31580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421351</v>
      </c>
      <c r="C53" s="438">
        <f>'Sources and Uses Budget'!$C52</f>
        <v>421351</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3182748</v>
      </c>
      <c r="C54" s="445">
        <f>SUM(C44:C53)</f>
        <v>3182748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30000</v>
      </c>
      <c r="C56" s="438">
        <f>'Sources and Uses Budget'!$C55</f>
        <v>30000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15000</v>
      </c>
      <c r="C58" s="438">
        <f>'Sources and Uses Budget'!$C57</f>
        <v>15000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40000</v>
      </c>
      <c r="C61" s="438">
        <f>'Sources and Uses Budget'!$C60</f>
        <v>40000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85000</v>
      </c>
      <c r="C63" s="442">
        <f>SUM(C56:C62)</f>
        <v>85000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39117308</v>
      </c>
      <c r="C64" s="442">
        <f>SUM(C9+C12+C14+C15+C17+C26+C27+C37+C41+C42+C54+C63)</f>
        <v>39117308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151268</v>
      </c>
      <c r="C67" s="438">
        <f>'Sources and Uses Budget'!$C66</f>
        <v>151268</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236268</v>
      </c>
      <c r="C68" s="442">
        <f>SUM(C66:C67)</f>
        <v>236268</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158000</v>
      </c>
      <c r="C72" s="438">
        <f>'Sources and Uses Budget'!$C71</f>
        <v>158000</v>
      </c>
      <c r="D72" s="442">
        <f t="shared" si="0"/>
        <v>0</v>
      </c>
      <c r="E72" s="440"/>
      <c r="F72" s="439"/>
      <c r="G72" s="577"/>
    </row>
    <row r="73" spans="1:253" s="571" customFormat="1">
      <c r="A73" s="441" t="s">
        <v>655</v>
      </c>
      <c r="B73" s="438">
        <f>'Sources and Uses Budget'!$C72</f>
        <v>354241</v>
      </c>
      <c r="C73" s="438">
        <f>'Sources and Uses Budget'!$C72</f>
        <v>354241</v>
      </c>
      <c r="D73" s="442">
        <f t="shared" si="0"/>
        <v>0</v>
      </c>
      <c r="E73" s="440"/>
      <c r="F73" s="439"/>
      <c r="G73" s="577"/>
    </row>
    <row r="74" spans="1:253" s="571" customFormat="1">
      <c r="A74" s="444" t="s">
        <v>37</v>
      </c>
      <c r="B74" s="438">
        <f>'Sources and Uses Budget'!$C73</f>
        <v>1668784</v>
      </c>
      <c r="C74" s="438">
        <f>'Sources and Uses Budget'!$C73</f>
        <v>1668784</v>
      </c>
      <c r="D74" s="442">
        <f t="shared" si="0"/>
        <v>0</v>
      </c>
      <c r="E74" s="440"/>
      <c r="F74" s="439"/>
      <c r="G74" s="577"/>
    </row>
    <row r="75" spans="1:253" s="571" customFormat="1">
      <c r="A75" s="443" t="s">
        <v>656</v>
      </c>
      <c r="B75" s="442">
        <f>SUM(B70:B74)</f>
        <v>2181025</v>
      </c>
      <c r="C75" s="442">
        <f>SUM(C70:C74)</f>
        <v>2181025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4299367</v>
      </c>
      <c r="C77" s="438">
        <f>'Sources and Uses Budget'!$C76</f>
        <v>4299367</v>
      </c>
      <c r="D77" s="442">
        <f t="shared" si="1"/>
        <v>0</v>
      </c>
      <c r="E77" s="440"/>
      <c r="F77" s="439"/>
      <c r="G77" s="577"/>
    </row>
    <row r="78" spans="1:253" s="571" customFormat="1">
      <c r="A78" s="893" t="s">
        <v>63</v>
      </c>
      <c r="B78" s="438">
        <f>'Sources and Uses Budget'!$C77</f>
        <v>370058</v>
      </c>
      <c r="C78" s="438">
        <f>'Sources and Uses Budget'!$C77</f>
        <v>370058</v>
      </c>
      <c r="D78" s="442">
        <f t="shared" ref="D78" si="2">C78-B78</f>
        <v>0</v>
      </c>
      <c r="E78" s="440"/>
      <c r="F78" s="439"/>
      <c r="G78" s="577"/>
    </row>
    <row r="79" spans="1:253" s="571" customFormat="1">
      <c r="A79" s="443" t="s">
        <v>1468</v>
      </c>
      <c r="B79" s="442">
        <f>SUM(B77:B78)</f>
        <v>4669425</v>
      </c>
      <c r="C79" s="442">
        <f>SUM(C77:C78)</f>
        <v>4669425</v>
      </c>
      <c r="D79" s="442">
        <f t="shared" si="1"/>
        <v>0</v>
      </c>
      <c r="E79" s="440"/>
      <c r="F79" s="439"/>
      <c r="G79" s="577"/>
    </row>
    <row r="80" spans="1:253" s="571" customFormat="1">
      <c r="A80" s="436" t="s">
        <v>843</v>
      </c>
      <c r="B80" s="436"/>
      <c r="C80" s="436"/>
      <c r="D80" s="436"/>
      <c r="E80" s="456"/>
      <c r="F80" s="436"/>
      <c r="G80" s="577"/>
    </row>
    <row r="81" spans="1:7" s="571" customFormat="1" ht="13.65" customHeight="1">
      <c r="A81" s="441" t="s">
        <v>844</v>
      </c>
      <c r="B81" s="438">
        <f>'Sources and Uses Budget'!$C80</f>
        <v>44265</v>
      </c>
      <c r="C81" s="438">
        <f>'Sources and Uses Budget'!$C80</f>
        <v>44265</v>
      </c>
      <c r="D81" s="442">
        <f t="shared" si="1"/>
        <v>0</v>
      </c>
      <c r="E81" s="440"/>
      <c r="F81" s="439"/>
      <c r="G81" s="577"/>
    </row>
    <row r="82" spans="1:7" s="571" customFormat="1">
      <c r="A82" s="441" t="s">
        <v>845</v>
      </c>
      <c r="B82" s="438">
        <f>'Sources and Uses Budget'!$C81</f>
        <v>31000</v>
      </c>
      <c r="C82" s="438">
        <f>'Sources and Uses Budget'!$C81</f>
        <v>31000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115000</v>
      </c>
      <c r="C84" s="438">
        <f>'Sources and Uses Budget'!$C83</f>
        <v>115000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58000</v>
      </c>
      <c r="C86" s="438">
        <f>'Sources and Uses Budget'!$C85</f>
        <v>58000</v>
      </c>
      <c r="D86" s="442">
        <f t="shared" si="1"/>
        <v>0</v>
      </c>
      <c r="E86" s="440"/>
      <c r="F86" s="439"/>
      <c r="G86" s="577"/>
    </row>
    <row r="87" spans="1:7" s="571" customFormat="1">
      <c r="A87" s="441" t="s">
        <v>850</v>
      </c>
      <c r="B87" s="438">
        <f>'Sources and Uses Budget'!$C86</f>
        <v>207700</v>
      </c>
      <c r="C87" s="438">
        <f>'Sources and Uses Budget'!$C86</f>
        <v>207700</v>
      </c>
      <c r="D87" s="442">
        <f t="shared" si="1"/>
        <v>0</v>
      </c>
      <c r="E87" s="440"/>
      <c r="F87" s="439"/>
      <c r="G87" s="577"/>
    </row>
    <row r="88" spans="1:7" s="571" customFormat="1">
      <c r="A88" s="441" t="s">
        <v>851</v>
      </c>
      <c r="B88" s="438">
        <f>'Sources and Uses Budget'!$C87</f>
        <v>17500</v>
      </c>
      <c r="C88" s="438">
        <f>'Sources and Uses Budget'!$C87</f>
        <v>17500</v>
      </c>
      <c r="D88" s="442">
        <f t="shared" si="1"/>
        <v>0</v>
      </c>
      <c r="E88" s="440"/>
      <c r="F88" s="439"/>
      <c r="G88" s="577"/>
    </row>
    <row r="89" spans="1:7" s="571" customFormat="1">
      <c r="A89" s="447" t="s">
        <v>404</v>
      </c>
      <c r="B89" s="438">
        <f>'Sources and Uses Budget'!$C88</f>
        <v>40000</v>
      </c>
      <c r="C89" s="438">
        <f>'Sources and Uses Budget'!$C88</f>
        <v>40000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637263</v>
      </c>
      <c r="C91" s="438">
        <f>'Sources and Uses Budget'!$C90</f>
        <v>637263</v>
      </c>
      <c r="D91" s="442">
        <f t="shared" si="1"/>
        <v>0</v>
      </c>
      <c r="E91" s="440"/>
      <c r="F91" s="439"/>
      <c r="G91" s="577"/>
    </row>
    <row r="92" spans="1:7" s="571" customFormat="1">
      <c r="A92" s="444" t="s">
        <v>37</v>
      </c>
      <c r="B92" s="438">
        <f>'Sources and Uses Budget'!$C91</f>
        <v>85000</v>
      </c>
      <c r="C92" s="438">
        <f>'Sources and Uses Budget'!$C91</f>
        <v>85000</v>
      </c>
      <c r="D92" s="442">
        <f t="shared" si="1"/>
        <v>0</v>
      </c>
      <c r="E92" s="440"/>
      <c r="F92" s="439"/>
      <c r="G92" s="577"/>
    </row>
    <row r="93" spans="1:7" s="571" customFormat="1">
      <c r="A93" s="444" t="s">
        <v>37</v>
      </c>
      <c r="B93" s="438">
        <f>'Sources and Uses Budget'!$C92</f>
        <v>58724</v>
      </c>
      <c r="C93" s="438">
        <f>'Sources and Uses Budget'!$C92</f>
        <v>58724</v>
      </c>
      <c r="D93" s="442">
        <f t="shared" si="1"/>
        <v>0</v>
      </c>
      <c r="E93" s="440"/>
      <c r="F93" s="439"/>
      <c r="G93" s="577"/>
    </row>
    <row r="94" spans="1:7" s="571" customFormat="1">
      <c r="A94" s="444" t="s">
        <v>37</v>
      </c>
      <c r="B94" s="438">
        <f>'Sources and Uses Budget'!$C93</f>
        <v>247188</v>
      </c>
      <c r="C94" s="438">
        <f>'Sources and Uses Budget'!$C93</f>
        <v>247188</v>
      </c>
      <c r="D94" s="442">
        <f t="shared" si="1"/>
        <v>0</v>
      </c>
      <c r="E94" s="440"/>
      <c r="F94" s="439"/>
      <c r="G94" s="577"/>
    </row>
    <row r="95" spans="1:7" s="571" customFormat="1">
      <c r="A95" s="444" t="s">
        <v>37</v>
      </c>
      <c r="B95" s="438">
        <f>'Sources and Uses Budget'!$C94</f>
        <v>22500</v>
      </c>
      <c r="C95" s="438">
        <f>'Sources and Uses Budget'!$C94</f>
        <v>22500</v>
      </c>
      <c r="D95" s="442">
        <f t="shared" si="1"/>
        <v>0</v>
      </c>
      <c r="E95" s="440"/>
      <c r="F95" s="439"/>
      <c r="G95" s="577"/>
    </row>
    <row r="96" spans="1:7" s="571" customFormat="1">
      <c r="A96" s="443" t="s">
        <v>852</v>
      </c>
      <c r="B96" s="442">
        <f>SUM(B81:B95)</f>
        <v>1579140</v>
      </c>
      <c r="C96" s="442">
        <f>SUM(C81:C95)</f>
        <v>1579140</v>
      </c>
      <c r="D96" s="442">
        <f t="shared" si="1"/>
        <v>0</v>
      </c>
      <c r="E96" s="440"/>
      <c r="F96" s="439"/>
      <c r="G96" s="577"/>
    </row>
    <row r="97" spans="1:7" s="571" customFormat="1">
      <c r="A97" s="443" t="s">
        <v>853</v>
      </c>
      <c r="B97" s="442">
        <f>SUM(B64+B68+B75+B79+B96)</f>
        <v>47783166</v>
      </c>
      <c r="C97" s="442">
        <f>SUM(C64+C68+C75+C79+C96)</f>
        <v>47783166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5731119</v>
      </c>
      <c r="C99" s="438">
        <f>'Sources and Uses Budget'!$C98</f>
        <v>5731119</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5731119</v>
      </c>
      <c r="C105" s="442">
        <f>SUM(C99:C104)</f>
        <v>5731119</v>
      </c>
      <c r="D105" s="442">
        <f t="shared" si="1"/>
        <v>0</v>
      </c>
      <c r="E105" s="440"/>
      <c r="F105" s="439"/>
      <c r="G105" s="575"/>
    </row>
    <row r="106" spans="1:7" s="570" customFormat="1">
      <c r="A106" s="443" t="s">
        <v>861</v>
      </c>
      <c r="B106" s="445">
        <f>SUM(B97+B105)</f>
        <v>53514285</v>
      </c>
      <c r="C106" s="445">
        <f>SUM(C97+C105)</f>
        <v>53514285</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3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4">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4">
      <c r="A21" s="270"/>
      <c r="B21" s="703" t="s">
        <v>329</v>
      </c>
      <c r="D21" s="985" t="s">
        <v>1282</v>
      </c>
      <c r="E21" s="985"/>
      <c r="F21" s="985"/>
    </row>
    <row r="22" spans="1:7" ht="14.4">
      <c r="A22" s="270"/>
      <c r="B22" s="270"/>
      <c r="D22" s="138"/>
    </row>
    <row r="23" spans="1:7" ht="14.4">
      <c r="A23" s="270"/>
      <c r="B23" s="703" t="s">
        <v>329</v>
      </c>
      <c r="D23" s="956" t="s">
        <v>1283</v>
      </c>
      <c r="E23" s="956"/>
      <c r="F23" s="956"/>
    </row>
    <row r="24" spans="1:7" ht="14.4">
      <c r="A24" s="270"/>
      <c r="B24" s="270"/>
      <c r="D24" s="956"/>
      <c r="E24" s="956"/>
      <c r="F24" s="956"/>
    </row>
    <row r="25" spans="1:7"/>
    <row r="26" spans="1:7" ht="14.4">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4">
      <c r="A34" s="270"/>
      <c r="B34" s="270"/>
      <c r="D34" s="421"/>
    </row>
    <row r="35" spans="1:7" ht="14.4" customHeight="1">
      <c r="A35" s="270"/>
      <c r="B35" s="703" t="s">
        <v>329</v>
      </c>
      <c r="C35" s="578"/>
      <c r="D35" s="958" t="s">
        <v>1286</v>
      </c>
      <c r="E35" s="958"/>
      <c r="F35" s="958"/>
    </row>
    <row r="36" spans="1:7" ht="14.4">
      <c r="A36" s="270"/>
      <c r="B36" s="270"/>
      <c r="C36" s="578"/>
      <c r="D36" s="958"/>
      <c r="E36" s="958"/>
      <c r="F36" s="958"/>
    </row>
    <row r="37" spans="1:7" ht="14.4">
      <c r="A37" s="270"/>
      <c r="B37" s="270"/>
      <c r="C37" s="578"/>
      <c r="D37" s="958"/>
      <c r="E37" s="958"/>
      <c r="F37" s="958"/>
    </row>
    <row r="38" spans="1:7" ht="14.4">
      <c r="A38" s="270"/>
      <c r="B38" s="270"/>
      <c r="C38" s="578"/>
      <c r="D38" s="12"/>
    </row>
    <row r="39" spans="1:7" s="706" customFormat="1" ht="14.4">
      <c r="A39" s="270"/>
      <c r="B39" s="703" t="s">
        <v>329</v>
      </c>
      <c r="C39" s="723"/>
      <c r="D39" s="958" t="s">
        <v>1287</v>
      </c>
      <c r="E39" s="958"/>
      <c r="F39" s="958"/>
      <c r="G39" s="7"/>
    </row>
    <row r="40" spans="1:7" s="706" customFormat="1" ht="14.4">
      <c r="A40" s="270"/>
      <c r="B40" s="270"/>
      <c r="C40" s="723"/>
      <c r="D40" s="958"/>
      <c r="E40" s="958"/>
      <c r="F40" s="958"/>
      <c r="G40" s="7"/>
    </row>
    <row r="41" spans="1:7" s="706" customFormat="1" ht="14.4">
      <c r="A41" s="270"/>
      <c r="B41" s="270"/>
      <c r="C41" s="723"/>
      <c r="D41" s="958"/>
      <c r="E41" s="958"/>
      <c r="F41" s="958"/>
      <c r="G41" s="7"/>
    </row>
    <row r="42" spans="1:7" s="706" customFormat="1" ht="14.4">
      <c r="A42" s="270"/>
      <c r="B42" s="270"/>
      <c r="C42" s="723"/>
      <c r="D42" s="958"/>
      <c r="E42" s="958"/>
      <c r="F42" s="958"/>
      <c r="G42" s="7"/>
    </row>
    <row r="43" spans="1:7" s="706" customFormat="1" ht="14.4">
      <c r="A43" s="270"/>
      <c r="B43" s="270"/>
      <c r="C43" s="723"/>
      <c r="D43" s="958"/>
      <c r="E43" s="958"/>
      <c r="F43" s="958"/>
      <c r="G43" s="7"/>
    </row>
    <row r="44" spans="1:7" s="706" customFormat="1" ht="14.4">
      <c r="A44" s="270"/>
      <c r="B44" s="270"/>
      <c r="C44" s="723"/>
      <c r="D44" s="722"/>
      <c r="E44" s="722"/>
      <c r="F44" s="722"/>
      <c r="G44" s="7"/>
    </row>
    <row r="45" spans="1:7" ht="14.4">
      <c r="A45" s="270"/>
      <c r="B45" s="703" t="s">
        <v>329</v>
      </c>
      <c r="C45" s="578"/>
      <c r="D45" s="958" t="s">
        <v>1288</v>
      </c>
      <c r="E45" s="958"/>
      <c r="F45" s="958"/>
    </row>
    <row r="46" spans="1:7" ht="14.4">
      <c r="A46" s="270"/>
      <c r="B46" s="270"/>
      <c r="C46" s="578"/>
      <c r="D46" s="958"/>
      <c r="E46" s="958"/>
      <c r="F46" s="958"/>
    </row>
    <row r="47" spans="1:7" ht="14.4">
      <c r="A47" s="270"/>
      <c r="B47" s="270"/>
      <c r="C47" s="578"/>
      <c r="D47" s="958"/>
      <c r="E47" s="958"/>
      <c r="F47" s="958"/>
    </row>
    <row r="48" spans="1:7" ht="23.25" customHeight="1">
      <c r="A48" s="270"/>
      <c r="B48" s="270"/>
      <c r="C48" s="578"/>
      <c r="D48" s="958"/>
      <c r="E48" s="958"/>
      <c r="F48" s="958"/>
    </row>
    <row r="49" spans="1:7" ht="14.4">
      <c r="A49" s="270"/>
      <c r="B49" s="270"/>
      <c r="D49" s="154"/>
    </row>
    <row r="50" spans="1:7" ht="14.4" customHeight="1">
      <c r="A50" s="270"/>
      <c r="B50" s="703" t="s">
        <v>329</v>
      </c>
      <c r="D50" s="958" t="s">
        <v>1289</v>
      </c>
      <c r="E50" s="958"/>
      <c r="F50" s="958"/>
    </row>
    <row r="51" spans="1:7" ht="14.4">
      <c r="A51" s="270"/>
      <c r="B51" s="270"/>
      <c r="D51" s="958"/>
      <c r="E51" s="958"/>
      <c r="F51" s="958"/>
    </row>
    <row r="52" spans="1:7" ht="14.4">
      <c r="A52" s="270"/>
      <c r="B52" s="270"/>
      <c r="D52" s="958"/>
      <c r="E52" s="958"/>
      <c r="F52" s="958"/>
    </row>
    <row r="53" spans="1:7" s="2" customFormat="1" ht="14.4">
      <c r="A53" s="270"/>
      <c r="B53" s="270"/>
      <c r="C53" s="580"/>
      <c r="D53" s="247"/>
      <c r="E53" s="22"/>
      <c r="F53" s="22"/>
      <c r="G53" s="22"/>
    </row>
    <row r="54" spans="1:7" s="2" customFormat="1" ht="14.4">
      <c r="A54" s="420"/>
      <c r="B54" s="703" t="s">
        <v>329</v>
      </c>
      <c r="C54" s="581"/>
      <c r="D54" s="958" t="s">
        <v>1290</v>
      </c>
      <c r="E54" s="958"/>
      <c r="F54" s="958"/>
      <c r="G54" s="22"/>
    </row>
    <row r="55" spans="1:7" s="2" customFormat="1" ht="14.4">
      <c r="A55" s="420"/>
      <c r="B55" s="420"/>
      <c r="C55" s="581"/>
      <c r="D55" s="958"/>
      <c r="E55" s="958"/>
      <c r="F55" s="958"/>
      <c r="G55" s="22"/>
    </row>
    <row r="56" spans="1:7" s="39" customFormat="1">
      <c r="A56" s="282"/>
      <c r="B56" s="282"/>
      <c r="C56" s="282"/>
      <c r="D56" s="460"/>
      <c r="E56" s="133"/>
      <c r="F56" s="133"/>
      <c r="G56" s="133"/>
    </row>
    <row r="57" spans="1:7" ht="14.4">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4">
      <c r="A61" s="270"/>
      <c r="B61" s="703" t="s">
        <v>329</v>
      </c>
      <c r="D61" s="958" t="s">
        <v>1292</v>
      </c>
      <c r="E61" s="958"/>
      <c r="F61" s="958"/>
    </row>
    <row r="62" spans="1:7">
      <c r="D62" s="958"/>
      <c r="E62" s="958"/>
      <c r="F62" s="958"/>
    </row>
    <row r="63" spans="1:7"/>
    <row r="64" spans="1:7" ht="14.4">
      <c r="A64" s="270"/>
      <c r="B64" s="703" t="s">
        <v>329</v>
      </c>
      <c r="D64" s="958" t="s">
        <v>1293</v>
      </c>
      <c r="E64" s="958"/>
      <c r="F64" s="958"/>
    </row>
    <row r="65" spans="1:7">
      <c r="D65" s="958"/>
      <c r="E65" s="958"/>
      <c r="F65" s="958"/>
    </row>
    <row r="66" spans="1:7">
      <c r="A66" s="579"/>
      <c r="C66" s="579"/>
      <c r="D66" s="958"/>
      <c r="E66" s="958"/>
      <c r="F66" s="958"/>
    </row>
    <row r="67" spans="1:7">
      <c r="D67" s="12"/>
    </row>
    <row r="68" spans="1:7" ht="14.4">
      <c r="A68" s="270"/>
      <c r="B68" s="703" t="s">
        <v>329</v>
      </c>
      <c r="D68" s="956" t="s">
        <v>1294</v>
      </c>
      <c r="E68" s="956"/>
      <c r="F68" s="956"/>
    </row>
    <row r="69" spans="1:7">
      <c r="D69" s="956"/>
      <c r="E69" s="956"/>
      <c r="F69" s="956"/>
    </row>
    <row r="70" spans="1:7" ht="14.4">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4">
      <c r="A76" s="270"/>
      <c r="B76" s="703" t="s">
        <v>329</v>
      </c>
      <c r="D76" s="956" t="s">
        <v>1300</v>
      </c>
      <c r="E76" s="956"/>
      <c r="F76" s="956"/>
    </row>
    <row r="77" spans="1:7" ht="14.4">
      <c r="A77" s="270"/>
      <c r="B77" s="270"/>
      <c r="D77" s="956"/>
      <c r="E77" s="956"/>
      <c r="F77" s="956"/>
    </row>
    <row r="78" spans="1:7" ht="14.4">
      <c r="A78" s="270"/>
      <c r="B78" s="270"/>
      <c r="D78" s="956"/>
      <c r="E78" s="956"/>
      <c r="F78" s="956"/>
    </row>
    <row r="79" spans="1:7" ht="14.4">
      <c r="A79" s="270"/>
      <c r="B79" s="270"/>
      <c r="D79" s="956"/>
      <c r="E79" s="956"/>
      <c r="F79" s="956"/>
    </row>
    <row r="80" spans="1:7" ht="14.4">
      <c r="A80" s="270"/>
      <c r="B80" s="270"/>
      <c r="D80" s="956"/>
      <c r="E80" s="956"/>
      <c r="F80" s="956"/>
    </row>
    <row r="81" spans="1:7" ht="14.4">
      <c r="A81" s="270"/>
      <c r="B81" s="270"/>
      <c r="D81" s="956"/>
      <c r="E81" s="956"/>
      <c r="F81" s="956"/>
    </row>
    <row r="82" spans="1:7" s="730" customFormat="1" ht="14.4">
      <c r="A82" s="731"/>
      <c r="B82" s="731"/>
      <c r="C82" s="729"/>
      <c r="D82" s="733"/>
      <c r="E82" s="733"/>
      <c r="F82" s="733"/>
      <c r="G82" s="7"/>
    </row>
    <row r="83" spans="1:7" s="730" customFormat="1" ht="14.4" customHeight="1">
      <c r="A83" s="731"/>
      <c r="B83" s="736" t="s">
        <v>329</v>
      </c>
      <c r="C83" s="729"/>
      <c r="D83" s="1013" t="s">
        <v>1399</v>
      </c>
      <c r="E83" s="1013"/>
      <c r="F83" s="1013"/>
      <c r="G83" s="7"/>
    </row>
    <row r="84" spans="1:7" s="730" customFormat="1" ht="14.4">
      <c r="A84" s="731"/>
      <c r="B84" s="731"/>
      <c r="C84" s="729"/>
      <c r="D84" s="1013"/>
      <c r="E84" s="1013"/>
      <c r="F84" s="1013"/>
      <c r="G84" s="7"/>
    </row>
    <row r="85" spans="1:7" s="730" customFormat="1" ht="14.4">
      <c r="A85" s="731"/>
      <c r="B85" s="731"/>
      <c r="C85" s="729"/>
      <c r="D85" s="1013"/>
      <c r="E85" s="1013"/>
      <c r="F85" s="1013"/>
      <c r="G85" s="7"/>
    </row>
    <row r="86" spans="1:7" s="730" customFormat="1" ht="14.4">
      <c r="A86" s="731"/>
      <c r="B86" s="731"/>
      <c r="C86" s="729"/>
      <c r="D86" s="1013"/>
      <c r="E86" s="1013"/>
      <c r="F86" s="1013"/>
      <c r="G86" s="7"/>
    </row>
    <row r="87" spans="1:7" s="730" customFormat="1" ht="14.4">
      <c r="A87" s="731"/>
      <c r="B87" s="731"/>
      <c r="C87" s="729"/>
      <c r="D87" s="1013"/>
      <c r="E87" s="1013"/>
      <c r="F87" s="1013"/>
      <c r="G87" s="7"/>
    </row>
    <row r="88" spans="1:7" s="743" customFormat="1" ht="14.4">
      <c r="A88" s="738"/>
      <c r="B88" s="738"/>
      <c r="C88" s="769"/>
      <c r="D88" s="1013"/>
      <c r="E88" s="1013"/>
      <c r="F88" s="1013"/>
      <c r="G88" s="7"/>
    </row>
    <row r="89" spans="1:7" s="743" customFormat="1" ht="14.4">
      <c r="A89" s="738"/>
      <c r="B89" s="738"/>
      <c r="C89" s="769"/>
      <c r="D89" s="1013"/>
      <c r="E89" s="1013"/>
      <c r="F89" s="1013"/>
      <c r="G89" s="7"/>
    </row>
    <row r="90" spans="1:7" s="743" customFormat="1" ht="14.4">
      <c r="A90" s="738"/>
      <c r="B90" s="738"/>
      <c r="C90" s="769"/>
      <c r="D90" s="1013"/>
      <c r="E90" s="1013"/>
      <c r="F90" s="1013"/>
      <c r="G90" s="7"/>
    </row>
    <row r="91" spans="1:7" ht="14.4">
      <c r="A91" s="270"/>
      <c r="B91" s="270"/>
      <c r="D91" s="1013"/>
      <c r="E91" s="1013"/>
      <c r="F91" s="1013"/>
    </row>
    <row r="92" spans="1:7" ht="14.4">
      <c r="A92" s="270"/>
      <c r="B92" s="270"/>
      <c r="D92" s="1013"/>
      <c r="E92" s="1013"/>
      <c r="F92" s="1013"/>
    </row>
    <row r="93" spans="1:7" ht="14.4">
      <c r="A93" s="270"/>
      <c r="B93" s="270"/>
      <c r="D93" s="1013"/>
      <c r="E93" s="1013"/>
      <c r="F93" s="1013"/>
    </row>
    <row r="94" spans="1:7" ht="14.4">
      <c r="A94" s="270"/>
      <c r="B94" s="270"/>
      <c r="D94" s="1013"/>
      <c r="E94" s="1013"/>
      <c r="F94" s="1013"/>
    </row>
    <row r="95" spans="1:7" ht="14.4">
      <c r="A95" s="270"/>
      <c r="B95" s="270"/>
      <c r="D95" s="1013"/>
      <c r="E95" s="1013"/>
      <c r="F95" s="1013"/>
    </row>
    <row r="96" spans="1:7" ht="14.4">
      <c r="A96" s="270"/>
      <c r="B96" s="270"/>
      <c r="D96" s="1013"/>
      <c r="E96" s="1013"/>
      <c r="F96" s="1013"/>
    </row>
    <row r="97" spans="1:11" s="734" customFormat="1" ht="14.4">
      <c r="A97" s="735"/>
      <c r="B97" s="739" t="s">
        <v>329</v>
      </c>
      <c r="C97" s="729"/>
      <c r="D97" s="956" t="s">
        <v>1301</v>
      </c>
      <c r="E97" s="956"/>
      <c r="F97" s="956"/>
      <c r="G97" s="7"/>
    </row>
    <row r="98" spans="1:11" s="734" customFormat="1" ht="14.4">
      <c r="A98" s="735"/>
      <c r="B98" s="735"/>
      <c r="C98" s="729"/>
      <c r="D98" s="956"/>
      <c r="E98" s="956"/>
      <c r="F98" s="956"/>
      <c r="G98" s="7"/>
    </row>
    <row r="99" spans="1:11" s="734" customFormat="1" ht="14.4">
      <c r="A99" s="735"/>
      <c r="B99" s="735"/>
      <c r="C99" s="729"/>
      <c r="D99" s="956"/>
      <c r="E99" s="956"/>
      <c r="F99" s="956"/>
      <c r="G99" s="7"/>
    </row>
    <row r="100" spans="1:11" s="734" customFormat="1" ht="14.4">
      <c r="A100" s="735"/>
      <c r="B100" s="735"/>
      <c r="C100" s="729"/>
      <c r="D100" s="956"/>
      <c r="E100" s="956"/>
      <c r="F100" s="956"/>
      <c r="G100" s="7"/>
    </row>
    <row r="101" spans="1:11" s="734" customFormat="1" ht="14.4">
      <c r="A101" s="735"/>
      <c r="B101" s="735"/>
      <c r="C101" s="729"/>
      <c r="D101" s="956"/>
      <c r="E101" s="956"/>
      <c r="F101" s="956"/>
      <c r="G101" s="7"/>
    </row>
    <row r="102" spans="1:11" s="734" customFormat="1" ht="14.4">
      <c r="A102" s="735"/>
      <c r="B102" s="735"/>
      <c r="C102" s="729"/>
      <c r="D102" s="956"/>
      <c r="E102" s="956"/>
      <c r="F102" s="956"/>
      <c r="G102" s="7"/>
    </row>
    <row r="103" spans="1:11" s="734" customFormat="1" ht="14.4">
      <c r="A103" s="735"/>
      <c r="B103" s="735"/>
      <c r="C103" s="729"/>
      <c r="D103" s="956"/>
      <c r="E103" s="956"/>
      <c r="F103" s="956"/>
      <c r="G103" s="7"/>
    </row>
    <row r="104" spans="1:11" s="734" customFormat="1" ht="14.4">
      <c r="A104" s="735"/>
      <c r="B104" s="735"/>
      <c r="C104" s="729"/>
      <c r="D104" s="956"/>
      <c r="E104" s="956"/>
      <c r="F104" s="956"/>
      <c r="G104" s="7"/>
    </row>
    <row r="105" spans="1:11" s="737" customFormat="1" ht="14.4">
      <c r="A105" s="738"/>
      <c r="B105" s="738"/>
      <c r="C105" s="729"/>
      <c r="D105" s="740"/>
      <c r="E105" s="740"/>
      <c r="F105" s="740"/>
      <c r="G105" s="7"/>
    </row>
    <row r="106" spans="1:11" ht="14.4">
      <c r="A106" s="420"/>
      <c r="B106" s="732" t="s">
        <v>329</v>
      </c>
      <c r="C106" s="486"/>
      <c r="D106" s="1014" t="s">
        <v>1302</v>
      </c>
      <c r="E106" s="1014"/>
      <c r="F106" s="1014"/>
      <c r="G106" s="487"/>
      <c r="H106" s="485"/>
      <c r="I106" s="485"/>
      <c r="J106" s="485"/>
      <c r="K106" s="485"/>
    </row>
    <row r="107" spans="1:11" ht="14.4">
      <c r="A107" s="270"/>
      <c r="B107" s="270"/>
      <c r="C107" s="325"/>
      <c r="D107" s="1014"/>
      <c r="E107" s="1014"/>
      <c r="F107" s="1014"/>
      <c r="G107" s="487"/>
      <c r="H107" s="485"/>
      <c r="I107" s="485"/>
      <c r="J107" s="485"/>
      <c r="K107" s="485"/>
    </row>
    <row r="108" spans="1:11" ht="14.4">
      <c r="A108" s="270"/>
      <c r="B108" s="270"/>
      <c r="C108" s="325"/>
      <c r="D108" s="1014"/>
      <c r="E108" s="1014"/>
      <c r="F108" s="1014"/>
      <c r="G108" s="487"/>
      <c r="H108" s="485"/>
      <c r="I108" s="485"/>
      <c r="J108" s="485"/>
      <c r="K108" s="485"/>
    </row>
    <row r="109" spans="1:11" ht="14.4">
      <c r="A109" s="270"/>
      <c r="B109" s="270"/>
      <c r="C109" s="325"/>
      <c r="D109" s="1014"/>
      <c r="E109" s="1014"/>
      <c r="F109" s="1014"/>
      <c r="G109" s="487"/>
      <c r="H109" s="485"/>
      <c r="I109" s="485"/>
      <c r="J109" s="485"/>
      <c r="K109" s="485"/>
    </row>
    <row r="110" spans="1:11" ht="14.4">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4">
      <c r="A114" s="270"/>
      <c r="B114" s="703" t="s">
        <v>329</v>
      </c>
      <c r="C114"/>
      <c r="D114" s="1015" t="s">
        <v>1303</v>
      </c>
      <c r="E114" s="1015"/>
      <c r="F114" s="1015"/>
      <c r="G114"/>
      <c r="H114"/>
      <c r="I114"/>
      <c r="J114"/>
      <c r="K114"/>
    </row>
    <row r="115" spans="1:11" ht="14.4">
      <c r="A115" s="270"/>
      <c r="B115" s="270"/>
      <c r="C115"/>
      <c r="D115" s="1015"/>
      <c r="E115" s="1015"/>
      <c r="F115" s="1015"/>
      <c r="G115"/>
      <c r="H115"/>
      <c r="I115"/>
      <c r="J115"/>
      <c r="K115"/>
    </row>
    <row r="116" spans="1:11"/>
    <row r="117" spans="1:11" ht="14.4">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4">
      <c r="A123" s="270"/>
      <c r="B123" s="703" t="s">
        <v>329</v>
      </c>
      <c r="C123" s="10"/>
      <c r="D123" s="958" t="s">
        <v>1305</v>
      </c>
      <c r="E123" s="958"/>
      <c r="F123" s="958"/>
      <c r="G123" s="152"/>
    </row>
    <row r="124" spans="1:11" s="306" customFormat="1" ht="13.65" customHeight="1">
      <c r="A124" s="303"/>
      <c r="B124" s="303"/>
      <c r="C124" s="304"/>
      <c r="D124" s="958"/>
      <c r="E124" s="958"/>
      <c r="F124" s="958"/>
      <c r="G124" s="305"/>
    </row>
    <row r="125" spans="1:11" customFormat="1" ht="13.65" customHeight="1">
      <c r="A125" s="135"/>
      <c r="B125" s="700"/>
      <c r="C125" s="10"/>
      <c r="D125" s="958"/>
      <c r="E125" s="958"/>
      <c r="F125" s="958"/>
      <c r="G125" s="152"/>
    </row>
    <row r="126" spans="1:11" customFormat="1" ht="13.65" customHeight="1">
      <c r="A126" s="135"/>
      <c r="B126" s="700"/>
      <c r="C126" s="10"/>
      <c r="D126" s="958"/>
      <c r="E126" s="958"/>
      <c r="F126" s="958"/>
      <c r="G126" s="152"/>
    </row>
    <row r="127" spans="1:11" customFormat="1" ht="13.65" customHeight="1">
      <c r="A127" s="135"/>
      <c r="B127" s="700"/>
      <c r="C127" s="10"/>
      <c r="D127" s="958"/>
      <c r="E127" s="958"/>
      <c r="F127" s="958"/>
      <c r="G127" s="152"/>
    </row>
    <row r="128" spans="1:11" customFormat="1" ht="13.65" customHeight="1">
      <c r="A128" s="395"/>
      <c r="B128" s="395"/>
      <c r="C128" s="10"/>
      <c r="D128" s="958"/>
      <c r="E128" s="958"/>
      <c r="F128" s="958"/>
      <c r="G128" s="152"/>
    </row>
    <row r="129" spans="1:7" s="2" customFormat="1" ht="13.65" customHeight="1">
      <c r="A129" s="282"/>
      <c r="B129" s="282"/>
      <c r="C129" s="459"/>
      <c r="D129" s="958"/>
      <c r="E129" s="958"/>
      <c r="F129" s="958"/>
      <c r="G129" s="187"/>
    </row>
    <row r="130" spans="1:7" s="2" customFormat="1" ht="13.65" customHeight="1">
      <c r="A130" s="282"/>
      <c r="B130" s="282"/>
      <c r="C130" s="459"/>
      <c r="D130" s="958"/>
      <c r="E130" s="958"/>
      <c r="F130" s="958"/>
      <c r="G130" s="187"/>
    </row>
    <row r="131" spans="1:7" customFormat="1" ht="13.65" customHeight="1">
      <c r="A131" s="135"/>
      <c r="B131" s="700"/>
      <c r="C131" s="10"/>
      <c r="D131" s="958"/>
      <c r="E131" s="958"/>
      <c r="F131" s="958"/>
      <c r="G131" s="152"/>
    </row>
    <row r="132" spans="1:7" customFormat="1" ht="13.65" customHeight="1">
      <c r="A132" s="135"/>
      <c r="B132" s="700"/>
      <c r="C132" s="10"/>
      <c r="D132" s="958"/>
      <c r="E132" s="958"/>
      <c r="F132" s="958"/>
      <c r="G132" s="152"/>
    </row>
    <row r="133" spans="1:7" customFormat="1" ht="13.65" customHeight="1">
      <c r="A133" s="135"/>
      <c r="B133" s="700"/>
      <c r="C133" s="10"/>
      <c r="D133" s="958"/>
      <c r="E133" s="958"/>
      <c r="F133" s="958"/>
      <c r="G133" s="152"/>
    </row>
    <row r="134" spans="1:7" customFormat="1" ht="13.65" customHeight="1">
      <c r="A134" s="135"/>
      <c r="B134" s="700"/>
      <c r="C134" s="10"/>
      <c r="D134" s="958"/>
      <c r="E134" s="958"/>
      <c r="F134" s="958"/>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56" t="s">
        <v>1413</v>
      </c>
      <c r="E136" s="956"/>
      <c r="F136" s="956"/>
      <c r="G136" s="152"/>
    </row>
    <row r="137" spans="1:7" s="741" customFormat="1" ht="13.65" customHeight="1">
      <c r="A137" s="729"/>
      <c r="B137" s="729"/>
      <c r="C137" s="10"/>
      <c r="D137" s="956"/>
      <c r="E137" s="956"/>
      <c r="F137" s="956"/>
      <c r="G137" s="152"/>
    </row>
    <row r="138" spans="1:7" s="741" customFormat="1" ht="13.65" customHeight="1">
      <c r="A138" s="729"/>
      <c r="B138" s="729"/>
      <c r="C138" s="10"/>
      <c r="D138" s="956"/>
      <c r="E138" s="956"/>
      <c r="F138" s="956"/>
      <c r="G138" s="152"/>
    </row>
    <row r="139" spans="1:7" s="741" customFormat="1" ht="13.65" customHeight="1">
      <c r="A139" s="729"/>
      <c r="B139" s="729"/>
      <c r="C139" s="10"/>
      <c r="D139" s="956"/>
      <c r="E139" s="956"/>
      <c r="F139" s="956"/>
      <c r="G139" s="152"/>
    </row>
    <row r="140" spans="1:7" s="741" customFormat="1" ht="13.65" customHeight="1">
      <c r="A140" s="729"/>
      <c r="B140" s="729"/>
      <c r="C140" s="10"/>
      <c r="D140" s="956"/>
      <c r="E140" s="956"/>
      <c r="F140" s="956"/>
      <c r="G140" s="152"/>
    </row>
    <row r="141" spans="1:7" s="741" customFormat="1" ht="13.65" customHeight="1">
      <c r="A141" s="729"/>
      <c r="B141" s="729"/>
      <c r="C141" s="10"/>
      <c r="D141" s="956"/>
      <c r="E141" s="956"/>
      <c r="F141" s="956"/>
      <c r="G141" s="152"/>
    </row>
    <row r="142" spans="1:7" s="741" customFormat="1" ht="13.65" customHeight="1">
      <c r="A142" s="729"/>
      <c r="B142" s="729"/>
      <c r="C142" s="10"/>
      <c r="D142" s="956"/>
      <c r="E142" s="956"/>
      <c r="F142" s="956"/>
      <c r="G142" s="152"/>
    </row>
    <row r="143" spans="1:7" s="741" customFormat="1" ht="13.65" customHeight="1">
      <c r="A143" s="729"/>
      <c r="B143" s="729"/>
      <c r="C143" s="10"/>
      <c r="D143" s="956"/>
      <c r="E143" s="956"/>
      <c r="F143" s="956"/>
      <c r="G143" s="152"/>
    </row>
    <row r="144" spans="1:7" s="741" customFormat="1" ht="13.65" customHeight="1">
      <c r="A144" s="729"/>
      <c r="B144" s="729"/>
      <c r="C144" s="10"/>
      <c r="D144" s="956"/>
      <c r="E144" s="956"/>
      <c r="F144" s="956"/>
      <c r="G144" s="152"/>
    </row>
    <row r="145" spans="1:7" s="741" customFormat="1" ht="13.65" customHeight="1">
      <c r="A145" s="729"/>
      <c r="B145" s="729"/>
      <c r="C145" s="10"/>
      <c r="D145" s="956"/>
      <c r="E145" s="956"/>
      <c r="F145" s="956"/>
      <c r="G145" s="152"/>
    </row>
    <row r="146" spans="1:7" s="741" customFormat="1" ht="13.65" customHeight="1">
      <c r="A146" s="771"/>
      <c r="B146" s="771"/>
      <c r="C146" s="10"/>
      <c r="D146" s="956"/>
      <c r="E146" s="956"/>
      <c r="F146" s="956"/>
      <c r="G146" s="152"/>
    </row>
    <row r="147" spans="1:7" s="741" customFormat="1" ht="13.65" customHeight="1">
      <c r="A147" s="771"/>
      <c r="B147" s="771"/>
      <c r="C147" s="10"/>
      <c r="D147" s="956"/>
      <c r="E147" s="956"/>
      <c r="F147" s="956"/>
      <c r="G147" s="152"/>
    </row>
    <row r="148" spans="1:7" s="741" customFormat="1" ht="13.65" customHeight="1">
      <c r="A148" s="729"/>
      <c r="B148" s="729"/>
      <c r="C148" s="10"/>
      <c r="D148" s="956"/>
      <c r="E148" s="956"/>
      <c r="F148" s="956"/>
      <c r="G148" s="152"/>
    </row>
    <row r="149" spans="1:7" s="741" customFormat="1" ht="13.65" customHeight="1">
      <c r="A149" s="729"/>
      <c r="B149" s="729"/>
      <c r="C149" s="10"/>
      <c r="D149" s="956"/>
      <c r="E149" s="956"/>
      <c r="F149" s="956"/>
      <c r="G149" s="152"/>
    </row>
    <row r="150" spans="1:7" s="741" customFormat="1" ht="13.65" customHeight="1">
      <c r="A150" s="729"/>
      <c r="B150" s="729"/>
      <c r="C150" s="10"/>
      <c r="D150" s="956"/>
      <c r="E150" s="956"/>
      <c r="F150" s="956"/>
      <c r="G150" s="152"/>
    </row>
    <row r="151" spans="1:7" s="741" customFormat="1" ht="13.65" customHeight="1">
      <c r="A151" s="729"/>
      <c r="B151" s="729"/>
      <c r="C151" s="10"/>
      <c r="D151" s="956"/>
      <c r="E151" s="956"/>
      <c r="F151" s="956"/>
      <c r="G151" s="152"/>
    </row>
    <row r="152" spans="1:7" s="741" customFormat="1" ht="13.65" customHeight="1">
      <c r="A152" s="729"/>
      <c r="B152" s="729"/>
      <c r="C152" s="10"/>
      <c r="D152" s="956"/>
      <c r="E152" s="956"/>
      <c r="F152" s="956"/>
      <c r="G152" s="152"/>
    </row>
    <row r="153" spans="1:7" s="741" customFormat="1" ht="13.65" customHeight="1">
      <c r="A153" s="729"/>
      <c r="B153" s="729"/>
      <c r="C153" s="10"/>
      <c r="D153" s="956"/>
      <c r="E153" s="956"/>
      <c r="F153" s="956"/>
      <c r="G153" s="152"/>
    </row>
    <row r="154" spans="1:7" s="741" customFormat="1" ht="13.65" customHeight="1">
      <c r="A154" s="729"/>
      <c r="B154" s="729"/>
      <c r="C154" s="10"/>
      <c r="D154" s="956"/>
      <c r="E154" s="956"/>
      <c r="F154" s="956"/>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1016" t="s">
        <v>1306</v>
      </c>
      <c r="E156" s="1016"/>
      <c r="F156" s="1016"/>
      <c r="G156" s="461"/>
    </row>
    <row r="157" spans="1:7" customFormat="1" ht="13.65" customHeight="1">
      <c r="A157" s="395"/>
      <c r="B157" s="395"/>
      <c r="C157" s="335"/>
      <c r="D157" s="1016"/>
      <c r="E157" s="1016"/>
      <c r="F157" s="1016"/>
      <c r="G157" s="461"/>
    </row>
    <row r="158" spans="1:7" customFormat="1" ht="13.65" customHeight="1">
      <c r="A158" s="395"/>
      <c r="B158" s="395"/>
      <c r="C158" s="335"/>
      <c r="D158" s="337"/>
      <c r="E158" s="335"/>
      <c r="F158" s="335"/>
      <c r="G158" s="461"/>
    </row>
    <row r="159" spans="1:7" customFormat="1" ht="13.65" customHeight="1">
      <c r="A159" s="395"/>
      <c r="B159" s="703" t="s">
        <v>329</v>
      </c>
      <c r="C159" s="335"/>
      <c r="D159" s="959" t="s">
        <v>1307</v>
      </c>
      <c r="E159" s="959"/>
      <c r="F159" s="959"/>
      <c r="G159" s="461"/>
    </row>
    <row r="160" spans="1:7" customFormat="1" ht="13.65" customHeight="1">
      <c r="A160" s="395"/>
      <c r="B160" s="395"/>
      <c r="C160" s="335"/>
      <c r="D160" s="959"/>
      <c r="E160" s="959"/>
      <c r="F160" s="959"/>
      <c r="G160" s="461"/>
    </row>
    <row r="161" spans="1:7" customFormat="1" ht="13.65" customHeight="1">
      <c r="A161" s="395"/>
      <c r="B161" s="395"/>
      <c r="C161" s="335"/>
      <c r="D161" s="959"/>
      <c r="E161" s="959"/>
      <c r="F161" s="959"/>
      <c r="G161" s="461"/>
    </row>
    <row r="162" spans="1:7" customFormat="1" ht="13.65" customHeight="1">
      <c r="A162" s="395"/>
      <c r="B162" s="395"/>
      <c r="C162" s="335"/>
      <c r="D162" s="959"/>
      <c r="E162" s="959"/>
      <c r="F162" s="959"/>
      <c r="G162" s="461"/>
    </row>
    <row r="163" spans="1:7" customFormat="1" ht="13.65" customHeight="1">
      <c r="A163" s="135"/>
      <c r="B163" s="700"/>
      <c r="C163" s="10"/>
      <c r="D163" s="154"/>
      <c r="E163" s="154"/>
      <c r="F163" s="154"/>
      <c r="G163" s="152"/>
    </row>
    <row r="164" spans="1:7" customFormat="1" ht="13.65" customHeight="1">
      <c r="A164" s="135"/>
      <c r="B164" s="703" t="s">
        <v>329</v>
      </c>
      <c r="C164" s="10"/>
      <c r="D164" s="1004" t="s">
        <v>1308</v>
      </c>
      <c r="E164" s="1004"/>
      <c r="F164" s="1004"/>
      <c r="G164" s="152"/>
    </row>
    <row r="165" spans="1:7" customFormat="1" ht="13.65" customHeight="1">
      <c r="A165" s="135"/>
      <c r="B165" s="700"/>
      <c r="C165" s="10"/>
      <c r="D165" s="1004"/>
      <c r="E165" s="1004"/>
      <c r="F165" s="1004"/>
      <c r="G165" s="152"/>
    </row>
    <row r="166" spans="1:7" customFormat="1" ht="13.65" customHeight="1">
      <c r="A166" s="135"/>
      <c r="B166" s="700"/>
      <c r="C166" s="10"/>
      <c r="D166" s="1004"/>
      <c r="E166" s="1004"/>
      <c r="F166" s="1004"/>
      <c r="G166" s="152"/>
    </row>
    <row r="167" spans="1:7" customFormat="1" ht="13.65"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4">
      <c r="A178" s="270"/>
      <c r="B178" s="703" t="s">
        <v>329</v>
      </c>
      <c r="C178" s="274"/>
      <c r="D178" s="1017" t="s">
        <v>1310</v>
      </c>
      <c r="E178" s="1017"/>
      <c r="F178" s="1017"/>
      <c r="G178" s="57"/>
    </row>
    <row r="179" spans="1:7" ht="14.4">
      <c r="A179" s="270"/>
      <c r="B179" s="270"/>
      <c r="C179" s="274"/>
      <c r="D179" s="1017"/>
      <c r="E179" s="1017"/>
      <c r="F179" s="1017"/>
      <c r="G179" s="57"/>
    </row>
    <row r="180" spans="1:7" ht="14.4">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4">
      <c r="A186" s="270"/>
      <c r="B186" s="703" t="s">
        <v>329</v>
      </c>
      <c r="C186" s="581"/>
      <c r="D186" s="956" t="s">
        <v>1309</v>
      </c>
      <c r="E186" s="956"/>
      <c r="F186" s="956"/>
      <c r="G186" s="702"/>
    </row>
    <row r="187" spans="1:7" s="701" customFormat="1" ht="14.4" customHeight="1">
      <c r="A187" s="270"/>
      <c r="C187" s="581"/>
      <c r="D187" s="956"/>
      <c r="E187" s="956"/>
      <c r="F187" s="956"/>
      <c r="G187" s="702"/>
    </row>
    <row r="188" spans="1:7" s="701" customFormat="1" ht="14.4">
      <c r="A188" s="270"/>
      <c r="B188" s="721"/>
      <c r="C188" s="581"/>
      <c r="D188" s="956"/>
      <c r="E188" s="956"/>
      <c r="F188" s="956"/>
      <c r="G188" s="702"/>
    </row>
    <row r="189" spans="1:7" s="701" customFormat="1" ht="14.4">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35" customHeight="1">
      <c r="A196" s="23"/>
      <c r="C196" s="23"/>
      <c r="D196" s="980" t="s">
        <v>592</v>
      </c>
      <c r="E196" s="980"/>
      <c r="F196" s="980"/>
    </row>
    <row r="197" spans="1:6" ht="14.4">
      <c r="A197" s="270"/>
      <c r="B197" s="703" t="s">
        <v>329</v>
      </c>
      <c r="D197" s="956" t="s">
        <v>1327</v>
      </c>
      <c r="E197" s="956"/>
      <c r="F197" s="956"/>
    </row>
    <row r="198" spans="1:6" ht="14.4">
      <c r="A198" s="270"/>
      <c r="B198" s="270"/>
      <c r="D198" s="956"/>
      <c r="E198" s="956"/>
      <c r="F198" s="956"/>
    </row>
    <row r="199" spans="1:6"/>
    <row r="200" spans="1:6" ht="14.4">
      <c r="A200" s="270"/>
      <c r="B200" s="703" t="s">
        <v>329</v>
      </c>
      <c r="D200" s="956" t="s">
        <v>1328</v>
      </c>
      <c r="E200" s="956"/>
      <c r="F200" s="956"/>
    </row>
    <row r="201" spans="1:6" ht="14.4">
      <c r="A201" s="270"/>
      <c r="B201" s="270"/>
      <c r="D201" s="956"/>
      <c r="E201" s="956"/>
      <c r="F201" s="956"/>
    </row>
    <row r="202" spans="1:6" ht="14.4">
      <c r="A202" s="270"/>
      <c r="B202" s="270"/>
      <c r="D202" s="956"/>
      <c r="E202" s="956"/>
      <c r="F202" s="956"/>
    </row>
    <row r="203" spans="1:6" ht="5.0999999999999996" customHeight="1">
      <c r="A203" s="270"/>
      <c r="B203" s="270"/>
      <c r="D203" s="154"/>
      <c r="E203" s="138"/>
      <c r="F203" s="138"/>
    </row>
    <row r="204" spans="1:6" ht="14.4">
      <c r="A204" s="270"/>
      <c r="B204" s="270"/>
      <c r="D204" s="956" t="s">
        <v>1329</v>
      </c>
      <c r="E204" s="956"/>
      <c r="F204" s="956"/>
    </row>
    <row r="205" spans="1:6" ht="14.4">
      <c r="A205" s="270"/>
      <c r="B205" s="270"/>
      <c r="D205" s="956"/>
      <c r="E205" s="956"/>
      <c r="F205" s="956"/>
    </row>
    <row r="206" spans="1:6" ht="14.4">
      <c r="A206" s="270"/>
      <c r="B206" s="270"/>
      <c r="D206" s="956"/>
      <c r="E206" s="956"/>
      <c r="F206" s="956"/>
    </row>
    <row r="207" spans="1:6" ht="14.4">
      <c r="A207" s="270"/>
      <c r="B207" s="270"/>
      <c r="D207" s="956"/>
      <c r="E207" s="956"/>
      <c r="F207" s="956"/>
    </row>
    <row r="208" spans="1:6" ht="14.4">
      <c r="A208" s="270"/>
      <c r="B208" s="270"/>
      <c r="D208" s="956"/>
      <c r="E208" s="956"/>
      <c r="F208" s="956"/>
    </row>
    <row r="209" spans="1:7" ht="14.4">
      <c r="A209" s="270"/>
      <c r="B209" s="270"/>
      <c r="D209" s="138"/>
      <c r="E209" s="138"/>
      <c r="F209" s="138"/>
    </row>
    <row r="210" spans="1:7" ht="14.4">
      <c r="A210" s="270"/>
      <c r="B210" s="703" t="s">
        <v>329</v>
      </c>
      <c r="D210" s="977" t="s">
        <v>1330</v>
      </c>
      <c r="E210" s="977"/>
      <c r="F210" s="977"/>
    </row>
    <row r="211" spans="1:7" ht="14.4">
      <c r="A211" s="270"/>
      <c r="B211" s="270"/>
      <c r="D211" s="977"/>
      <c r="E211" s="977"/>
      <c r="F211" s="977"/>
    </row>
    <row r="212" spans="1:7" ht="14.4">
      <c r="A212" s="270"/>
      <c r="B212" s="270"/>
      <c r="D212" s="978" t="s">
        <v>992</v>
      </c>
      <c r="E212" s="978"/>
      <c r="F212" s="978"/>
    </row>
    <row r="213" spans="1:7" ht="14.4">
      <c r="A213" s="270"/>
      <c r="B213" s="270"/>
      <c r="D213" s="138"/>
      <c r="E213" s="138"/>
      <c r="F213" s="138"/>
    </row>
    <row r="214" spans="1:7" ht="14.4" customHeight="1">
      <c r="A214" s="270"/>
      <c r="B214" s="703" t="s">
        <v>329</v>
      </c>
      <c r="D214" s="977" t="s">
        <v>1332</v>
      </c>
      <c r="E214" s="977"/>
      <c r="F214" s="977"/>
    </row>
    <row r="215" spans="1:7" ht="14.4">
      <c r="A215" s="270"/>
      <c r="B215" s="270"/>
      <c r="D215" s="977"/>
      <c r="E215" s="977"/>
      <c r="F215" s="977"/>
    </row>
    <row r="216" spans="1:7" ht="14.4">
      <c r="A216" s="270"/>
      <c r="B216" s="270"/>
      <c r="D216" s="977"/>
      <c r="E216" s="977"/>
      <c r="F216" s="977"/>
    </row>
    <row r="217" spans="1:7" ht="14.4">
      <c r="A217" s="270"/>
      <c r="B217" s="270"/>
      <c r="D217" s="977"/>
      <c r="E217" s="977"/>
      <c r="F217" s="977"/>
    </row>
    <row r="218" spans="1:7" ht="14.4">
      <c r="A218" s="270"/>
      <c r="B218" s="270"/>
      <c r="D218" s="977"/>
      <c r="E218" s="977"/>
      <c r="F218" s="977"/>
    </row>
    <row r="219" spans="1:7">
      <c r="D219" s="138"/>
      <c r="E219" s="138"/>
      <c r="F219" s="138"/>
    </row>
    <row r="220" spans="1:7" ht="14.4">
      <c r="A220" s="270"/>
      <c r="B220" s="703" t="s">
        <v>329</v>
      </c>
      <c r="D220" s="956" t="s">
        <v>1331</v>
      </c>
      <c r="E220" s="956"/>
      <c r="F220" s="956"/>
    </row>
    <row r="221" spans="1:7" ht="14.4">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4">
      <c r="A228" s="270"/>
      <c r="B228" s="703" t="s">
        <v>329</v>
      </c>
      <c r="D228" s="1030" t="s">
        <v>1335</v>
      </c>
      <c r="E228" s="1030"/>
      <c r="F228" s="1030"/>
    </row>
    <row r="229" spans="1:6" ht="14.4">
      <c r="A229" s="270"/>
      <c r="B229" s="270"/>
      <c r="D229" s="1030"/>
      <c r="E229" s="1030"/>
      <c r="F229" s="1030"/>
    </row>
    <row r="230" spans="1:6">
      <c r="D230" s="138"/>
      <c r="E230" s="138"/>
      <c r="F230" s="138"/>
    </row>
    <row r="231" spans="1:6" ht="14.4" customHeight="1">
      <c r="A231" s="270"/>
      <c r="B231" s="703" t="s">
        <v>329</v>
      </c>
      <c r="D231" s="977" t="s">
        <v>1336</v>
      </c>
      <c r="E231" s="977"/>
      <c r="F231" s="977"/>
    </row>
    <row r="232" spans="1:6">
      <c r="D232" s="977"/>
      <c r="E232" s="977"/>
      <c r="F232" s="977"/>
    </row>
    <row r="233" spans="1:6">
      <c r="D233" s="989" t="s">
        <v>983</v>
      </c>
      <c r="E233" s="989"/>
      <c r="F233" s="989"/>
    </row>
    <row r="234" spans="1:6">
      <c r="D234" s="138"/>
      <c r="E234" s="138"/>
      <c r="F234" s="138"/>
    </row>
    <row r="235" spans="1:6" ht="14.4"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4">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4">
      <c r="A253" s="270"/>
      <c r="B253" s="703" t="s">
        <v>329</v>
      </c>
      <c r="D253" s="956" t="s">
        <v>1341</v>
      </c>
      <c r="E253" s="956"/>
      <c r="F253" s="956"/>
    </row>
    <row r="254" spans="1:7" ht="14.4">
      <c r="A254" s="270"/>
      <c r="B254" s="270"/>
      <c r="D254" s="956"/>
      <c r="E254" s="956"/>
      <c r="F254" s="956"/>
    </row>
    <row r="255" spans="1:7">
      <c r="D255" s="138"/>
      <c r="E255" s="138"/>
      <c r="F255" s="138"/>
    </row>
    <row r="256" spans="1:7" ht="14.4">
      <c r="A256" s="270"/>
      <c r="B256" s="703" t="s">
        <v>329</v>
      </c>
      <c r="D256" s="977" t="s">
        <v>1342</v>
      </c>
      <c r="E256" s="977"/>
      <c r="F256" s="977"/>
    </row>
    <row r="257" spans="1:7" ht="14.4">
      <c r="A257" s="270"/>
      <c r="B257" s="270"/>
      <c r="D257" s="977"/>
      <c r="E257" s="977"/>
      <c r="F257" s="977"/>
    </row>
    <row r="258" spans="1:7" ht="14.4">
      <c r="A258" s="270"/>
      <c r="B258" s="270"/>
      <c r="D258" s="977"/>
      <c r="E258" s="977"/>
      <c r="F258" s="977"/>
    </row>
    <row r="259" spans="1:7">
      <c r="D259" s="138"/>
      <c r="E259" s="138"/>
      <c r="F259" s="138"/>
    </row>
    <row r="260" spans="1:7" ht="14.4">
      <c r="A260" s="270"/>
      <c r="B260" s="703" t="s">
        <v>329</v>
      </c>
      <c r="D260" s="956" t="s">
        <v>1343</v>
      </c>
      <c r="E260" s="956"/>
      <c r="F260" s="956"/>
    </row>
    <row r="261" spans="1:7" ht="14.4">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4">
      <c r="A269" s="420"/>
      <c r="B269" s="420"/>
      <c r="C269" s="282"/>
      <c r="D269" s="514"/>
      <c r="E269" s="515"/>
      <c r="F269" s="515"/>
      <c r="G269" s="133"/>
    </row>
    <row r="270" spans="1:7" s="39" customFormat="1" ht="13.35" customHeight="1">
      <c r="A270" s="282"/>
      <c r="B270" s="703" t="s">
        <v>329</v>
      </c>
      <c r="C270" s="282"/>
      <c r="D270" s="1031" t="s">
        <v>1346</v>
      </c>
      <c r="E270" s="1031"/>
      <c r="F270" s="1031"/>
      <c r="G270" s="133"/>
    </row>
    <row r="271" spans="1:7" s="39" customFormat="1" ht="14.4">
      <c r="A271" s="420"/>
      <c r="B271" s="420"/>
      <c r="C271" s="282"/>
      <c r="D271" s="1031"/>
      <c r="E271" s="1031"/>
      <c r="F271" s="1031"/>
      <c r="G271" s="133"/>
    </row>
    <row r="272" spans="1:7" s="39" customFormat="1" ht="14.4">
      <c r="A272" s="420"/>
      <c r="B272" s="420"/>
      <c r="C272" s="282"/>
      <c r="D272" s="1031"/>
      <c r="E272" s="1031"/>
      <c r="F272" s="1031"/>
      <c r="G272" s="133"/>
    </row>
    <row r="273" spans="1:7" s="39" customFormat="1" ht="14.4">
      <c r="A273" s="420"/>
      <c r="B273" s="420"/>
      <c r="C273" s="282"/>
      <c r="D273" s="1031"/>
      <c r="E273" s="1031"/>
      <c r="F273" s="1031"/>
      <c r="G273" s="133"/>
    </row>
    <row r="274" spans="1:7" s="39" customFormat="1" ht="14.4">
      <c r="A274" s="420"/>
      <c r="B274" s="420"/>
      <c r="C274" s="282"/>
      <c r="D274" s="1031"/>
      <c r="E274" s="1031"/>
      <c r="F274" s="1031"/>
      <c r="G274" s="133"/>
    </row>
    <row r="275" spans="1:7" s="39" customFormat="1" ht="14.4">
      <c r="A275" s="420"/>
      <c r="B275" s="420"/>
      <c r="C275" s="282"/>
      <c r="D275" s="514"/>
      <c r="E275" s="515"/>
      <c r="F275" s="515"/>
      <c r="G275" s="133"/>
    </row>
    <row r="276" spans="1:7" s="39" customFormat="1" ht="13.3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4">
      <c r="A278" s="420"/>
      <c r="B278" s="420"/>
      <c r="C278" s="282"/>
      <c r="D278" s="514"/>
      <c r="E278" s="515"/>
      <c r="F278" s="515"/>
      <c r="G278" s="133"/>
    </row>
    <row r="279" spans="1:7">
      <c r="A279" s="282"/>
      <c r="B279" s="703" t="s">
        <v>329</v>
      </c>
      <c r="D279" s="981" t="s">
        <v>1348</v>
      </c>
      <c r="E279" s="981"/>
      <c r="F279" s="981"/>
    </row>
    <row r="280" spans="1:7">
      <c r="E280" s="138"/>
      <c r="F280" s="138"/>
    </row>
    <row r="281" spans="1:7" ht="14.4">
      <c r="A281" s="270"/>
      <c r="B281" s="703" t="s">
        <v>329</v>
      </c>
      <c r="D281" s="977" t="s">
        <v>1349</v>
      </c>
      <c r="E281" s="977"/>
      <c r="F281" s="977"/>
    </row>
    <row r="282" spans="1:7" ht="14.4">
      <c r="A282" s="270"/>
      <c r="B282" s="270"/>
      <c r="D282" s="977"/>
      <c r="E282" s="977"/>
      <c r="F282" s="977"/>
    </row>
    <row r="283" spans="1:7" s="743" customFormat="1" ht="14.4">
      <c r="A283" s="738"/>
      <c r="B283" s="738"/>
      <c r="C283" s="755"/>
      <c r="D283" s="977"/>
      <c r="E283" s="977"/>
      <c r="F283" s="977"/>
      <c r="G283" s="7"/>
    </row>
    <row r="284" spans="1:7" s="743" customFormat="1" ht="14.4">
      <c r="A284" s="738"/>
      <c r="B284" s="738"/>
      <c r="C284" s="755"/>
      <c r="D284" s="977"/>
      <c r="E284" s="977"/>
      <c r="F284" s="977"/>
      <c r="G284" s="7"/>
    </row>
    <row r="285" spans="1:7" s="743" customFormat="1" ht="14.4">
      <c r="A285" s="738"/>
      <c r="B285" s="738"/>
      <c r="C285" s="755"/>
      <c r="D285" s="977"/>
      <c r="E285" s="977"/>
      <c r="F285" s="977"/>
      <c r="G285" s="7"/>
    </row>
    <row r="286" spans="1:7" s="743" customFormat="1" ht="14.4">
      <c r="A286" s="738"/>
      <c r="B286" s="738"/>
      <c r="C286" s="755"/>
      <c r="D286" s="977"/>
      <c r="E286" s="977"/>
      <c r="F286" s="977"/>
      <c r="G286" s="7"/>
    </row>
    <row r="287" spans="1:7" s="743" customFormat="1" ht="14.4">
      <c r="A287" s="738"/>
      <c r="B287" s="738"/>
      <c r="C287" s="755"/>
      <c r="D287" s="977"/>
      <c r="E287" s="977"/>
      <c r="F287" s="977"/>
      <c r="G287" s="7"/>
    </row>
    <row r="288" spans="1:7" s="743" customFormat="1" ht="14.4">
      <c r="A288" s="738"/>
      <c r="B288" s="738"/>
      <c r="C288" s="755"/>
      <c r="D288" s="977"/>
      <c r="E288" s="977"/>
      <c r="F288" s="977"/>
      <c r="G288" s="7"/>
    </row>
    <row r="289" spans="1:7" s="743" customFormat="1" ht="14.4">
      <c r="A289" s="738"/>
      <c r="B289" s="738"/>
      <c r="C289" s="755"/>
      <c r="D289" s="977"/>
      <c r="E289" s="977"/>
      <c r="F289" s="977"/>
      <c r="G289" s="7"/>
    </row>
    <row r="290" spans="1:7" s="743" customFormat="1" ht="14.4">
      <c r="A290" s="738"/>
      <c r="B290" s="738"/>
      <c r="C290" s="755"/>
      <c r="D290" s="977"/>
      <c r="E290" s="977"/>
      <c r="F290" s="977"/>
      <c r="G290" s="7"/>
    </row>
    <row r="291" spans="1:7" s="743" customFormat="1" ht="14.4">
      <c r="A291" s="738"/>
      <c r="B291" s="738"/>
      <c r="C291" s="755"/>
      <c r="D291" s="977"/>
      <c r="E291" s="977"/>
      <c r="F291" s="977"/>
      <c r="G291" s="7"/>
    </row>
    <row r="292" spans="1:7" s="743" customFormat="1" ht="14.4">
      <c r="A292" s="738"/>
      <c r="B292" s="738"/>
      <c r="C292" s="755"/>
      <c r="D292" s="977"/>
      <c r="E292" s="977"/>
      <c r="F292" s="977"/>
      <c r="G292" s="7"/>
    </row>
    <row r="293" spans="1:7" ht="14.4">
      <c r="A293" s="270"/>
      <c r="B293" s="270"/>
      <c r="D293" s="977"/>
      <c r="E293" s="977"/>
      <c r="F293" s="977"/>
    </row>
    <row r="294" spans="1:7" ht="14.4">
      <c r="A294" s="270"/>
      <c r="B294" s="270"/>
      <c r="D294" s="977"/>
      <c r="E294" s="977"/>
      <c r="F294" s="977"/>
    </row>
    <row r="295" spans="1:7" ht="14.4">
      <c r="A295" s="270"/>
      <c r="B295" s="270"/>
      <c r="D295" s="977"/>
      <c r="E295" s="977"/>
      <c r="F295" s="977"/>
    </row>
    <row r="296" spans="1:7">
      <c r="D296" s="138"/>
      <c r="E296" s="138"/>
      <c r="F296" s="138"/>
    </row>
    <row r="297" spans="1:7" ht="14.4">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4">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8" thickBot="1">
      <c r="D314" s="1027" t="s">
        <v>1093</v>
      </c>
      <c r="E314" s="1027"/>
      <c r="F314" s="1027"/>
      <c r="G314" s="12"/>
    </row>
    <row r="315" spans="1:7" s="743" customFormat="1" ht="13.8" thickTop="1">
      <c r="A315" s="755"/>
      <c r="B315" s="755"/>
      <c r="C315" s="755"/>
      <c r="D315" s="1028" t="s">
        <v>1352</v>
      </c>
      <c r="E315" s="1028"/>
      <c r="F315" s="1028"/>
    </row>
    <row r="316" spans="1:7">
      <c r="A316" s="335"/>
      <c r="B316" s="335"/>
      <c r="C316" s="335"/>
      <c r="D316" s="484"/>
      <c r="E316" s="484"/>
      <c r="F316" s="138"/>
      <c r="G316" s="12"/>
    </row>
    <row r="317" spans="1:7" ht="14.4">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4">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3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4">
      <c r="A367" s="270"/>
      <c r="B367" s="703" t="s">
        <v>329</v>
      </c>
      <c r="C367" s="335"/>
      <c r="D367" s="1013" t="s">
        <v>1359</v>
      </c>
      <c r="E367" s="1013"/>
      <c r="F367" s="1013"/>
      <c r="G367" s="12"/>
    </row>
    <row r="368" spans="1:7" ht="14.4">
      <c r="A368" s="527"/>
      <c r="B368" s="527"/>
      <c r="C368" s="335"/>
      <c r="D368" s="1013"/>
      <c r="E368" s="1013"/>
      <c r="F368" s="1013"/>
      <c r="G368" s="12"/>
    </row>
    <row r="369" spans="1:7" ht="14.4">
      <c r="A369" s="527"/>
      <c r="B369" s="527"/>
      <c r="C369" s="335"/>
      <c r="D369" s="1013"/>
      <c r="E369" s="1013"/>
      <c r="F369" s="1013"/>
      <c r="G369" s="12"/>
    </row>
    <row r="370" spans="1:7" ht="14.4">
      <c r="A370" s="527"/>
      <c r="B370" s="527"/>
      <c r="C370" s="335"/>
      <c r="D370" s="1013"/>
      <c r="E370" s="1013"/>
      <c r="F370" s="1013"/>
      <c r="G370" s="12"/>
    </row>
    <row r="371" spans="1:7" ht="14.4">
      <c r="A371" s="527"/>
      <c r="B371" s="527"/>
      <c r="C371" s="335"/>
      <c r="D371" s="1013"/>
      <c r="E371" s="1013"/>
      <c r="F371" s="1013"/>
      <c r="G371" s="12"/>
    </row>
    <row r="372" spans="1:7">
      <c r="D372" s="138"/>
      <c r="E372" s="138"/>
      <c r="F372" s="138"/>
      <c r="G372" s="12"/>
    </row>
    <row r="373" spans="1:7" ht="14.4">
      <c r="A373" s="270"/>
      <c r="B373" s="703" t="s">
        <v>329</v>
      </c>
      <c r="C373" s="275"/>
      <c r="D373" s="956" t="s">
        <v>1360</v>
      </c>
      <c r="E373" s="956"/>
      <c r="F373" s="956"/>
      <c r="G373" s="12"/>
    </row>
    <row r="374" spans="1:7" ht="14.4">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65" customHeight="1">
      <c r="A403" s="135"/>
      <c r="B403" s="700"/>
      <c r="C403" s="135"/>
      <c r="D403" s="956"/>
      <c r="E403" s="956"/>
      <c r="F403" s="956"/>
      <c r="G403" s="30"/>
    </row>
    <row r="404" spans="1:7" s="32" customFormat="1">
      <c r="A404" s="135"/>
      <c r="B404" s="700"/>
      <c r="C404" s="135"/>
      <c r="D404" s="138"/>
      <c r="E404" s="138"/>
      <c r="F404" s="138"/>
      <c r="G404" s="30"/>
    </row>
    <row r="405" spans="1:7" ht="14.4">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4">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4">
      <c r="B416" s="703" t="s">
        <v>329</v>
      </c>
      <c r="C416" s="270"/>
      <c r="D416" s="977" t="s">
        <v>1364</v>
      </c>
      <c r="E416" s="977"/>
      <c r="F416" s="977"/>
      <c r="G416" s="12"/>
    </row>
    <row r="417" spans="1:7">
      <c r="D417" s="977"/>
      <c r="E417" s="977"/>
      <c r="F417" s="977"/>
      <c r="G417" s="12"/>
    </row>
    <row r="418" spans="1:7">
      <c r="D418" s="138"/>
      <c r="E418" s="138"/>
      <c r="F418" s="138"/>
      <c r="G418" s="12"/>
    </row>
    <row r="419" spans="1:7" ht="14.4">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4">
      <c r="A445" s="420"/>
      <c r="B445" s="420"/>
      <c r="C445" s="282"/>
      <c r="D445" s="1034" t="s">
        <v>1368</v>
      </c>
      <c r="E445" s="1034"/>
      <c r="F445" s="1034"/>
      <c r="G445" s="133"/>
    </row>
    <row r="446" spans="1:7" s="39" customFormat="1" ht="14.4">
      <c r="A446" s="420"/>
      <c r="B446" s="420"/>
      <c r="C446" s="282"/>
      <c r="D446" s="756"/>
      <c r="E446" s="6"/>
      <c r="F446" s="6"/>
      <c r="G446" s="133"/>
    </row>
    <row r="447" spans="1:7" s="39" customFormat="1" ht="14.4">
      <c r="A447" s="270"/>
      <c r="B447" s="703" t="s">
        <v>329</v>
      </c>
      <c r="C447" s="282"/>
      <c r="D447" s="1035" t="s">
        <v>1369</v>
      </c>
      <c r="E447" s="1035"/>
      <c r="F447" s="1035"/>
      <c r="G447" s="133"/>
    </row>
    <row r="448" spans="1:7" s="39" customFormat="1" ht="14.4">
      <c r="A448" s="270"/>
      <c r="B448" s="270"/>
      <c r="C448" s="282"/>
      <c r="D448" s="1035"/>
      <c r="E448" s="1035"/>
      <c r="F448" s="1035"/>
      <c r="G448" s="133"/>
    </row>
    <row r="449" spans="1:7" s="39" customFormat="1" ht="14.4">
      <c r="A449" s="270"/>
      <c r="B449" s="270"/>
      <c r="C449" s="282"/>
      <c r="D449" s="754"/>
      <c r="E449" s="6"/>
      <c r="F449" s="6"/>
      <c r="G449" s="133"/>
    </row>
    <row r="450" spans="1:7">
      <c r="B450" s="703" t="s">
        <v>329</v>
      </c>
      <c r="D450" s="1005" t="s">
        <v>1370</v>
      </c>
      <c r="E450" s="1005"/>
      <c r="F450" s="1005"/>
    </row>
    <row r="451" spans="1:7" ht="14.4">
      <c r="A451" s="270"/>
      <c r="D451" s="1005"/>
      <c r="E451" s="1005"/>
      <c r="F451" s="1005"/>
    </row>
    <row r="452" spans="1:7" ht="14.4">
      <c r="A452" s="270"/>
      <c r="B452" s="270"/>
      <c r="D452" s="1005"/>
      <c r="E452" s="1005"/>
      <c r="F452" s="1005"/>
    </row>
    <row r="453" spans="1:7" ht="14.4">
      <c r="A453" s="270"/>
      <c r="B453" s="270"/>
      <c r="D453" s="1005"/>
      <c r="E453" s="1005"/>
      <c r="F453" s="1005"/>
    </row>
    <row r="454" spans="1:7">
      <c r="D454" s="702"/>
      <c r="E454" s="702"/>
      <c r="F454" s="702"/>
      <c r="G454" s="12"/>
    </row>
    <row r="455" spans="1:7" ht="14.4">
      <c r="A455" s="270"/>
      <c r="B455" s="703" t="s">
        <v>329</v>
      </c>
      <c r="D455" s="958" t="s">
        <v>1371</v>
      </c>
      <c r="E455" s="958"/>
      <c r="F455" s="958"/>
      <c r="G455" s="12"/>
    </row>
    <row r="456" spans="1:7" ht="14.4">
      <c r="A456" s="270"/>
      <c r="B456" s="270"/>
      <c r="D456" s="958"/>
      <c r="E456" s="958"/>
      <c r="F456" s="958"/>
      <c r="G456" s="12"/>
    </row>
    <row r="457" spans="1:7" ht="14.4">
      <c r="A457" s="270"/>
      <c r="D457" s="958"/>
      <c r="E457" s="958"/>
      <c r="F457" s="958"/>
      <c r="G457" s="12"/>
    </row>
    <row r="458" spans="1:7" ht="14.4">
      <c r="A458" s="270"/>
      <c r="B458" s="270"/>
      <c r="D458" s="702"/>
      <c r="E458" s="702"/>
      <c r="F458" s="702"/>
      <c r="G458" s="12"/>
    </row>
    <row r="459" spans="1:7" ht="14.4">
      <c r="A459" s="270"/>
      <c r="B459" s="742" t="s">
        <v>329</v>
      </c>
      <c r="D459" s="981" t="s">
        <v>1372</v>
      </c>
      <c r="E459" s="981"/>
      <c r="F459" s="981"/>
      <c r="G459" s="12"/>
    </row>
    <row r="460" spans="1:7" ht="14.4">
      <c r="A460" s="270"/>
      <c r="B460" s="270"/>
      <c r="D460" s="754"/>
      <c r="E460" s="6"/>
      <c r="F460" s="6"/>
      <c r="G460" s="12"/>
    </row>
    <row r="461" spans="1:7" ht="14.4">
      <c r="A461" s="270"/>
      <c r="B461" s="703" t="s">
        <v>329</v>
      </c>
      <c r="D461" s="956" t="s">
        <v>1373</v>
      </c>
      <c r="E461" s="956"/>
      <c r="F461" s="956"/>
      <c r="G461" s="12"/>
    </row>
    <row r="462" spans="1:7" ht="14.4">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4">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3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 customHeight="1">
      <c r="A485" s="269"/>
      <c r="B485" s="269"/>
      <c r="C485" s="323"/>
      <c r="D485" s="460"/>
      <c r="E485" s="152"/>
      <c r="F485" s="154"/>
      <c r="G485" s="152"/>
    </row>
    <row r="486" spans="1:7" customFormat="1" ht="14.4"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3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35" customHeight="1">
      <c r="A519" s="270"/>
      <c r="B519" s="703" t="s">
        <v>329</v>
      </c>
      <c r="C519" s="275"/>
      <c r="D519" s="981" t="s">
        <v>978</v>
      </c>
      <c r="E519" s="981"/>
      <c r="F519" s="981"/>
      <c r="G519" s="12"/>
    </row>
    <row r="520" spans="1:7" ht="13.35" customHeight="1">
      <c r="A520" s="275"/>
      <c r="B520" s="275"/>
      <c r="C520" s="275"/>
      <c r="D520" s="728"/>
      <c r="E520" s="701"/>
      <c r="F520" s="701"/>
      <c r="G520" s="12"/>
    </row>
    <row r="521" spans="1:7" ht="14.4">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4">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4">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4">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4">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4">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4">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4">
      <c r="A543" s="270"/>
      <c r="B543" s="703" t="s">
        <v>329</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4">
      <c r="A546" s="270"/>
      <c r="B546" s="270"/>
      <c r="C546" s="275"/>
      <c r="E546" s="138"/>
      <c r="F546" s="138"/>
      <c r="G546" s="57"/>
    </row>
    <row r="547" spans="1:7" ht="14.4">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4">
      <c r="A552" s="270"/>
      <c r="B552" s="703" t="s">
        <v>329</v>
      </c>
      <c r="C552" s="275"/>
      <c r="D552" s="956" t="s">
        <v>1279</v>
      </c>
      <c r="E552" s="956"/>
      <c r="F552" s="956"/>
      <c r="G552" s="57"/>
    </row>
    <row r="553" spans="1:7" ht="14.4">
      <c r="A553" s="270"/>
      <c r="B553" s="270"/>
      <c r="C553" s="275"/>
      <c r="D553" s="956"/>
      <c r="E553" s="956"/>
      <c r="F553" s="956"/>
      <c r="G553" s="57"/>
    </row>
    <row r="554" spans="1:7" ht="14.4">
      <c r="A554" s="270"/>
      <c r="B554" s="270"/>
      <c r="C554" s="275"/>
      <c r="D554" s="956"/>
      <c r="E554" s="956"/>
      <c r="F554" s="956"/>
      <c r="G554" s="57"/>
    </row>
    <row r="555" spans="1:7" ht="14.4">
      <c r="A555" s="270"/>
      <c r="B555" s="270"/>
      <c r="C555" s="275"/>
      <c r="D555" s="956"/>
      <c r="E555" s="956"/>
      <c r="F555" s="956"/>
      <c r="G555" s="57"/>
    </row>
    <row r="556" spans="1:7" ht="14.4">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4">
      <c r="A579" s="270"/>
      <c r="B579" s="703" t="s">
        <v>329</v>
      </c>
      <c r="D579" s="1004" t="s">
        <v>979</v>
      </c>
      <c r="E579" s="1004"/>
      <c r="F579" s="1004"/>
    </row>
    <row r="580" spans="1:7" ht="14.4">
      <c r="A580" s="270"/>
      <c r="B580" s="270"/>
      <c r="D580" s="393"/>
    </row>
    <row r="581" spans="1:7" ht="14.4">
      <c r="A581" s="270"/>
      <c r="B581" s="703" t="s">
        <v>329</v>
      </c>
      <c r="D581" s="1004" t="s">
        <v>1233</v>
      </c>
      <c r="E581" s="1004"/>
      <c r="F581" s="1004"/>
    </row>
    <row r="582" spans="1:7" ht="14.4">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4">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4">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4">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4">
      <c r="A628" s="270"/>
      <c r="B628" s="703" t="s">
        <v>329</v>
      </c>
      <c r="C628" s="275"/>
      <c r="D628" s="974" t="s">
        <v>1324</v>
      </c>
      <c r="E628" s="974"/>
      <c r="F628" s="974"/>
      <c r="G628" s="57"/>
    </row>
    <row r="629" spans="1:7" ht="14.4">
      <c r="A629" s="270"/>
      <c r="B629" s="270"/>
      <c r="C629" s="275"/>
      <c r="D629" s="974"/>
      <c r="E629" s="974"/>
      <c r="F629" s="974"/>
      <c r="G629" s="57"/>
    </row>
    <row r="630" spans="1:7" ht="14.4">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 customHeight="1">
      <c r="A640" s="270"/>
      <c r="B640" s="703" t="s">
        <v>329</v>
      </c>
      <c r="C640" s="275"/>
      <c r="D640" s="970" t="s">
        <v>1377</v>
      </c>
      <c r="E640" s="970"/>
      <c r="F640" s="970"/>
      <c r="G640" s="57"/>
    </row>
    <row r="641" spans="1:11" ht="14.4">
      <c r="A641" s="270"/>
      <c r="B641" s="270"/>
      <c r="C641" s="275"/>
      <c r="D641" s="970"/>
      <c r="E641" s="970"/>
      <c r="F641" s="970"/>
      <c r="G641" s="57"/>
    </row>
    <row r="642" spans="1:11" ht="14.4">
      <c r="A642" s="270"/>
      <c r="B642" s="270"/>
      <c r="C642" s="275"/>
      <c r="D642" s="970"/>
      <c r="E642" s="970"/>
      <c r="F642" s="970"/>
      <c r="G642" s="57"/>
    </row>
    <row r="643" spans="1:11" ht="14.4">
      <c r="A643" s="270"/>
      <c r="B643" s="270"/>
      <c r="C643" s="275"/>
      <c r="D643" s="970"/>
      <c r="E643" s="970"/>
      <c r="F643" s="970"/>
      <c r="G643" s="57"/>
    </row>
    <row r="644" spans="1:11" s="706" customFormat="1" ht="14.4">
      <c r="A644" s="270"/>
      <c r="B644" s="270"/>
      <c r="C644" s="275"/>
      <c r="D644" s="970"/>
      <c r="E644" s="970"/>
      <c r="F644" s="970"/>
      <c r="G644" s="57"/>
    </row>
    <row r="645" spans="1:11" s="743" customFormat="1" ht="14.4">
      <c r="A645" s="738"/>
      <c r="B645" s="738"/>
      <c r="C645" s="275"/>
      <c r="D645" s="760"/>
      <c r="E645" s="760"/>
      <c r="F645" s="760"/>
      <c r="G645" s="57"/>
    </row>
    <row r="646" spans="1:11" s="706" customFormat="1" ht="14.4">
      <c r="A646" s="270"/>
      <c r="B646" s="703" t="s">
        <v>329</v>
      </c>
      <c r="C646" s="275"/>
      <c r="D646" s="1000" t="s">
        <v>1227</v>
      </c>
      <c r="E646" s="1000"/>
      <c r="F646" s="1000"/>
      <c r="G646" s="57"/>
    </row>
    <row r="647" spans="1:11" s="706" customFormat="1" ht="14.4">
      <c r="A647" s="270"/>
      <c r="B647" s="270"/>
      <c r="C647" s="275"/>
      <c r="D647" s="1001" t="s">
        <v>1378</v>
      </c>
      <c r="E647" s="1001"/>
      <c r="F647" s="1001"/>
      <c r="G647" s="57"/>
    </row>
    <row r="648" spans="1:11" s="706" customFormat="1" ht="14.4">
      <c r="A648" s="270"/>
      <c r="B648" s="270"/>
      <c r="C648" s="275"/>
      <c r="D648" s="1001"/>
      <c r="E648" s="1001"/>
      <c r="F648" s="1001"/>
      <c r="G648" s="57"/>
    </row>
    <row r="649" spans="1:11" s="706" customFormat="1" ht="14.4">
      <c r="A649" s="270"/>
      <c r="B649" s="270"/>
      <c r="C649" s="275"/>
      <c r="D649" s="1001"/>
      <c r="E649" s="1001"/>
      <c r="F649" s="1001"/>
      <c r="G649" s="57"/>
    </row>
    <row r="650" spans="1:11" s="706" customFormat="1" ht="14.4">
      <c r="A650" s="270"/>
      <c r="B650" s="270"/>
      <c r="C650" s="275"/>
      <c r="D650" s="1001"/>
      <c r="E650" s="1001"/>
      <c r="F650" s="1001"/>
      <c r="G650" s="57"/>
    </row>
    <row r="651" spans="1:11" s="706" customFormat="1" ht="14.4">
      <c r="A651" s="270"/>
      <c r="B651" s="270"/>
      <c r="C651" s="275"/>
      <c r="D651" s="1001"/>
      <c r="E651" s="1001"/>
      <c r="F651" s="1001"/>
      <c r="G651" s="57"/>
    </row>
    <row r="652" spans="1:11" s="706" customFormat="1" ht="14.4">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4">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4">
      <c r="A669" s="270"/>
      <c r="B669" s="703" t="s">
        <v>329</v>
      </c>
      <c r="C669" s="269"/>
      <c r="D669" s="981" t="s">
        <v>1021</v>
      </c>
      <c r="E669" s="981"/>
      <c r="F669" s="981"/>
      <c r="G669" s="57"/>
      <c r="H669" s="278"/>
      <c r="I669" s="278"/>
      <c r="J669" s="278"/>
      <c r="K669" s="278"/>
    </row>
    <row r="670" spans="1:11" ht="14.4">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3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4">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4">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4">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4">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1"/>
    <hyperlink ref="D652" r:id="rId2"/>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09375" style="746" customWidth="1"/>
    <col min="11" max="16384" width="8.88671875" style="746" hidden="1"/>
  </cols>
  <sheetData>
    <row r="1" spans="1:10" ht="14.25" customHeight="1"/>
    <row r="2" spans="1:10" ht="15.6">
      <c r="A2" s="1038" t="s">
        <v>1473</v>
      </c>
      <c r="B2" s="1039"/>
      <c r="C2" s="1039"/>
      <c r="D2" s="1039"/>
      <c r="E2" s="1039"/>
      <c r="F2" s="1039"/>
      <c r="G2" s="1039"/>
      <c r="H2" s="1039"/>
      <c r="I2" s="1039"/>
      <c r="J2" s="1039"/>
    </row>
    <row r="3" spans="1:10" ht="15.6">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3.2"/>
    <row r="6" spans="1:10" ht="13.2">
      <c r="A6" s="1040" t="s">
        <v>1598</v>
      </c>
      <c r="B6" s="1041"/>
      <c r="C6" s="1041"/>
      <c r="D6" s="1041"/>
      <c r="E6" s="1041"/>
      <c r="F6" s="1041"/>
      <c r="G6" s="1041"/>
      <c r="H6" s="1041"/>
      <c r="I6" s="1041"/>
      <c r="J6" s="1041"/>
    </row>
    <row r="7" spans="1:10" ht="13.2">
      <c r="A7" s="1041"/>
      <c r="B7" s="1041"/>
      <c r="C7" s="1041"/>
      <c r="D7" s="1041"/>
      <c r="E7" s="1041"/>
      <c r="F7" s="1041"/>
      <c r="G7" s="1041"/>
      <c r="H7" s="1041"/>
      <c r="I7" s="1041"/>
      <c r="J7" s="1041"/>
    </row>
    <row r="8" spans="1:10" ht="13.2">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3.2">
      <c r="A10" s="796"/>
      <c r="B10" s="796"/>
      <c r="C10" s="796"/>
      <c r="D10" s="796"/>
      <c r="E10" s="796"/>
      <c r="F10" s="796"/>
      <c r="G10" s="796"/>
      <c r="H10" s="796"/>
      <c r="I10" s="796"/>
      <c r="J10" s="796"/>
    </row>
    <row r="11" spans="1:10" ht="13.2">
      <c r="A11" s="1046" t="s">
        <v>1434</v>
      </c>
      <c r="B11" s="1047"/>
      <c r="C11" s="1047"/>
      <c r="D11" s="1047"/>
      <c r="E11" s="1047"/>
      <c r="F11" s="1047"/>
      <c r="G11" s="1047"/>
      <c r="H11" s="1047"/>
      <c r="I11" s="1047"/>
      <c r="J11" s="1047"/>
    </row>
    <row r="12" spans="1:10" ht="13.2">
      <c r="A12" s="1047"/>
      <c r="B12" s="1047"/>
      <c r="C12" s="1047"/>
      <c r="D12" s="1047"/>
      <c r="E12" s="1047"/>
      <c r="F12" s="1047"/>
      <c r="G12" s="1047"/>
      <c r="H12" s="1047"/>
      <c r="I12" s="1047"/>
      <c r="J12" s="1047"/>
    </row>
    <row r="13" spans="1:10" ht="13.2">
      <c r="A13" s="1047"/>
      <c r="B13" s="1047"/>
      <c r="C13" s="1047"/>
      <c r="D13" s="1047"/>
      <c r="E13" s="1047"/>
      <c r="F13" s="1047"/>
      <c r="G13" s="1047"/>
      <c r="H13" s="1047"/>
      <c r="I13" s="1047"/>
      <c r="J13" s="1047"/>
    </row>
    <row r="14" spans="1:10" ht="13.2"/>
    <row r="15" spans="1:10" ht="12.75" customHeight="1">
      <c r="A15" s="1048" t="s">
        <v>1528</v>
      </c>
      <c r="B15" s="1048"/>
      <c r="C15" s="1048"/>
      <c r="D15" s="1048"/>
      <c r="E15" s="1048"/>
      <c r="F15" s="1048"/>
      <c r="G15" s="1048"/>
      <c r="H15" s="1048"/>
      <c r="I15" s="1048"/>
      <c r="J15" s="1048"/>
    </row>
    <row r="16" spans="1:10" ht="13.2">
      <c r="A16" s="1048"/>
      <c r="B16" s="1048"/>
      <c r="C16" s="1048"/>
      <c r="D16" s="1048"/>
      <c r="E16" s="1048"/>
      <c r="F16" s="1048"/>
      <c r="G16" s="1048"/>
      <c r="H16" s="1048"/>
      <c r="I16" s="1048"/>
      <c r="J16" s="1048"/>
    </row>
    <row r="17" spans="1:10" ht="13.2">
      <c r="A17" s="1048"/>
      <c r="B17" s="1048"/>
      <c r="C17" s="1048"/>
      <c r="D17" s="1048"/>
      <c r="E17" s="1048"/>
      <c r="F17" s="1048"/>
      <c r="G17" s="1048"/>
      <c r="H17" s="1048"/>
      <c r="I17" s="1048"/>
      <c r="J17" s="1048"/>
    </row>
    <row r="18" spans="1:10" ht="13.2">
      <c r="A18" s="1049"/>
      <c r="B18" s="1049"/>
      <c r="C18" s="1049"/>
      <c r="D18" s="1049"/>
      <c r="E18" s="1049"/>
      <c r="F18" s="1049"/>
      <c r="G18" s="1049"/>
      <c r="H18" s="1049"/>
      <c r="I18" s="1049"/>
      <c r="J18" s="1049"/>
    </row>
    <row r="19" spans="1:10" ht="13.2">
      <c r="A19" s="1049"/>
      <c r="B19" s="1049"/>
      <c r="C19" s="1049"/>
      <c r="D19" s="1049"/>
      <c r="E19" s="1049"/>
      <c r="F19" s="1049"/>
      <c r="G19" s="1049"/>
      <c r="H19" s="1049"/>
      <c r="I19" s="1049"/>
      <c r="J19" s="1049"/>
    </row>
    <row r="20" spans="1:10" ht="13.2">
      <c r="A20" s="1049"/>
      <c r="B20" s="1049"/>
      <c r="C20" s="1049"/>
      <c r="D20" s="1049"/>
      <c r="E20" s="1049"/>
      <c r="F20" s="1049"/>
      <c r="G20" s="1049"/>
      <c r="H20" s="1049"/>
      <c r="I20" s="1049"/>
      <c r="J20" s="1049"/>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0" t="s">
        <v>1436</v>
      </c>
      <c r="B23" s="1044"/>
      <c r="C23" s="1044"/>
      <c r="D23" s="1044"/>
      <c r="E23" s="104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0" t="s">
        <v>1437</v>
      </c>
      <c r="B60" s="1041"/>
      <c r="C60" s="1041"/>
      <c r="D60" s="1041"/>
      <c r="E60" s="1041"/>
      <c r="F60" s="1041"/>
      <c r="G60" s="1041"/>
      <c r="H60" s="1041"/>
      <c r="I60" s="1041"/>
      <c r="J60" s="1041"/>
    </row>
    <row r="61" spans="1:10" ht="13.2">
      <c r="A61" s="1041"/>
      <c r="B61" s="1041"/>
      <c r="C61" s="1041"/>
      <c r="D61" s="1041"/>
      <c r="E61" s="1041"/>
      <c r="F61" s="1041"/>
      <c r="G61" s="1041"/>
      <c r="H61" s="1041"/>
      <c r="I61" s="1041"/>
      <c r="J61" s="1041"/>
    </row>
    <row r="62" spans="1:10" ht="13.2">
      <c r="A62" s="1041"/>
      <c r="B62" s="1041"/>
      <c r="C62" s="1041"/>
      <c r="D62" s="1041"/>
      <c r="E62" s="1041"/>
      <c r="F62" s="1041"/>
      <c r="G62" s="1041"/>
      <c r="H62" s="1041"/>
      <c r="I62" s="1041"/>
      <c r="J62" s="1041"/>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42" t="s">
        <v>1438</v>
      </c>
      <c r="B75" s="1042"/>
      <c r="C75" s="1042"/>
      <c r="D75" s="1042"/>
      <c r="E75" s="1042"/>
      <c r="F75" s="1042"/>
      <c r="G75" s="1042"/>
      <c r="H75" s="1042"/>
      <c r="I75" s="1042"/>
    </row>
    <row r="76" spans="1:9" ht="13.2">
      <c r="A76" s="964" t="s">
        <v>1132</v>
      </c>
      <c r="B76" s="964"/>
      <c r="C76" s="964"/>
      <c r="D76" s="964"/>
      <c r="E76" s="964"/>
    </row>
    <row r="77" spans="1:9" ht="13.2">
      <c r="A77" s="964" t="s">
        <v>1439</v>
      </c>
      <c r="B77" s="964"/>
      <c r="C77" s="964"/>
      <c r="D77" s="964"/>
      <c r="E77" s="964"/>
    </row>
    <row r="78" spans="1:9" ht="13.2"/>
    <row r="79" spans="1:9" ht="13.2"/>
    <row r="80" spans="1:9" ht="13.2"/>
    <row r="81" ht="13.2"/>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7620</xdr:colOff>
                <xdr:row>81</xdr:row>
                <xdr:rowOff>106680</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B19" sqref="B19"/>
    </sheetView>
  </sheetViews>
  <sheetFormatPr defaultColWidth="0" defaultRowHeight="13.2" zeroHeight="1"/>
  <cols>
    <col min="1" max="1" width="3.44140625" style="813" customWidth="1"/>
    <col min="2" max="2" width="13.44140625" style="813" customWidth="1"/>
    <col min="3" max="3" width="2.44140625" style="813" customWidth="1"/>
    <col min="4" max="5" width="3.44140625" style="814" customWidth="1"/>
    <col min="6" max="6" width="65.44140625" style="814" customWidth="1"/>
    <col min="7" max="7" width="1.44140625" style="814" customWidth="1"/>
    <col min="8" max="8" width="3.44140625" style="815" hidden="1" customWidth="1"/>
    <col min="9" max="9" width="14" style="815" hidden="1" customWidth="1"/>
    <col min="10" max="16384" width="8.88671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65"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4">
      <c r="A15" s="822"/>
      <c r="B15" s="823"/>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4">
      <c r="A19" s="822"/>
      <c r="B19" s="823"/>
      <c r="D19" s="996" t="s">
        <v>1282</v>
      </c>
      <c r="E19" s="996"/>
      <c r="F19" s="996"/>
    </row>
    <row r="20" spans="1:7" ht="14.4">
      <c r="A20" s="822"/>
      <c r="B20" s="822"/>
      <c r="D20" s="825"/>
    </row>
    <row r="21" spans="1:7" ht="14.4">
      <c r="A21" s="822"/>
      <c r="B21" s="823"/>
      <c r="D21" s="1017" t="s">
        <v>1283</v>
      </c>
      <c r="E21" s="1017"/>
      <c r="F21" s="1017"/>
    </row>
    <row r="22" spans="1:7" ht="14.4">
      <c r="A22" s="822"/>
      <c r="B22" s="822"/>
      <c r="D22" s="1017"/>
      <c r="E22" s="1017"/>
      <c r="F22" s="1017"/>
    </row>
    <row r="23" spans="1:7"/>
    <row r="24" spans="1:7" ht="14.4">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4">
      <c r="A32" s="822"/>
      <c r="B32" s="822"/>
      <c r="D32" s="828"/>
    </row>
    <row r="33" spans="1:6" ht="14.4" customHeight="1">
      <c r="A33" s="822"/>
      <c r="B33" s="823" t="s">
        <v>329</v>
      </c>
      <c r="D33" s="974" t="s">
        <v>1474</v>
      </c>
      <c r="E33" s="974"/>
      <c r="F33" s="974"/>
    </row>
    <row r="34" spans="1:6" ht="14.4">
      <c r="A34" s="822"/>
      <c r="B34" s="822"/>
      <c r="D34" s="974"/>
      <c r="E34" s="974"/>
      <c r="F34" s="974"/>
    </row>
    <row r="35" spans="1:6" ht="14.4">
      <c r="A35" s="822"/>
      <c r="B35" s="822"/>
      <c r="D35" s="974"/>
      <c r="E35" s="974"/>
      <c r="F35" s="974"/>
    </row>
    <row r="36" spans="1:6" ht="14.4">
      <c r="A36" s="822"/>
      <c r="B36" s="822"/>
      <c r="D36" s="974"/>
      <c r="E36" s="974"/>
      <c r="F36" s="974"/>
    </row>
    <row r="37" spans="1:6" ht="14.4">
      <c r="A37" s="822"/>
      <c r="B37" s="822"/>
      <c r="D37" s="815"/>
    </row>
    <row r="38" spans="1:6" ht="14.4">
      <c r="A38" s="822"/>
      <c r="B38" s="823" t="s">
        <v>329</v>
      </c>
      <c r="D38" s="974" t="s">
        <v>1287</v>
      </c>
      <c r="E38" s="974"/>
      <c r="F38" s="974"/>
    </row>
    <row r="39" spans="1:6" ht="14.4">
      <c r="A39" s="822"/>
      <c r="B39" s="822"/>
      <c r="D39" s="974"/>
      <c r="E39" s="974"/>
      <c r="F39" s="974"/>
    </row>
    <row r="40" spans="1:6" ht="14.4">
      <c r="A40" s="822"/>
      <c r="B40" s="822"/>
      <c r="D40" s="974"/>
      <c r="E40" s="974"/>
      <c r="F40" s="974"/>
    </row>
    <row r="41" spans="1:6" ht="14.4">
      <c r="A41" s="822"/>
      <c r="B41" s="822"/>
      <c r="D41" s="974"/>
      <c r="E41" s="974"/>
      <c r="F41" s="974"/>
    </row>
    <row r="42" spans="1:6" ht="14.4">
      <c r="A42" s="822"/>
      <c r="B42" s="822"/>
      <c r="D42" s="974"/>
      <c r="E42" s="974"/>
      <c r="F42" s="974"/>
    </row>
    <row r="43" spans="1:6" ht="14.4">
      <c r="A43" s="822"/>
      <c r="B43" s="822"/>
      <c r="D43" s="805"/>
      <c r="E43" s="805"/>
      <c r="F43" s="805"/>
    </row>
    <row r="44" spans="1:6" ht="14.4">
      <c r="A44" s="822"/>
      <c r="B44" s="823" t="s">
        <v>329</v>
      </c>
      <c r="D44" s="974" t="s">
        <v>1288</v>
      </c>
      <c r="E44" s="974"/>
      <c r="F44" s="974"/>
    </row>
    <row r="45" spans="1:6" ht="14.4">
      <c r="A45" s="822"/>
      <c r="B45" s="822"/>
      <c r="D45" s="974"/>
      <c r="E45" s="974"/>
      <c r="F45" s="974"/>
    </row>
    <row r="46" spans="1:6" ht="14.4">
      <c r="A46" s="822"/>
      <c r="B46" s="822"/>
      <c r="D46" s="974"/>
      <c r="E46" s="974"/>
      <c r="F46" s="974"/>
    </row>
    <row r="47" spans="1:6" ht="23.25" customHeight="1">
      <c r="A47" s="822"/>
      <c r="B47" s="822"/>
      <c r="D47" s="974"/>
      <c r="E47" s="974"/>
      <c r="F47" s="974"/>
    </row>
    <row r="48" spans="1:6" ht="14.4">
      <c r="A48" s="822"/>
      <c r="B48" s="822"/>
      <c r="D48" s="810"/>
    </row>
    <row r="49" spans="1:7" ht="14.4" customHeight="1">
      <c r="A49" s="822"/>
      <c r="B49" s="823" t="s">
        <v>329</v>
      </c>
      <c r="D49" s="974" t="s">
        <v>1289</v>
      </c>
      <c r="E49" s="974"/>
      <c r="F49" s="974"/>
    </row>
    <row r="50" spans="1:7" ht="14.4">
      <c r="A50" s="822"/>
      <c r="B50" s="822"/>
      <c r="D50" s="974"/>
      <c r="E50" s="974"/>
      <c r="F50" s="974"/>
    </row>
    <row r="51" spans="1:7" ht="14.4">
      <c r="A51" s="822"/>
      <c r="B51" s="822"/>
      <c r="D51" s="974"/>
      <c r="E51" s="974"/>
      <c r="F51" s="974"/>
    </row>
    <row r="52" spans="1:7" s="642" customFormat="1" ht="14.4">
      <c r="A52" s="822"/>
      <c r="B52" s="822"/>
      <c r="C52" s="829"/>
      <c r="D52" s="827"/>
      <c r="E52" s="717"/>
      <c r="F52" s="717"/>
      <c r="G52" s="717"/>
    </row>
    <row r="53" spans="1:7" s="642" customFormat="1" ht="14.4">
      <c r="A53" s="830"/>
      <c r="B53" s="823" t="s">
        <v>329</v>
      </c>
      <c r="C53" s="831"/>
      <c r="D53" s="974" t="s">
        <v>1290</v>
      </c>
      <c r="E53" s="974"/>
      <c r="F53" s="974"/>
      <c r="G53" s="717"/>
    </row>
    <row r="54" spans="1:7" s="642" customFormat="1" ht="14.4">
      <c r="A54" s="830"/>
      <c r="B54" s="830"/>
      <c r="C54" s="831"/>
      <c r="D54" s="974"/>
      <c r="E54" s="974"/>
      <c r="F54" s="974"/>
      <c r="G54" s="717"/>
    </row>
    <row r="55" spans="1:7" s="816" customFormat="1">
      <c r="A55" s="826"/>
      <c r="B55" s="826"/>
      <c r="C55" s="826"/>
      <c r="D55" s="757"/>
      <c r="E55" s="827"/>
      <c r="F55" s="827"/>
      <c r="G55" s="827"/>
    </row>
    <row r="56" spans="1:7" ht="14.4">
      <c r="A56" s="822"/>
      <c r="B56" s="823" t="s">
        <v>329</v>
      </c>
      <c r="D56" s="974" t="s">
        <v>1291</v>
      </c>
      <c r="E56" s="974"/>
      <c r="F56" s="974"/>
    </row>
    <row r="57" spans="1:7">
      <c r="D57" s="974"/>
      <c r="E57" s="974"/>
      <c r="F57" s="974"/>
    </row>
    <row r="58" spans="1:7">
      <c r="D58" s="974"/>
      <c r="E58" s="974"/>
      <c r="F58" s="974"/>
    </row>
    <row r="59" spans="1:7">
      <c r="D59" s="717"/>
    </row>
    <row r="60" spans="1:7" ht="14.4">
      <c r="A60" s="822"/>
      <c r="B60" s="823" t="s">
        <v>329</v>
      </c>
      <c r="D60" s="974" t="s">
        <v>1292</v>
      </c>
      <c r="E60" s="974"/>
      <c r="F60" s="974"/>
    </row>
    <row r="61" spans="1:7">
      <c r="D61" s="974"/>
      <c r="E61" s="974"/>
      <c r="F61" s="974"/>
    </row>
    <row r="62" spans="1:7"/>
    <row r="63" spans="1:7" ht="14.4">
      <c r="A63" s="822"/>
      <c r="B63" s="823" t="s">
        <v>329</v>
      </c>
      <c r="D63" s="974" t="s">
        <v>1293</v>
      </c>
      <c r="E63" s="974"/>
      <c r="F63" s="974"/>
    </row>
    <row r="64" spans="1:7">
      <c r="D64" s="974"/>
      <c r="E64" s="974"/>
      <c r="F64" s="974"/>
    </row>
    <row r="65" spans="1:7">
      <c r="D65" s="974"/>
      <c r="E65" s="974"/>
      <c r="F65" s="974"/>
    </row>
    <row r="66" spans="1:7">
      <c r="D66" s="815"/>
    </row>
    <row r="67" spans="1:7" ht="14.4">
      <c r="A67" s="822"/>
      <c r="B67" s="823" t="s">
        <v>329</v>
      </c>
      <c r="D67" s="1017" t="s">
        <v>1294</v>
      </c>
      <c r="E67" s="1017"/>
      <c r="F67" s="1017"/>
    </row>
    <row r="68" spans="1:7">
      <c r="D68" s="1017"/>
      <c r="E68" s="1017"/>
      <c r="F68" s="1017"/>
    </row>
    <row r="69" spans="1:7" ht="14.4">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65" customHeight="1">
      <c r="A75" s="822"/>
      <c r="B75" s="823" t="s">
        <v>329</v>
      </c>
      <c r="D75" s="1017" t="s">
        <v>1527</v>
      </c>
      <c r="E75" s="1017"/>
      <c r="F75" s="1017"/>
    </row>
    <row r="76" spans="1:7" ht="14.4">
      <c r="A76" s="822"/>
      <c r="B76" s="822"/>
      <c r="D76" s="1017"/>
      <c r="E76" s="1017"/>
      <c r="F76" s="1017"/>
    </row>
    <row r="77" spans="1:7" ht="14.4">
      <c r="A77" s="822"/>
      <c r="B77" s="822"/>
      <c r="D77" s="1017"/>
      <c r="E77" s="1017"/>
      <c r="F77" s="1017"/>
    </row>
    <row r="78" spans="1:7" ht="14.4">
      <c r="A78" s="822"/>
      <c r="B78" s="822"/>
      <c r="D78" s="1017"/>
      <c r="E78" s="1017"/>
      <c r="F78" s="1017"/>
    </row>
    <row r="79" spans="1:7" ht="14.4">
      <c r="A79" s="822"/>
      <c r="B79" s="822"/>
      <c r="D79" s="1017"/>
      <c r="E79" s="1017"/>
      <c r="F79" s="1017"/>
    </row>
    <row r="80" spans="1:7" ht="14.4">
      <c r="A80" s="822"/>
      <c r="B80" s="822"/>
      <c r="D80" s="1017"/>
      <c r="E80" s="1017"/>
      <c r="F80" s="1017"/>
    </row>
    <row r="81" spans="1:6" ht="14.4">
      <c r="A81" s="822"/>
      <c r="B81" s="822"/>
      <c r="D81" s="1017"/>
      <c r="E81" s="1017"/>
      <c r="F81" s="1017"/>
    </row>
    <row r="82" spans="1:6" ht="14.4">
      <c r="A82" s="822"/>
      <c r="B82" s="822"/>
      <c r="D82" s="1017"/>
      <c r="E82" s="1017"/>
      <c r="F82" s="1017"/>
    </row>
    <row r="83" spans="1:6" s="815" customFormat="1" ht="14.4">
      <c r="A83" s="822"/>
      <c r="B83" s="822"/>
      <c r="C83" s="813"/>
      <c r="D83" s="1017"/>
      <c r="E83" s="1017"/>
      <c r="F83" s="1017"/>
    </row>
    <row r="84" spans="1:6" s="815" customFormat="1" ht="14.4" customHeight="1">
      <c r="A84" s="822"/>
      <c r="B84" s="823" t="s">
        <v>329</v>
      </c>
      <c r="C84" s="813"/>
      <c r="D84" s="1017" t="s">
        <v>1446</v>
      </c>
      <c r="E84" s="1017"/>
      <c r="F84" s="1017"/>
    </row>
    <row r="85" spans="1:6" s="815" customFormat="1" ht="14.4">
      <c r="A85" s="822"/>
      <c r="B85" s="822"/>
      <c r="C85" s="813"/>
      <c r="D85" s="1017"/>
      <c r="E85" s="1017"/>
      <c r="F85" s="1017"/>
    </row>
    <row r="86" spans="1:6" s="815" customFormat="1" ht="14.4">
      <c r="A86" s="822"/>
      <c r="B86" s="822"/>
      <c r="C86" s="813"/>
      <c r="D86" s="1017"/>
      <c r="E86" s="1017"/>
      <c r="F86" s="1017"/>
    </row>
    <row r="87" spans="1:6" s="815" customFormat="1" ht="14.4">
      <c r="A87" s="822"/>
      <c r="B87" s="822"/>
      <c r="C87" s="813"/>
      <c r="D87" s="1017"/>
      <c r="E87" s="1017"/>
      <c r="F87" s="1017"/>
    </row>
    <row r="88" spans="1:6" s="815" customFormat="1" ht="14.4">
      <c r="A88" s="822"/>
      <c r="B88" s="822"/>
      <c r="C88" s="813"/>
      <c r="D88" s="1017"/>
      <c r="E88" s="1017"/>
      <c r="F88" s="1017"/>
    </row>
    <row r="89" spans="1:6" s="815" customFormat="1" ht="14.4">
      <c r="A89" s="822"/>
      <c r="B89" s="822"/>
      <c r="C89" s="813"/>
      <c r="D89" s="1017"/>
      <c r="E89" s="1017"/>
      <c r="F89" s="1017"/>
    </row>
    <row r="90" spans="1:6" s="815" customFormat="1" ht="14.4">
      <c r="A90" s="822"/>
      <c r="B90" s="822"/>
      <c r="C90" s="813"/>
      <c r="D90" s="1017"/>
      <c r="E90" s="1017"/>
      <c r="F90" s="1017"/>
    </row>
    <row r="91" spans="1:6" s="815" customFormat="1" ht="14.4">
      <c r="A91" s="822"/>
      <c r="B91" s="822"/>
      <c r="C91" s="813"/>
      <c r="D91" s="1017"/>
      <c r="E91" s="1017"/>
      <c r="F91" s="1017"/>
    </row>
    <row r="92" spans="1:6" s="815" customFormat="1" ht="14.4">
      <c r="A92" s="822"/>
      <c r="B92" s="822"/>
      <c r="C92" s="813"/>
      <c r="D92" s="1017"/>
      <c r="E92" s="1017"/>
      <c r="F92" s="1017"/>
    </row>
    <row r="93" spans="1:6" s="815" customFormat="1" ht="14.4">
      <c r="A93" s="822"/>
      <c r="B93" s="822"/>
      <c r="C93" s="813"/>
      <c r="D93" s="1017"/>
      <c r="E93" s="1017"/>
      <c r="F93" s="1017"/>
    </row>
    <row r="94" spans="1:6" s="815" customFormat="1" ht="14.4">
      <c r="A94" s="822"/>
      <c r="B94" s="822"/>
      <c r="C94" s="813"/>
      <c r="D94" s="1017"/>
      <c r="E94" s="1017"/>
      <c r="F94" s="1017"/>
    </row>
    <row r="95" spans="1:6" s="815" customFormat="1" ht="14.4">
      <c r="A95" s="822"/>
      <c r="B95" s="822"/>
      <c r="C95" s="813"/>
      <c r="D95" s="1017"/>
      <c r="E95" s="1017"/>
      <c r="F95" s="1017"/>
    </row>
    <row r="96" spans="1:6" s="815" customFormat="1" ht="14.4">
      <c r="A96" s="822"/>
      <c r="B96" s="822"/>
      <c r="C96" s="813"/>
      <c r="D96" s="1017"/>
      <c r="E96" s="1017"/>
      <c r="F96" s="1017"/>
    </row>
    <row r="97" spans="1:11" ht="14.4">
      <c r="A97" s="822"/>
      <c r="B97" s="822"/>
      <c r="D97" s="1017"/>
      <c r="E97" s="1017"/>
      <c r="F97" s="1017"/>
    </row>
    <row r="98" spans="1:11" ht="14.4">
      <c r="A98" s="822"/>
      <c r="B98" s="822"/>
      <c r="D98" s="1017"/>
      <c r="E98" s="1017"/>
      <c r="F98" s="1017"/>
    </row>
    <row r="99" spans="1:11" ht="14.4">
      <c r="A99" s="822"/>
      <c r="B99" s="822"/>
      <c r="D99" s="947"/>
      <c r="E99" s="947"/>
      <c r="F99" s="947"/>
    </row>
    <row r="100" spans="1:11" ht="14.25" customHeight="1">
      <c r="A100" s="822"/>
      <c r="B100" s="823" t="s">
        <v>329</v>
      </c>
      <c r="D100" s="1015" t="s">
        <v>1301</v>
      </c>
      <c r="E100" s="1015"/>
      <c r="F100" s="1015"/>
    </row>
    <row r="101" spans="1:11" ht="14.4">
      <c r="A101" s="822"/>
      <c r="B101" s="822"/>
      <c r="D101" s="1015"/>
      <c r="E101" s="1015"/>
      <c r="F101" s="1015"/>
    </row>
    <row r="102" spans="1:11" ht="14.4">
      <c r="A102" s="822"/>
      <c r="B102" s="822"/>
      <c r="D102" s="1015"/>
      <c r="E102" s="1015"/>
      <c r="F102" s="1015"/>
    </row>
    <row r="103" spans="1:11" ht="14.4">
      <c r="A103" s="822"/>
      <c r="B103" s="822"/>
      <c r="D103" s="1015"/>
      <c r="E103" s="1015"/>
      <c r="F103" s="1015"/>
    </row>
    <row r="104" spans="1:11" ht="14.4">
      <c r="A104" s="822"/>
      <c r="B104" s="822"/>
      <c r="D104" s="1015"/>
      <c r="E104" s="1015"/>
      <c r="F104" s="1015"/>
    </row>
    <row r="105" spans="1:11" ht="14.4">
      <c r="A105" s="822"/>
      <c r="B105" s="822"/>
      <c r="D105" s="1015"/>
      <c r="E105" s="1015"/>
      <c r="F105" s="1015"/>
    </row>
    <row r="106" spans="1:11" ht="14.4">
      <c r="A106" s="822"/>
      <c r="B106" s="822"/>
      <c r="D106" s="1015"/>
      <c r="E106" s="1015"/>
      <c r="F106" s="1015"/>
    </row>
    <row r="107" spans="1:11" ht="14.4">
      <c r="A107" s="822"/>
      <c r="B107" s="822"/>
      <c r="D107" s="1015"/>
      <c r="E107" s="1015"/>
      <c r="F107" s="1015"/>
    </row>
    <row r="108" spans="1:11">
      <c r="C108" s="746"/>
      <c r="D108" s="948"/>
      <c r="E108" s="948"/>
      <c r="F108" s="948"/>
      <c r="G108" s="746"/>
      <c r="H108" s="746"/>
      <c r="I108" s="746"/>
      <c r="J108" s="746"/>
      <c r="K108" s="746"/>
    </row>
    <row r="109" spans="1:11" ht="14.4">
      <c r="A109" s="822"/>
      <c r="B109" s="823" t="s">
        <v>329</v>
      </c>
      <c r="C109" s="746"/>
      <c r="D109" s="1015" t="s">
        <v>1303</v>
      </c>
      <c r="E109" s="1015"/>
      <c r="F109" s="1015"/>
      <c r="G109" s="746"/>
      <c r="H109" s="746"/>
      <c r="I109" s="746"/>
      <c r="J109" s="746"/>
      <c r="K109" s="746"/>
    </row>
    <row r="110" spans="1:11" ht="14.4">
      <c r="A110" s="822"/>
      <c r="B110" s="822"/>
      <c r="C110" s="746"/>
      <c r="D110" s="1015"/>
      <c r="E110" s="1015"/>
      <c r="F110" s="1015"/>
      <c r="G110" s="746"/>
      <c r="H110" s="746"/>
      <c r="I110" s="746"/>
      <c r="J110" s="746"/>
      <c r="K110" s="746"/>
    </row>
    <row r="111" spans="1:11"/>
    <row r="112" spans="1:11" ht="14.4">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4">
      <c r="A118" s="822"/>
      <c r="B118" s="823" t="s">
        <v>329</v>
      </c>
      <c r="C118" s="829"/>
      <c r="D118" s="974" t="s">
        <v>1305</v>
      </c>
      <c r="E118" s="974"/>
      <c r="F118" s="974"/>
      <c r="G118" s="696"/>
    </row>
    <row r="119" spans="1:7" s="837" customFormat="1" ht="13.65" customHeight="1">
      <c r="A119" s="834"/>
      <c r="B119" s="834"/>
      <c r="C119" s="835"/>
      <c r="D119" s="974"/>
      <c r="E119" s="974"/>
      <c r="F119" s="974"/>
      <c r="G119" s="836"/>
    </row>
    <row r="120" spans="1:7" s="746" customFormat="1" ht="13.65" customHeight="1">
      <c r="A120" s="813"/>
      <c r="B120" s="813"/>
      <c r="C120" s="829"/>
      <c r="D120" s="974"/>
      <c r="E120" s="974"/>
      <c r="F120" s="974"/>
      <c r="G120" s="696"/>
    </row>
    <row r="121" spans="1:7" s="746" customFormat="1" ht="13.65" customHeight="1">
      <c r="A121" s="813"/>
      <c r="B121" s="813"/>
      <c r="C121" s="829"/>
      <c r="D121" s="974"/>
      <c r="E121" s="974"/>
      <c r="F121" s="974"/>
      <c r="G121" s="696"/>
    </row>
    <row r="122" spans="1:7" s="746" customFormat="1" ht="13.65" customHeight="1">
      <c r="A122" s="813"/>
      <c r="B122" s="813"/>
      <c r="C122" s="829"/>
      <c r="D122" s="974"/>
      <c r="E122" s="974"/>
      <c r="F122" s="974"/>
      <c r="G122" s="696"/>
    </row>
    <row r="123" spans="1:7" s="746" customFormat="1" ht="13.65" customHeight="1">
      <c r="A123" s="838"/>
      <c r="B123" s="838"/>
      <c r="C123" s="829"/>
      <c r="D123" s="974"/>
      <c r="E123" s="974"/>
      <c r="F123" s="974"/>
      <c r="G123" s="696"/>
    </row>
    <row r="124" spans="1:7" s="642" customFormat="1" ht="13.65" customHeight="1">
      <c r="A124" s="826"/>
      <c r="B124" s="826"/>
      <c r="C124" s="831"/>
      <c r="D124" s="974"/>
      <c r="E124" s="974"/>
      <c r="F124" s="974"/>
      <c r="G124" s="717"/>
    </row>
    <row r="125" spans="1:7" s="642" customFormat="1" ht="13.65" customHeight="1">
      <c r="A125" s="826"/>
      <c r="B125" s="826"/>
      <c r="C125" s="831"/>
      <c r="D125" s="974"/>
      <c r="E125" s="974"/>
      <c r="F125" s="974"/>
      <c r="G125" s="717"/>
    </row>
    <row r="126" spans="1:7" s="746" customFormat="1" ht="13.65" customHeight="1">
      <c r="A126" s="813"/>
      <c r="B126" s="813"/>
      <c r="C126" s="829"/>
      <c r="D126" s="974"/>
      <c r="E126" s="974"/>
      <c r="F126" s="974"/>
      <c r="G126" s="696"/>
    </row>
    <row r="127" spans="1:7" s="746" customFormat="1" ht="13.65" customHeight="1">
      <c r="A127" s="813"/>
      <c r="B127" s="813"/>
      <c r="C127" s="829"/>
      <c r="D127" s="974"/>
      <c r="E127" s="974"/>
      <c r="F127" s="974"/>
      <c r="G127" s="696"/>
    </row>
    <row r="128" spans="1:7" s="746" customFormat="1" ht="13.65" customHeight="1">
      <c r="A128" s="813"/>
      <c r="B128" s="813"/>
      <c r="C128" s="829"/>
      <c r="D128" s="974"/>
      <c r="E128" s="974"/>
      <c r="F128" s="974"/>
      <c r="G128" s="696"/>
    </row>
    <row r="129" spans="1:7" s="746" customFormat="1" ht="13.65" customHeight="1">
      <c r="A129" s="813"/>
      <c r="B129" s="813"/>
      <c r="C129" s="829"/>
      <c r="D129" s="974"/>
      <c r="E129" s="974"/>
      <c r="F129" s="974"/>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51" t="s">
        <v>1413</v>
      </c>
      <c r="E131" s="1051"/>
      <c r="F131" s="1051"/>
      <c r="G131" s="696"/>
    </row>
    <row r="132" spans="1:7" s="746" customFormat="1" ht="13.65" customHeight="1">
      <c r="A132" s="813"/>
      <c r="B132" s="813"/>
      <c r="C132" s="829"/>
      <c r="D132" s="1051"/>
      <c r="E132" s="1051"/>
      <c r="F132" s="1051"/>
      <c r="G132" s="696"/>
    </row>
    <row r="133" spans="1:7" s="746" customFormat="1" ht="13.65" customHeight="1">
      <c r="A133" s="813"/>
      <c r="B133" s="813"/>
      <c r="C133" s="829"/>
      <c r="D133" s="1051"/>
      <c r="E133" s="1051"/>
      <c r="F133" s="1051"/>
      <c r="G133" s="696"/>
    </row>
    <row r="134" spans="1:7" s="746" customFormat="1" ht="13.65" customHeight="1">
      <c r="A134" s="813"/>
      <c r="B134" s="813"/>
      <c r="C134" s="829"/>
      <c r="D134" s="1051"/>
      <c r="E134" s="1051"/>
      <c r="F134" s="1051"/>
      <c r="G134" s="696"/>
    </row>
    <row r="135" spans="1:7" s="746" customFormat="1" ht="13.65" customHeight="1">
      <c r="A135" s="813"/>
      <c r="B135" s="813"/>
      <c r="C135" s="829"/>
      <c r="D135" s="1051"/>
      <c r="E135" s="1051"/>
      <c r="F135" s="1051"/>
      <c r="G135" s="696"/>
    </row>
    <row r="136" spans="1:7" s="746" customFormat="1" ht="13.65" customHeight="1">
      <c r="A136" s="813"/>
      <c r="B136" s="813"/>
      <c r="C136" s="829"/>
      <c r="D136" s="1051"/>
      <c r="E136" s="1051"/>
      <c r="F136" s="1051"/>
      <c r="G136" s="696"/>
    </row>
    <row r="137" spans="1:7" s="746" customFormat="1" ht="13.65" customHeight="1">
      <c r="A137" s="813"/>
      <c r="B137" s="813"/>
      <c r="C137" s="829"/>
      <c r="D137" s="1051"/>
      <c r="E137" s="1051"/>
      <c r="F137" s="1051"/>
      <c r="G137" s="696"/>
    </row>
    <row r="138" spans="1:7" s="746" customFormat="1" ht="13.65" customHeight="1">
      <c r="A138" s="813"/>
      <c r="B138" s="813"/>
      <c r="C138" s="829"/>
      <c r="D138" s="1051"/>
      <c r="E138" s="1051"/>
      <c r="F138" s="1051"/>
      <c r="G138" s="696"/>
    </row>
    <row r="139" spans="1:7" s="746" customFormat="1" ht="13.65" customHeight="1">
      <c r="A139" s="813"/>
      <c r="B139" s="813"/>
      <c r="C139" s="829"/>
      <c r="D139" s="1051"/>
      <c r="E139" s="1051"/>
      <c r="F139" s="1051"/>
      <c r="G139" s="696"/>
    </row>
    <row r="140" spans="1:7" s="746" customFormat="1" ht="13.65" customHeight="1">
      <c r="A140" s="813"/>
      <c r="B140" s="813"/>
      <c r="C140" s="829"/>
      <c r="D140" s="1051"/>
      <c r="E140" s="1051"/>
      <c r="F140" s="1051"/>
      <c r="G140" s="696"/>
    </row>
    <row r="141" spans="1:7" s="746" customFormat="1" ht="13.65" customHeight="1">
      <c r="A141" s="813"/>
      <c r="B141" s="813"/>
      <c r="C141" s="829"/>
      <c r="D141" s="1051"/>
      <c r="E141" s="1051"/>
      <c r="F141" s="1051"/>
      <c r="G141" s="696"/>
    </row>
    <row r="142" spans="1:7" s="746" customFormat="1" ht="13.65" customHeight="1">
      <c r="A142" s="813"/>
      <c r="B142" s="813"/>
      <c r="C142" s="829"/>
      <c r="D142" s="1051"/>
      <c r="E142" s="1051"/>
      <c r="F142" s="1051"/>
      <c r="G142" s="696"/>
    </row>
    <row r="143" spans="1:7" s="746" customFormat="1" ht="13.65" customHeight="1">
      <c r="A143" s="813"/>
      <c r="B143" s="813"/>
      <c r="C143" s="829"/>
      <c r="D143" s="1051"/>
      <c r="E143" s="1051"/>
      <c r="F143" s="1051"/>
      <c r="G143" s="696"/>
    </row>
    <row r="144" spans="1:7" s="746" customFormat="1" ht="13.65" customHeight="1">
      <c r="A144" s="813"/>
      <c r="B144" s="813"/>
      <c r="C144" s="829"/>
      <c r="D144" s="1051"/>
      <c r="E144" s="1051"/>
      <c r="F144" s="1051"/>
      <c r="G144" s="696"/>
    </row>
    <row r="145" spans="1:7" s="746" customFormat="1" ht="13.65" customHeight="1">
      <c r="A145" s="813"/>
      <c r="B145" s="813"/>
      <c r="C145" s="829"/>
      <c r="D145" s="1051"/>
      <c r="E145" s="1051"/>
      <c r="F145" s="1051"/>
      <c r="G145" s="696"/>
    </row>
    <row r="146" spans="1:7" s="746" customFormat="1" ht="13.65" customHeight="1">
      <c r="A146" s="813"/>
      <c r="B146" s="813"/>
      <c r="C146" s="829"/>
      <c r="D146" s="1051"/>
      <c r="E146" s="1051"/>
      <c r="F146" s="1051"/>
      <c r="G146" s="696"/>
    </row>
    <row r="147" spans="1:7" s="746" customFormat="1" ht="13.65" customHeight="1">
      <c r="A147" s="813"/>
      <c r="B147" s="813"/>
      <c r="C147" s="829"/>
      <c r="D147" s="1051"/>
      <c r="E147" s="1051"/>
      <c r="F147" s="1051"/>
      <c r="G147" s="696"/>
    </row>
    <row r="148" spans="1:7" s="746" customFormat="1" ht="13.65" customHeight="1">
      <c r="A148" s="813"/>
      <c r="B148" s="813"/>
      <c r="C148" s="829"/>
      <c r="D148" s="1051"/>
      <c r="E148" s="1051"/>
      <c r="F148" s="1051"/>
      <c r="G148" s="696"/>
    </row>
    <row r="149" spans="1:7" s="746" customFormat="1" ht="13.65" customHeight="1">
      <c r="A149" s="813"/>
      <c r="B149" s="813"/>
      <c r="C149" s="829"/>
      <c r="D149" s="1082" t="s">
        <v>1456</v>
      </c>
      <c r="E149" s="1082"/>
      <c r="F149" s="1082"/>
      <c r="G149" s="887"/>
    </row>
    <row r="150" spans="1:7" s="746" customFormat="1" ht="13.65" customHeight="1">
      <c r="A150" s="813"/>
      <c r="B150" s="813"/>
      <c r="C150" s="829"/>
      <c r="D150" s="1081"/>
      <c r="E150" s="1081"/>
      <c r="F150" s="1081"/>
      <c r="G150" s="1081"/>
    </row>
    <row r="151" spans="1:7" s="746" customFormat="1" ht="14.4" customHeight="1">
      <c r="A151" s="838"/>
      <c r="B151" s="823" t="s">
        <v>329</v>
      </c>
      <c r="C151" s="839"/>
      <c r="D151" s="1016" t="s">
        <v>1488</v>
      </c>
      <c r="E151" s="1016"/>
      <c r="F151" s="1016"/>
      <c r="G151" s="840"/>
    </row>
    <row r="152" spans="1:7" s="746" customFormat="1" ht="14.4" customHeight="1">
      <c r="A152" s="838"/>
      <c r="B152" s="838"/>
      <c r="C152" s="839"/>
      <c r="D152" s="1016"/>
      <c r="E152" s="1016"/>
      <c r="F152" s="1016"/>
      <c r="G152" s="840"/>
    </row>
    <row r="153" spans="1:7" s="746" customFormat="1" ht="13.65" customHeight="1">
      <c r="A153" s="838"/>
      <c r="B153" s="838"/>
      <c r="C153" s="839"/>
      <c r="D153" s="1016"/>
      <c r="E153" s="1016"/>
      <c r="F153" s="1016"/>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59" t="s">
        <v>1307</v>
      </c>
      <c r="E155" s="959"/>
      <c r="F155" s="959"/>
      <c r="G155" s="840"/>
    </row>
    <row r="156" spans="1:7" s="746" customFormat="1" ht="13.65" customHeight="1">
      <c r="A156" s="838"/>
      <c r="B156" s="838"/>
      <c r="C156" s="839"/>
      <c r="D156" s="959"/>
      <c r="E156" s="959"/>
      <c r="F156" s="959"/>
      <c r="G156" s="840"/>
    </row>
    <row r="157" spans="1:7" s="746" customFormat="1" ht="13.65" customHeight="1">
      <c r="A157" s="838"/>
      <c r="B157" s="838"/>
      <c r="C157" s="839"/>
      <c r="D157" s="959"/>
      <c r="E157" s="959"/>
      <c r="F157" s="959"/>
      <c r="G157" s="840"/>
    </row>
    <row r="158" spans="1:7" s="746" customFormat="1" ht="13.65" customHeight="1">
      <c r="A158" s="838"/>
      <c r="B158" s="838"/>
      <c r="C158" s="839"/>
      <c r="D158" s="959"/>
      <c r="E158" s="959"/>
      <c r="F158" s="959"/>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04" t="s">
        <v>1308</v>
      </c>
      <c r="E160" s="1004"/>
      <c r="F160" s="1004"/>
      <c r="G160" s="696"/>
    </row>
    <row r="161" spans="1:7" s="746" customFormat="1" ht="13.65" customHeight="1">
      <c r="A161" s="813"/>
      <c r="B161" s="813"/>
      <c r="C161" s="829"/>
      <c r="D161" s="1004"/>
      <c r="E161" s="1004"/>
      <c r="F161" s="1004"/>
      <c r="G161" s="696"/>
    </row>
    <row r="162" spans="1:7" s="746" customFormat="1" ht="13.65" customHeight="1">
      <c r="A162" s="813"/>
      <c r="B162" s="813"/>
      <c r="C162" s="829"/>
      <c r="D162" s="1004"/>
      <c r="E162" s="1004"/>
      <c r="F162" s="1004"/>
      <c r="G162" s="696"/>
    </row>
    <row r="163" spans="1:7" s="746" customFormat="1" ht="13.65"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65"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4">
      <c r="A174" s="822"/>
      <c r="B174" s="823" t="s">
        <v>329</v>
      </c>
      <c r="C174" s="843"/>
      <c r="D174" s="1017" t="s">
        <v>1310</v>
      </c>
      <c r="E174" s="1017"/>
      <c r="F174" s="1017"/>
      <c r="G174" s="844"/>
    </row>
    <row r="175" spans="1:7" ht="14.4">
      <c r="A175" s="822"/>
      <c r="B175" s="822"/>
      <c r="C175" s="843"/>
      <c r="D175" s="1017"/>
      <c r="E175" s="1017"/>
      <c r="F175" s="1017"/>
      <c r="G175" s="844"/>
    </row>
    <row r="176" spans="1:7" ht="14.4">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4">
      <c r="A182" s="822"/>
      <c r="B182" s="823" t="s">
        <v>329</v>
      </c>
      <c r="C182" s="831"/>
      <c r="D182" s="1017" t="s">
        <v>1476</v>
      </c>
      <c r="E182" s="1017"/>
      <c r="F182" s="1017"/>
      <c r="G182" s="717"/>
    </row>
    <row r="183" spans="1:7" s="642" customFormat="1" ht="14.4" customHeight="1">
      <c r="A183" s="822"/>
      <c r="C183" s="831"/>
      <c r="D183" s="1017"/>
      <c r="E183" s="1017"/>
      <c r="F183" s="1017"/>
      <c r="G183" s="717"/>
    </row>
    <row r="184" spans="1:7" s="642" customFormat="1" ht="14.4">
      <c r="A184" s="822"/>
      <c r="B184" s="843"/>
      <c r="C184" s="831"/>
      <c r="D184" s="1017"/>
      <c r="E184" s="1017"/>
      <c r="F184" s="1017"/>
      <c r="G184" s="717"/>
    </row>
    <row r="185" spans="1:7" s="642" customFormat="1" ht="14.4">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65" customHeight="1">
      <c r="A192" s="841"/>
      <c r="C192" s="841"/>
      <c r="D192" s="972" t="s">
        <v>592</v>
      </c>
      <c r="E192" s="972"/>
      <c r="F192" s="972"/>
    </row>
    <row r="193" spans="1:6" ht="14.4">
      <c r="A193" s="822"/>
      <c r="B193" s="823" t="s">
        <v>329</v>
      </c>
      <c r="D193" s="1017" t="s">
        <v>1328</v>
      </c>
      <c r="E193" s="1017"/>
      <c r="F193" s="1017"/>
    </row>
    <row r="194" spans="1:6" ht="14.4">
      <c r="A194" s="822"/>
      <c r="B194" s="822"/>
      <c r="D194" s="1017"/>
      <c r="E194" s="1017"/>
      <c r="F194" s="1017"/>
    </row>
    <row r="195" spans="1:6" ht="14.4">
      <c r="A195" s="822"/>
      <c r="B195" s="822"/>
      <c r="D195" s="1017"/>
      <c r="E195" s="1017"/>
      <c r="F195" s="1017"/>
    </row>
    <row r="196" spans="1:6" ht="5.0999999999999996" customHeight="1">
      <c r="A196" s="822"/>
      <c r="B196" s="822"/>
      <c r="D196" s="810"/>
      <c r="E196" s="825"/>
      <c r="F196" s="825"/>
    </row>
    <row r="197" spans="1:6" ht="14.4">
      <c r="A197" s="822"/>
      <c r="B197" s="822"/>
      <c r="D197" s="1017" t="s">
        <v>1329</v>
      </c>
      <c r="E197" s="1017"/>
      <c r="F197" s="1017"/>
    </row>
    <row r="198" spans="1:6" ht="14.4">
      <c r="A198" s="822"/>
      <c r="B198" s="822"/>
      <c r="D198" s="1017"/>
      <c r="E198" s="1017"/>
      <c r="F198" s="1017"/>
    </row>
    <row r="199" spans="1:6" ht="14.4">
      <c r="A199" s="822"/>
      <c r="B199" s="822"/>
      <c r="D199" s="1017"/>
      <c r="E199" s="1017"/>
      <c r="F199" s="1017"/>
    </row>
    <row r="200" spans="1:6" ht="14.4">
      <c r="A200" s="822"/>
      <c r="B200" s="822"/>
      <c r="D200" s="1017"/>
      <c r="E200" s="1017"/>
      <c r="F200" s="1017"/>
    </row>
    <row r="201" spans="1:6" ht="14.4">
      <c r="A201" s="822"/>
      <c r="B201" s="822"/>
      <c r="D201" s="1017"/>
      <c r="E201" s="1017"/>
      <c r="F201" s="1017"/>
    </row>
    <row r="202" spans="1:6" ht="14.4">
      <c r="A202" s="822"/>
      <c r="B202" s="822"/>
      <c r="D202" s="825"/>
      <c r="E202" s="825"/>
      <c r="F202" s="825"/>
    </row>
    <row r="203" spans="1:6" ht="14.4">
      <c r="A203" s="822"/>
      <c r="B203" s="823" t="s">
        <v>329</v>
      </c>
      <c r="D203" s="1056" t="s">
        <v>1330</v>
      </c>
      <c r="E203" s="1056"/>
      <c r="F203" s="1056"/>
    </row>
    <row r="204" spans="1:6" ht="14.4">
      <c r="A204" s="822"/>
      <c r="B204" s="822"/>
      <c r="D204" s="1056"/>
      <c r="E204" s="1056"/>
      <c r="F204" s="1056"/>
    </row>
    <row r="205" spans="1:6" ht="14.4">
      <c r="A205" s="822"/>
      <c r="B205" s="822"/>
      <c r="D205" s="1058" t="s">
        <v>992</v>
      </c>
      <c r="E205" s="1058"/>
      <c r="F205" s="1058"/>
    </row>
    <row r="206" spans="1:6" ht="14.4">
      <c r="A206" s="822"/>
      <c r="B206" s="822"/>
      <c r="D206" s="825"/>
      <c r="E206" s="825"/>
      <c r="F206" s="825"/>
    </row>
    <row r="207" spans="1:6" ht="14.4" customHeight="1">
      <c r="A207" s="822"/>
      <c r="B207" s="823" t="s">
        <v>329</v>
      </c>
      <c r="D207" s="1056" t="s">
        <v>1332</v>
      </c>
      <c r="E207" s="1056"/>
      <c r="F207" s="1056"/>
    </row>
    <row r="208" spans="1:6" ht="14.4">
      <c r="A208" s="822"/>
      <c r="B208" s="822"/>
      <c r="D208" s="1056"/>
      <c r="E208" s="1056"/>
      <c r="F208" s="1056"/>
    </row>
    <row r="209" spans="1:7" ht="14.4">
      <c r="A209" s="822"/>
      <c r="B209" s="822"/>
      <c r="D209" s="1056"/>
      <c r="E209" s="1056"/>
      <c r="F209" s="1056"/>
    </row>
    <row r="210" spans="1:7" ht="14.4">
      <c r="A210" s="822"/>
      <c r="B210" s="822"/>
      <c r="D210" s="1056"/>
      <c r="E210" s="1056"/>
      <c r="F210" s="1056"/>
    </row>
    <row r="211" spans="1:7" ht="14.4">
      <c r="A211" s="822"/>
      <c r="B211" s="822"/>
      <c r="D211" s="1056"/>
      <c r="E211" s="1056"/>
      <c r="F211" s="1056"/>
    </row>
    <row r="212" spans="1:7">
      <c r="D212" s="825"/>
      <c r="E212" s="825"/>
      <c r="F212" s="825"/>
    </row>
    <row r="213" spans="1:7" ht="14.4">
      <c r="A213" s="822"/>
      <c r="B213" s="823" t="s">
        <v>329</v>
      </c>
      <c r="D213" s="1017" t="s">
        <v>1331</v>
      </c>
      <c r="E213" s="1017"/>
      <c r="F213" s="1017"/>
    </row>
    <row r="214" spans="1:7" ht="14.4">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 customHeight="1">
      <c r="A221" s="822"/>
      <c r="B221" s="823" t="s">
        <v>329</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4"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4">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4">
      <c r="A243" s="822"/>
      <c r="B243" s="823" t="s">
        <v>329</v>
      </c>
      <c r="D243" s="1017" t="s">
        <v>1341</v>
      </c>
      <c r="E243" s="1017"/>
      <c r="F243" s="1017"/>
    </row>
    <row r="244" spans="1:7" ht="14.4">
      <c r="A244" s="822"/>
      <c r="B244" s="822"/>
      <c r="D244" s="1017"/>
      <c r="E244" s="1017"/>
      <c r="F244" s="1017"/>
    </row>
    <row r="245" spans="1:7">
      <c r="D245" s="825"/>
      <c r="E245" s="825"/>
      <c r="F245" s="825"/>
    </row>
    <row r="246" spans="1:7" ht="14.4">
      <c r="A246" s="822"/>
      <c r="B246" s="823" t="s">
        <v>329</v>
      </c>
      <c r="D246" s="1056" t="s">
        <v>1342</v>
      </c>
      <c r="E246" s="1056"/>
      <c r="F246" s="1056"/>
    </row>
    <row r="247" spans="1:7" ht="14.4">
      <c r="A247" s="822"/>
      <c r="B247" s="822"/>
      <c r="D247" s="1056"/>
      <c r="E247" s="1056"/>
      <c r="F247" s="1056"/>
    </row>
    <row r="248" spans="1:7" ht="14.4">
      <c r="A248" s="822"/>
      <c r="B248" s="822"/>
      <c r="D248" s="1056"/>
      <c r="E248" s="1056"/>
      <c r="F248" s="1056"/>
    </row>
    <row r="249" spans="1:7">
      <c r="D249" s="825"/>
      <c r="E249" s="825"/>
      <c r="F249" s="825"/>
    </row>
    <row r="250" spans="1:7" ht="14.4">
      <c r="A250" s="822"/>
      <c r="B250" s="823" t="s">
        <v>329</v>
      </c>
      <c r="D250" s="1017" t="s">
        <v>1343</v>
      </c>
      <c r="E250" s="1017"/>
      <c r="F250" s="1017"/>
    </row>
    <row r="251" spans="1:7" ht="14.4">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4">
      <c r="A259" s="830"/>
      <c r="B259" s="830"/>
      <c r="C259" s="826"/>
      <c r="D259" s="849"/>
      <c r="E259" s="850"/>
      <c r="F259" s="850"/>
      <c r="G259" s="827"/>
    </row>
    <row r="260" spans="1:7" s="816" customFormat="1" ht="13.65" customHeight="1">
      <c r="A260" s="826"/>
      <c r="B260" s="823" t="s">
        <v>329</v>
      </c>
      <c r="C260" s="826"/>
      <c r="D260" s="1061" t="s">
        <v>1481</v>
      </c>
      <c r="E260" s="1061"/>
      <c r="F260" s="1061"/>
      <c r="G260" s="827"/>
    </row>
    <row r="261" spans="1:7" s="816" customFormat="1" ht="14.4">
      <c r="A261" s="830"/>
      <c r="B261" s="830"/>
      <c r="C261" s="826"/>
      <c r="D261" s="1061"/>
      <c r="E261" s="1061"/>
      <c r="F261" s="1061"/>
      <c r="G261" s="827"/>
    </row>
    <row r="262" spans="1:7" s="816" customFormat="1" ht="14.4">
      <c r="A262" s="830"/>
      <c r="B262" s="830"/>
      <c r="C262" s="826"/>
      <c r="D262" s="1061"/>
      <c r="E262" s="1061"/>
      <c r="F262" s="1061"/>
      <c r="G262" s="827"/>
    </row>
    <row r="263" spans="1:7" s="816" customFormat="1" ht="14.4">
      <c r="A263" s="830"/>
      <c r="B263" s="830"/>
      <c r="C263" s="826"/>
      <c r="D263" s="1061"/>
      <c r="E263" s="1061"/>
      <c r="F263" s="1061"/>
      <c r="G263" s="827"/>
    </row>
    <row r="264" spans="1:7" s="816" customFormat="1" ht="14.4">
      <c r="A264" s="830"/>
      <c r="B264" s="830"/>
      <c r="C264" s="826"/>
      <c r="D264" s="1061"/>
      <c r="E264" s="1061"/>
      <c r="F264" s="1061"/>
      <c r="G264" s="827"/>
    </row>
    <row r="265" spans="1:7" s="816" customFormat="1" ht="14.4">
      <c r="A265" s="830"/>
      <c r="B265" s="830"/>
      <c r="C265" s="826"/>
      <c r="D265" s="849"/>
      <c r="E265" s="850"/>
      <c r="F265" s="850"/>
      <c r="G265" s="827"/>
    </row>
    <row r="266" spans="1:7" s="816" customFormat="1" ht="13.65"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4">
      <c r="A268" s="830"/>
      <c r="B268" s="830"/>
      <c r="C268" s="826"/>
      <c r="D268" s="849"/>
      <c r="E268" s="850"/>
      <c r="F268" s="850"/>
      <c r="G268" s="827"/>
    </row>
    <row r="269" spans="1:7">
      <c r="A269" s="826"/>
      <c r="B269" s="823" t="s">
        <v>329</v>
      </c>
      <c r="D269" s="1022" t="s">
        <v>1348</v>
      </c>
      <c r="E269" s="1022"/>
      <c r="F269" s="1022"/>
    </row>
    <row r="270" spans="1:7">
      <c r="E270" s="825"/>
      <c r="F270" s="825"/>
    </row>
    <row r="271" spans="1:7" ht="14.4">
      <c r="A271" s="822"/>
      <c r="B271" s="823" t="s">
        <v>329</v>
      </c>
      <c r="D271" s="1056" t="s">
        <v>1511</v>
      </c>
      <c r="E271" s="1056"/>
      <c r="F271" s="1056"/>
    </row>
    <row r="272" spans="1:7" ht="14.4">
      <c r="A272" s="822"/>
      <c r="B272" s="822"/>
      <c r="D272" s="1056"/>
      <c r="E272" s="1056"/>
      <c r="F272" s="1056"/>
    </row>
    <row r="273" spans="1:6" ht="14.4">
      <c r="A273" s="822"/>
      <c r="B273" s="822"/>
      <c r="D273" s="1056"/>
      <c r="E273" s="1056"/>
      <c r="F273" s="1056"/>
    </row>
    <row r="274" spans="1:6" ht="14.4">
      <c r="A274" s="822"/>
      <c r="B274" s="822"/>
      <c r="D274" s="1056"/>
      <c r="E274" s="1056"/>
      <c r="F274" s="1056"/>
    </row>
    <row r="275" spans="1:6" ht="14.4">
      <c r="A275" s="822"/>
      <c r="B275" s="822"/>
      <c r="D275" s="1056"/>
      <c r="E275" s="1056"/>
      <c r="F275" s="1056"/>
    </row>
    <row r="276" spans="1:6" ht="14.4">
      <c r="A276" s="822"/>
      <c r="B276" s="822"/>
      <c r="D276" s="1056"/>
      <c r="E276" s="1056"/>
      <c r="F276" s="1056"/>
    </row>
    <row r="277" spans="1:6" ht="14.4">
      <c r="A277" s="822"/>
      <c r="B277" s="822"/>
      <c r="D277" s="1056"/>
      <c r="E277" s="1056"/>
      <c r="F277" s="1056"/>
    </row>
    <row r="278" spans="1:6" ht="14.4">
      <c r="A278" s="822"/>
      <c r="B278" s="822"/>
      <c r="D278" s="1056"/>
      <c r="E278" s="1056"/>
      <c r="F278" s="1056"/>
    </row>
    <row r="279" spans="1:6" ht="14.4">
      <c r="A279" s="822"/>
      <c r="B279" s="822"/>
      <c r="D279" s="1056"/>
      <c r="E279" s="1056"/>
      <c r="F279" s="1056"/>
    </row>
    <row r="280" spans="1:6" ht="14.4">
      <c r="A280" s="822"/>
      <c r="B280" s="822"/>
      <c r="D280" s="1056"/>
      <c r="E280" s="1056"/>
      <c r="F280" s="1056"/>
    </row>
    <row r="281" spans="1:6" ht="14.4">
      <c r="A281" s="822"/>
      <c r="B281" s="822"/>
      <c r="D281" s="1056"/>
      <c r="E281" s="1056"/>
      <c r="F281" s="1056"/>
    </row>
    <row r="282" spans="1:6" ht="14.4">
      <c r="A282" s="822"/>
      <c r="B282" s="822"/>
      <c r="D282" s="1056"/>
      <c r="E282" s="1056"/>
      <c r="F282" s="1056"/>
    </row>
    <row r="283" spans="1:6" ht="14.4">
      <c r="A283" s="822"/>
      <c r="B283" s="822"/>
      <c r="D283" s="1056"/>
      <c r="E283" s="1056"/>
      <c r="F283" s="1056"/>
    </row>
    <row r="284" spans="1:6" ht="14.4">
      <c r="A284" s="822"/>
      <c r="B284" s="822"/>
      <c r="D284" s="1056"/>
      <c r="E284" s="1056"/>
      <c r="F284" s="1056"/>
    </row>
    <row r="285" spans="1:6" ht="14.4">
      <c r="A285" s="822"/>
      <c r="B285" s="822"/>
      <c r="D285" s="1056"/>
      <c r="E285" s="1056"/>
      <c r="F285" s="1056"/>
    </row>
    <row r="286" spans="1:6">
      <c r="D286" s="825"/>
      <c r="E286" s="825"/>
      <c r="F286" s="825"/>
    </row>
    <row r="287" spans="1:6" ht="14.4">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4">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8" thickBot="1">
      <c r="D304" s="1067" t="s">
        <v>1093</v>
      </c>
      <c r="E304" s="1067"/>
      <c r="F304" s="1067"/>
      <c r="G304" s="815"/>
    </row>
    <row r="305" spans="1:7" ht="13.8" thickTop="1">
      <c r="D305" s="1062" t="s">
        <v>1352</v>
      </c>
      <c r="E305" s="1062"/>
      <c r="F305" s="1062"/>
      <c r="G305" s="815"/>
    </row>
    <row r="306" spans="1:7">
      <c r="A306" s="839"/>
      <c r="B306" s="839"/>
      <c r="C306" s="839"/>
      <c r="D306" s="811"/>
      <c r="E306" s="811"/>
      <c r="F306" s="825"/>
      <c r="G306" s="815"/>
    </row>
    <row r="307" spans="1:7" ht="14.4">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6"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4">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65"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 customHeight="1">
      <c r="A362" s="822"/>
      <c r="B362" s="914" t="s">
        <v>329</v>
      </c>
      <c r="D362" s="1025" t="s">
        <v>1604</v>
      </c>
      <c r="E362" s="1025"/>
      <c r="F362" s="1025"/>
    </row>
    <row r="363" spans="1:7" ht="14.4" customHeight="1">
      <c r="A363" s="822"/>
      <c r="D363" s="1025"/>
      <c r="E363" s="1025"/>
      <c r="F363" s="1025"/>
    </row>
    <row r="364" spans="1:7" ht="14.4" customHeight="1">
      <c r="A364" s="822"/>
      <c r="D364" s="1025"/>
      <c r="E364" s="1025"/>
      <c r="F364" s="1025"/>
    </row>
    <row r="365" spans="1:7" ht="14.4" customHeight="1">
      <c r="A365" s="822"/>
      <c r="D365" s="1025"/>
      <c r="E365" s="1025"/>
      <c r="F365" s="1025"/>
    </row>
    <row r="366" spans="1:7" ht="14.4" customHeight="1">
      <c r="A366" s="822"/>
      <c r="D366" s="1025"/>
      <c r="E366" s="1025"/>
      <c r="F366" s="1025"/>
    </row>
    <row r="367" spans="1:7" ht="14.4" customHeight="1">
      <c r="A367" s="822"/>
      <c r="D367" s="913"/>
      <c r="E367" s="913"/>
      <c r="F367" s="913"/>
    </row>
    <row r="368" spans="1:7" ht="13.65" customHeight="1">
      <c r="A368" s="822"/>
      <c r="B368" s="823" t="s">
        <v>329</v>
      </c>
      <c r="C368" s="839"/>
      <c r="D368" s="1013" t="s">
        <v>1512</v>
      </c>
      <c r="E368" s="1013"/>
      <c r="F368" s="1013"/>
      <c r="G368" s="815"/>
    </row>
    <row r="369" spans="1:7" ht="14.4">
      <c r="A369" s="853"/>
      <c r="B369" s="853"/>
      <c r="C369" s="839"/>
      <c r="D369" s="1013"/>
      <c r="E369" s="1013"/>
      <c r="F369" s="1013"/>
      <c r="G369" s="815"/>
    </row>
    <row r="370" spans="1:7" ht="14.4">
      <c r="A370" s="853"/>
      <c r="B370" s="853"/>
      <c r="C370" s="839"/>
      <c r="D370" s="1013"/>
      <c r="E370" s="1013"/>
      <c r="F370" s="1013"/>
      <c r="G370" s="815"/>
    </row>
    <row r="371" spans="1:7" ht="14.4">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4">
      <c r="A374" s="822"/>
      <c r="B374" s="823" t="s">
        <v>329</v>
      </c>
      <c r="C374" s="854"/>
      <c r="D374" s="1017" t="s">
        <v>1360</v>
      </c>
      <c r="E374" s="1017"/>
      <c r="F374" s="1017"/>
      <c r="G374" s="815"/>
    </row>
    <row r="375" spans="1:7" ht="14.4">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65" customHeight="1">
      <c r="A404" s="813"/>
      <c r="B404" s="813"/>
      <c r="C404" s="813"/>
      <c r="D404" s="1017"/>
      <c r="E404" s="1017"/>
      <c r="F404" s="1017"/>
      <c r="G404" s="855"/>
    </row>
    <row r="405" spans="1:7" s="856" customFormat="1">
      <c r="A405" s="813"/>
      <c r="B405" s="813"/>
      <c r="C405" s="813"/>
      <c r="D405" s="825"/>
      <c r="E405" s="825"/>
      <c r="F405" s="825"/>
      <c r="G405" s="855"/>
    </row>
    <row r="406" spans="1:7" ht="14.4">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4">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4">
      <c r="B416" s="823" t="s">
        <v>329</v>
      </c>
      <c r="C416" s="822"/>
      <c r="D416" s="1056" t="s">
        <v>1450</v>
      </c>
      <c r="E416" s="1056"/>
      <c r="F416" s="1056"/>
      <c r="G416" s="815"/>
    </row>
    <row r="417" spans="1:7">
      <c r="D417" s="1056"/>
      <c r="E417" s="1056"/>
      <c r="F417" s="1056"/>
      <c r="G417" s="815"/>
    </row>
    <row r="418" spans="1:7">
      <c r="D418" s="825"/>
      <c r="E418" s="825"/>
      <c r="F418" s="825"/>
      <c r="G418" s="815"/>
    </row>
    <row r="419" spans="1:7" ht="14.4">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4">
      <c r="A445" s="830"/>
      <c r="B445" s="830"/>
      <c r="C445" s="826"/>
      <c r="D445" s="1034" t="s">
        <v>1368</v>
      </c>
      <c r="E445" s="1034"/>
      <c r="F445" s="1034"/>
      <c r="G445" s="827"/>
    </row>
    <row r="446" spans="1:7" s="816" customFormat="1" ht="14.4">
      <c r="A446" s="830"/>
      <c r="B446" s="830"/>
      <c r="C446" s="826"/>
      <c r="D446" s="812"/>
      <c r="E446" s="696"/>
      <c r="F446" s="696"/>
      <c r="G446" s="827"/>
    </row>
    <row r="447" spans="1:7" s="816" customFormat="1" ht="14.4">
      <c r="A447" s="822"/>
      <c r="B447" s="823" t="s">
        <v>329</v>
      </c>
      <c r="C447" s="826"/>
      <c r="D447" s="1035" t="s">
        <v>1369</v>
      </c>
      <c r="E447" s="1035"/>
      <c r="F447" s="1035"/>
      <c r="G447" s="827"/>
    </row>
    <row r="448" spans="1:7" s="816" customFormat="1" ht="14.4">
      <c r="A448" s="822"/>
      <c r="B448" s="822"/>
      <c r="C448" s="826"/>
      <c r="D448" s="1035"/>
      <c r="E448" s="1035"/>
      <c r="F448" s="1035"/>
      <c r="G448" s="827"/>
    </row>
    <row r="449" spans="1:7" s="816" customFormat="1" ht="14.4">
      <c r="A449" s="822"/>
      <c r="B449" s="822"/>
      <c r="C449" s="826"/>
      <c r="D449" s="810"/>
      <c r="E449" s="696"/>
      <c r="F449" s="696"/>
      <c r="G449" s="827"/>
    </row>
    <row r="450" spans="1:7" ht="12.75" customHeight="1">
      <c r="B450" s="823" t="s">
        <v>329</v>
      </c>
      <c r="D450" s="1005" t="s">
        <v>1583</v>
      </c>
      <c r="E450" s="1005"/>
      <c r="F450" s="1005"/>
    </row>
    <row r="451" spans="1:7" ht="14.4">
      <c r="A451" s="822"/>
      <c r="D451" s="1005"/>
      <c r="E451" s="1005"/>
      <c r="F451" s="1005"/>
    </row>
    <row r="452" spans="1:7" ht="14.4">
      <c r="A452" s="822"/>
      <c r="B452" s="822"/>
      <c r="D452" s="1005"/>
      <c r="E452" s="1005"/>
      <c r="F452" s="1005"/>
    </row>
    <row r="453" spans="1:7" ht="14.4">
      <c r="A453" s="822"/>
      <c r="B453" s="822"/>
      <c r="D453" s="1005"/>
      <c r="E453" s="1005"/>
      <c r="F453" s="1005"/>
    </row>
    <row r="454" spans="1:7" ht="14.4">
      <c r="A454" s="822"/>
      <c r="D454" s="936"/>
      <c r="E454" s="936"/>
      <c r="F454" s="936"/>
      <c r="G454" s="815"/>
    </row>
    <row r="455" spans="1:7" ht="14.4">
      <c r="A455" s="822"/>
      <c r="B455" s="823" t="s">
        <v>329</v>
      </c>
      <c r="D455" s="1022" t="s">
        <v>1372</v>
      </c>
      <c r="E455" s="1022"/>
      <c r="F455" s="1022"/>
      <c r="G455" s="815"/>
    </row>
    <row r="456" spans="1:7" ht="14.4">
      <c r="A456" s="822"/>
      <c r="B456" s="822"/>
      <c r="D456" s="810"/>
      <c r="E456" s="696"/>
      <c r="F456" s="696"/>
      <c r="G456" s="815"/>
    </row>
    <row r="457" spans="1:7" ht="14.4">
      <c r="A457" s="822"/>
      <c r="B457" s="823" t="s">
        <v>329</v>
      </c>
      <c r="D457" s="1017" t="s">
        <v>1373</v>
      </c>
      <c r="E457" s="1017"/>
      <c r="F457" s="1017"/>
      <c r="G457" s="815"/>
    </row>
    <row r="458" spans="1:7" ht="14.4">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4">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65"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3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65" customHeight="1">
      <c r="A518" s="822"/>
      <c r="B518" s="823" t="s">
        <v>329</v>
      </c>
      <c r="C518" s="854"/>
      <c r="D518" s="1022" t="s">
        <v>978</v>
      </c>
      <c r="E518" s="1022"/>
      <c r="F518" s="1022"/>
      <c r="G518" s="815"/>
    </row>
    <row r="519" spans="1:7" ht="13.65" customHeight="1">
      <c r="A519" s="854"/>
      <c r="B519" s="854"/>
      <c r="C519" s="854"/>
      <c r="D519" s="810"/>
      <c r="E519" s="642"/>
      <c r="F519" s="642"/>
      <c r="G519" s="815"/>
    </row>
    <row r="520" spans="1:7" ht="14.4">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4">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4">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4">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4">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4">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4">
      <c r="A539" s="822"/>
      <c r="B539" s="823" t="s">
        <v>329</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4">
      <c r="A542" s="822"/>
      <c r="B542" s="822"/>
      <c r="C542" s="854"/>
      <c r="E542" s="825"/>
      <c r="F542" s="825"/>
      <c r="G542" s="844"/>
    </row>
    <row r="543" spans="1:7" ht="14.4">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4">
      <c r="A548" s="822"/>
      <c r="B548" s="823" t="s">
        <v>329</v>
      </c>
      <c r="C548" s="854"/>
      <c r="D548" s="1017" t="s">
        <v>1279</v>
      </c>
      <c r="E548" s="1017"/>
      <c r="F548" s="1017"/>
      <c r="G548" s="844"/>
    </row>
    <row r="549" spans="1:7" ht="14.4">
      <c r="A549" s="822"/>
      <c r="B549" s="822"/>
      <c r="C549" s="854"/>
      <c r="D549" s="1017"/>
      <c r="E549" s="1017"/>
      <c r="F549" s="1017"/>
      <c r="G549" s="844"/>
    </row>
    <row r="550" spans="1:7" ht="14.4">
      <c r="A550" s="822"/>
      <c r="B550" s="822"/>
      <c r="C550" s="854"/>
      <c r="D550" s="1017"/>
      <c r="E550" s="1017"/>
      <c r="F550" s="1017"/>
      <c r="G550" s="844"/>
    </row>
    <row r="551" spans="1:7" ht="14.4">
      <c r="A551" s="822"/>
      <c r="B551" s="822"/>
      <c r="C551" s="854"/>
      <c r="D551" s="1017"/>
      <c r="E551" s="1017"/>
      <c r="F551" s="1017"/>
      <c r="G551" s="844"/>
    </row>
    <row r="552" spans="1:7" ht="14.4">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4">
      <c r="A575" s="822"/>
      <c r="B575" s="823" t="s">
        <v>329</v>
      </c>
      <c r="D575" s="1004" t="s">
        <v>979</v>
      </c>
      <c r="E575" s="1004"/>
      <c r="F575" s="1004"/>
      <c r="G575" s="815"/>
    </row>
    <row r="576" spans="1:7" ht="14.4">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4">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4">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4">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4">
      <c r="A617" s="822"/>
      <c r="B617" s="823" t="s">
        <v>329</v>
      </c>
      <c r="C617" s="854"/>
      <c r="D617" s="974" t="s">
        <v>1493</v>
      </c>
      <c r="E617" s="974"/>
      <c r="F617" s="974"/>
      <c r="G617" s="844"/>
    </row>
    <row r="618" spans="1:7" ht="14.4">
      <c r="A618" s="822"/>
      <c r="B618" s="822"/>
      <c r="C618" s="854"/>
      <c r="D618" s="974"/>
      <c r="E618" s="974"/>
      <c r="F618" s="974"/>
      <c r="G618" s="844"/>
    </row>
    <row r="619" spans="1:7" ht="14.4">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4">
      <c r="A633" s="820"/>
      <c r="B633" s="822"/>
      <c r="C633" s="854"/>
      <c r="D633" s="1051"/>
      <c r="E633" s="1051"/>
      <c r="F633" s="1051"/>
      <c r="G633" s="844"/>
    </row>
    <row r="634" spans="1:7" ht="14.4">
      <c r="A634" s="820"/>
      <c r="B634" s="822"/>
      <c r="C634" s="854"/>
      <c r="D634" s="1051"/>
      <c r="E634" s="1051"/>
      <c r="F634" s="1051"/>
      <c r="G634" s="844"/>
    </row>
    <row r="635" spans="1:7" ht="14.4">
      <c r="A635" s="820"/>
      <c r="B635" s="822"/>
      <c r="C635" s="854"/>
      <c r="D635" s="1051"/>
      <c r="E635" s="1051"/>
      <c r="F635" s="1051"/>
      <c r="G635" s="844"/>
    </row>
    <row r="636" spans="1:7" ht="14.4">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4">
      <c r="A639" s="820"/>
      <c r="B639" s="822"/>
      <c r="C639" s="854"/>
      <c r="D639" s="1051"/>
      <c r="E639" s="1051"/>
      <c r="F639" s="1051"/>
      <c r="G639" s="844"/>
    </row>
    <row r="640" spans="1:7" ht="14.4">
      <c r="A640" s="822"/>
      <c r="B640" s="822"/>
      <c r="C640" s="854"/>
      <c r="D640" s="1051"/>
      <c r="E640" s="1051"/>
      <c r="F640" s="1051"/>
      <c r="G640" s="844"/>
    </row>
    <row r="641" spans="1:7" ht="14.4">
      <c r="A641" s="822"/>
      <c r="B641" s="822"/>
      <c r="C641" s="854"/>
      <c r="D641" s="1051"/>
      <c r="E641" s="1051"/>
      <c r="F641" s="1051"/>
      <c r="G641" s="844"/>
    </row>
    <row r="642" spans="1:7" ht="14.4">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4">
      <c r="A652" s="822"/>
      <c r="B652" s="822"/>
      <c r="C652" s="854"/>
      <c r="D652" s="934"/>
      <c r="E652" s="934"/>
      <c r="F652" s="934"/>
      <c r="G652" s="844"/>
    </row>
    <row r="653" spans="1:7" ht="14.4">
      <c r="A653" s="822"/>
      <c r="B653" s="823" t="s">
        <v>329</v>
      </c>
      <c r="C653" s="854"/>
      <c r="D653" s="1069" t="s">
        <v>1227</v>
      </c>
      <c r="E653" s="1069"/>
      <c r="F653" s="1069"/>
      <c r="G653" s="844"/>
    </row>
    <row r="654" spans="1:7" ht="14.4">
      <c r="A654" s="822"/>
      <c r="B654" s="822"/>
      <c r="C654" s="854"/>
      <c r="D654" s="976" t="s">
        <v>1378</v>
      </c>
      <c r="E654" s="976"/>
      <c r="F654" s="976"/>
      <c r="G654" s="844"/>
    </row>
    <row r="655" spans="1:7" ht="14.4">
      <c r="A655" s="822"/>
      <c r="B655" s="822"/>
      <c r="C655" s="854"/>
      <c r="D655" s="976"/>
      <c r="E655" s="976"/>
      <c r="F655" s="976"/>
      <c r="G655" s="844"/>
    </row>
    <row r="656" spans="1:7" ht="14.4">
      <c r="A656" s="822"/>
      <c r="B656" s="822"/>
      <c r="C656" s="854"/>
      <c r="D656" s="976"/>
      <c r="E656" s="976"/>
      <c r="F656" s="976"/>
      <c r="G656" s="844"/>
    </row>
    <row r="657" spans="1:11" ht="14.4">
      <c r="A657" s="822"/>
      <c r="B657" s="822"/>
      <c r="C657" s="854"/>
      <c r="D657" s="976"/>
      <c r="E657" s="976"/>
      <c r="F657" s="976"/>
      <c r="G657" s="844"/>
    </row>
    <row r="658" spans="1:11" ht="14.4">
      <c r="A658" s="822"/>
      <c r="B658" s="822"/>
      <c r="C658" s="854"/>
      <c r="D658" s="976"/>
      <c r="E658" s="976"/>
      <c r="F658" s="976"/>
      <c r="G658" s="844"/>
    </row>
    <row r="659" spans="1:11" ht="14.4">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22" t="s">
        <v>1021</v>
      </c>
      <c r="E676" s="1022"/>
      <c r="F676" s="1022"/>
      <c r="G676" s="844"/>
      <c r="H676" s="869"/>
      <c r="I676" s="869"/>
      <c r="J676" s="869"/>
      <c r="K676" s="869"/>
    </row>
    <row r="677" spans="1:11" ht="14.4">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65"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4">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4">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4">
      <c r="A766" s="822"/>
      <c r="B766" s="823" t="s">
        <v>329</v>
      </c>
      <c r="C766" s="831"/>
      <c r="D766" s="996" t="s">
        <v>1103</v>
      </c>
      <c r="E766" s="996"/>
      <c r="F766" s="996"/>
      <c r="G766" s="874"/>
    </row>
    <row r="767" spans="1:11" ht="14.4">
      <c r="A767" s="822"/>
      <c r="B767" s="815"/>
      <c r="C767" s="831"/>
      <c r="D767" s="921"/>
      <c r="E767" s="997" t="s">
        <v>1226</v>
      </c>
      <c r="F767" s="997"/>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994" t="s">
        <v>1580</v>
      </c>
      <c r="E770" s="994"/>
      <c r="F770" s="994"/>
      <c r="G770" s="874"/>
    </row>
    <row r="771" spans="1:7" ht="14.4">
      <c r="A771" s="822"/>
      <c r="B771" s="823" t="s">
        <v>329</v>
      </c>
      <c r="C771" s="831"/>
      <c r="D771" s="1083" t="s">
        <v>1576</v>
      </c>
      <c r="E771" s="1083"/>
      <c r="F771" s="1083"/>
      <c r="G771" s="815"/>
    </row>
    <row r="772" spans="1:7" ht="14.4">
      <c r="A772" s="822"/>
      <c r="B772" s="815"/>
      <c r="C772" s="831"/>
      <c r="D772" s="1083" t="s">
        <v>1577</v>
      </c>
      <c r="E772" s="1083"/>
      <c r="F772" s="1083"/>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4">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415" zoomScale="110" zoomScaleNormal="110" zoomScaleSheetLayoutView="100" zoomScalePageLayoutView="110" workbookViewId="0">
      <selection activeCell="AI442" sqref="AI442"/>
    </sheetView>
  </sheetViews>
  <sheetFormatPr defaultColWidth="0" defaultRowHeight="0" customHeight="1" zeroHeight="1"/>
  <cols>
    <col min="1" max="36" width="2.44140625" style="12" customWidth="1"/>
    <col min="37" max="37" width="2.88671875" style="12" customWidth="1"/>
    <col min="38" max="38" width="2.44140625" style="12" customWidth="1"/>
    <col min="39" max="39" width="2.44140625" style="12" hidden="1" customWidth="1"/>
    <col min="40" max="40" width="8.44140625" style="12" hidden="1" customWidth="1"/>
    <col min="41" max="41" width="2.44140625" style="12" hidden="1" customWidth="1"/>
    <col min="42" max="42" width="3.33203125" style="12" hidden="1" customWidth="1"/>
    <col min="43" max="44" width="2.44140625" style="12" hidden="1" customWidth="1"/>
    <col min="45" max="45" width="5.4414062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44140625" style="12" hidden="1" customWidth="1"/>
    <col min="61" max="61" width="17.88671875" style="12" hidden="1" customWidth="1"/>
    <col min="62" max="62" width="12.44140625" style="12" hidden="1" customWidth="1"/>
    <col min="63" max="63" width="11.4414062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32" t="s">
        <v>1569</v>
      </c>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row>
    <row r="10" spans="1:38" ht="15" customHeight="1">
      <c r="A10" s="1584" t="s">
        <v>1570</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1568</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3.2">
      <c r="A12" s="1311" t="s">
        <v>1643</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3.2">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8" t="s">
        <v>1645</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309" t="s">
        <v>1646</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5" t="s">
        <v>965</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39" ht="12.75" customHeight="1">
      <c r="A21" s="1319" t="s">
        <v>1154</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1848491</v>
      </c>
      <c r="N26" s="1316"/>
      <c r="O26" s="1316"/>
      <c r="P26" s="1316"/>
      <c r="Q26" s="131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4" t="s">
        <v>722</v>
      </c>
      <c r="P33" s="1114"/>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833</v>
      </c>
      <c r="B117" s="35"/>
      <c r="C117" s="35"/>
    </row>
    <row r="118" spans="1:38" ht="13.2"/>
    <row r="119" spans="1:38" ht="12.75" customHeight="1">
      <c r="A119" s="141" t="s">
        <v>834</v>
      </c>
      <c r="B119" s="58"/>
      <c r="D119" s="39"/>
      <c r="E119" s="247"/>
      <c r="F119" s="247"/>
      <c r="J119" s="247"/>
      <c r="K119" s="39"/>
      <c r="P119" s="247"/>
      <c r="Q119" s="247"/>
      <c r="R119" s="247"/>
      <c r="S119" s="58"/>
      <c r="T119" s="58"/>
      <c r="U119" s="58"/>
      <c r="V119" s="58"/>
      <c r="W119" s="58"/>
      <c r="AL119" s="58"/>
    </row>
    <row r="120" spans="1:38" ht="13.2">
      <c r="A120" s="141" t="s">
        <v>835</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313"/>
      <c r="H122" s="1313"/>
      <c r="I122" s="247" t="s">
        <v>195</v>
      </c>
      <c r="L122" s="1313"/>
      <c r="M122" s="1313"/>
      <c r="N122" s="1313"/>
      <c r="O122" s="954" t="s">
        <v>1558</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310"/>
      <c r="D124" s="1310"/>
      <c r="E124" s="1310"/>
      <c r="F124" s="1310"/>
      <c r="G124" s="1310"/>
      <c r="H124" s="1310"/>
      <c r="I124" s="1310"/>
      <c r="J124" s="1310"/>
      <c r="K124" s="131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678</v>
      </c>
      <c r="Y126" s="1313"/>
      <c r="Z126" s="1313"/>
      <c r="AA126" s="1313"/>
      <c r="AB126" s="1313"/>
      <c r="AC126" s="1313"/>
      <c r="AD126" s="1313"/>
      <c r="AE126" s="1313"/>
      <c r="AF126" s="1313"/>
      <c r="AG126" s="1313"/>
      <c r="AH126" s="1313"/>
      <c r="AI126" s="1313"/>
      <c r="AJ126" s="1313"/>
      <c r="AK126" s="1313"/>
    </row>
    <row r="127" spans="1:38" ht="13.2">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3.2">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695</v>
      </c>
      <c r="F153" s="32"/>
      <c r="G153" s="32"/>
      <c r="H153" s="32"/>
      <c r="I153" s="32"/>
      <c r="J153" s="32"/>
      <c r="K153" s="32"/>
      <c r="L153" s="32"/>
      <c r="M153" s="32"/>
      <c r="N153" s="32"/>
      <c r="O153" s="1309" t="s">
        <v>1720</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323" t="s">
        <v>1647</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3.2">
      <c r="D155" s="13" t="s">
        <v>477</v>
      </c>
      <c r="F155" s="13"/>
      <c r="G155" s="13"/>
      <c r="H155" s="13"/>
      <c r="I155" s="13"/>
      <c r="J155" s="13"/>
      <c r="K155" s="13"/>
      <c r="L155" s="13"/>
      <c r="M155" s="13"/>
      <c r="N155" s="13"/>
      <c r="O155" s="1327" t="s">
        <v>1648</v>
      </c>
      <c r="P155" s="1328"/>
      <c r="Q155" s="1328"/>
      <c r="R155" s="1328"/>
      <c r="S155" s="1328"/>
      <c r="T155" s="1328"/>
      <c r="U155" s="1328"/>
      <c r="V155" s="1328"/>
      <c r="W155" s="1328"/>
      <c r="X155" s="1328"/>
      <c r="Y155" s="1328"/>
      <c r="Z155" s="1328"/>
      <c r="AA155" s="1328"/>
      <c r="AB155" s="1328"/>
      <c r="AC155" s="1328"/>
      <c r="AD155" s="1328"/>
      <c r="AE155" s="1328"/>
      <c r="AF155" s="1328"/>
      <c r="AG155" s="1328"/>
      <c r="AH155" s="1328"/>
      <c r="AM155" s="25"/>
    </row>
    <row r="156" spans="1:59" ht="13.2">
      <c r="D156" s="32" t="s">
        <v>335</v>
      </c>
      <c r="F156" s="32"/>
      <c r="G156" s="32"/>
      <c r="H156" s="32"/>
      <c r="I156" s="32"/>
      <c r="J156" s="32"/>
      <c r="K156" s="32"/>
      <c r="L156" s="32"/>
      <c r="M156" s="32"/>
      <c r="N156" s="32"/>
      <c r="O156" s="1086" t="s">
        <v>1649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3.2">
      <c r="D157" s="32" t="s">
        <v>336</v>
      </c>
      <c r="F157" s="32"/>
      <c r="G157" s="32"/>
      <c r="H157" s="32"/>
      <c r="I157" s="32"/>
      <c r="J157" s="32"/>
      <c r="K157" s="32"/>
      <c r="L157" s="32"/>
      <c r="M157" s="32"/>
      <c r="N157" s="32"/>
      <c r="O157" s="1309" t="s">
        <v>791</v>
      </c>
      <c r="P157" s="1147"/>
      <c r="Q157" s="1147"/>
      <c r="R157" s="1147"/>
      <c r="S157" s="1147"/>
      <c r="T157" s="1147"/>
      <c r="U157" s="1147"/>
      <c r="V157" s="1147"/>
      <c r="W157" s="1147"/>
      <c r="X157" s="1147"/>
      <c r="Y157" s="14"/>
      <c r="Z157" s="14"/>
      <c r="AA157" s="14"/>
      <c r="AB157" s="14"/>
      <c r="AC157" s="14"/>
      <c r="AD157" s="14"/>
      <c r="AE157" s="14"/>
      <c r="AF157" s="14"/>
      <c r="BA157" s="36" t="s">
        <v>686</v>
      </c>
      <c r="BG157" s="12" t="s">
        <v>522</v>
      </c>
    </row>
    <row r="158" spans="1:59" ht="13.2">
      <c r="D158" s="32" t="s">
        <v>337</v>
      </c>
      <c r="F158" s="32"/>
      <c r="G158" s="32"/>
      <c r="H158" s="32"/>
      <c r="I158" s="32"/>
      <c r="J158" s="32"/>
      <c r="K158" s="32"/>
      <c r="L158" s="32"/>
      <c r="M158" s="32"/>
      <c r="N158" s="32"/>
      <c r="O158" s="1543">
        <v>94103</v>
      </c>
      <c r="P158" s="1543"/>
      <c r="Q158" s="1543"/>
      <c r="R158" s="1543"/>
      <c r="S158" s="15"/>
      <c r="T158" s="15"/>
      <c r="U158" s="15"/>
      <c r="V158" s="15"/>
      <c r="W158" s="15"/>
      <c r="X158" s="15"/>
      <c r="Y158" s="15"/>
      <c r="Z158" s="15"/>
      <c r="AA158" s="15"/>
      <c r="AB158" s="15"/>
      <c r="AC158" s="15"/>
      <c r="AD158" s="15"/>
      <c r="AE158" s="15"/>
      <c r="AF158" s="15"/>
      <c r="BA158" s="36" t="s">
        <v>687</v>
      </c>
      <c r="BG158" s="12" t="s">
        <v>523</v>
      </c>
    </row>
    <row r="159" spans="1:59" ht="13.2">
      <c r="D159" s="32" t="s">
        <v>338</v>
      </c>
      <c r="F159" s="32"/>
      <c r="G159" s="32"/>
      <c r="H159" s="32"/>
      <c r="I159" s="32"/>
      <c r="J159" s="32"/>
      <c r="K159" s="32"/>
      <c r="L159" s="32"/>
      <c r="M159" s="32"/>
      <c r="N159" s="32"/>
      <c r="O159" s="1330" t="s">
        <v>1650</v>
      </c>
      <c r="P159" s="1330"/>
      <c r="Q159" s="1330"/>
      <c r="R159" s="1330"/>
      <c r="S159" s="1330"/>
      <c r="T159" s="1330"/>
      <c r="V159" s="149" t="s">
        <v>287</v>
      </c>
      <c r="W159" s="1544"/>
      <c r="X159" s="1544"/>
      <c r="Y159" s="16"/>
      <c r="Z159" s="16"/>
      <c r="AA159" s="16"/>
      <c r="AB159" s="16"/>
      <c r="AC159" s="16"/>
      <c r="AD159" s="16"/>
      <c r="AE159" s="16"/>
      <c r="AF159" s="16"/>
      <c r="BA159" s="36" t="s">
        <v>363</v>
      </c>
      <c r="BG159" s="12" t="s">
        <v>524</v>
      </c>
    </row>
    <row r="160" spans="1:59" ht="13.2">
      <c r="D160" s="32" t="s">
        <v>339</v>
      </c>
      <c r="F160" s="32"/>
      <c r="G160" s="32"/>
      <c r="H160" s="32"/>
      <c r="I160" s="32"/>
      <c r="J160" s="32"/>
      <c r="K160" s="32"/>
      <c r="L160" s="32"/>
      <c r="M160" s="32"/>
      <c r="N160" s="32"/>
      <c r="O160" s="1330" t="s">
        <v>1651</v>
      </c>
      <c r="P160" s="1330"/>
      <c r="Q160" s="1330"/>
      <c r="R160" s="1330"/>
      <c r="S160" s="1330"/>
      <c r="T160" s="1330"/>
      <c r="U160" s="16"/>
      <c r="V160" s="16"/>
      <c r="W160" s="16"/>
      <c r="X160" s="16"/>
      <c r="Y160" s="16"/>
      <c r="Z160" s="16"/>
      <c r="AA160" s="16"/>
      <c r="AB160" s="16"/>
      <c r="AC160" s="16"/>
      <c r="AD160" s="16"/>
      <c r="AE160" s="16"/>
      <c r="AF160" s="16"/>
      <c r="BA160" s="36" t="s">
        <v>713</v>
      </c>
      <c r="BG160" s="12" t="s">
        <v>525</v>
      </c>
    </row>
    <row r="161" spans="1:59" ht="13.2">
      <c r="D161" s="32" t="s">
        <v>340</v>
      </c>
      <c r="F161" s="32"/>
      <c r="G161" s="32"/>
      <c r="H161" s="32"/>
      <c r="I161" s="32"/>
      <c r="J161" s="32"/>
      <c r="K161" s="32"/>
      <c r="L161" s="32"/>
      <c r="M161" s="32"/>
      <c r="N161" s="32"/>
      <c r="O161" s="1315" t="s">
        <v>1652</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722</v>
      </c>
      <c r="BA161" s="36" t="s">
        <v>714</v>
      </c>
      <c r="BG161" s="12" t="s">
        <v>526</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2">
      <c r="C164" s="144"/>
      <c r="D164" s="1340" t="s">
        <v>1510</v>
      </c>
      <c r="E164" s="1340"/>
      <c r="F164" s="1340"/>
      <c r="G164" s="1340"/>
      <c r="H164" s="1340"/>
      <c r="I164" s="1340"/>
      <c r="J164" s="1340"/>
      <c r="K164" s="1340"/>
      <c r="L164" s="1340"/>
      <c r="M164" s="1340"/>
      <c r="N164" s="1340"/>
      <c r="O164" s="1340"/>
      <c r="P164" s="1340"/>
      <c r="Q164" s="1340"/>
      <c r="R164" s="1340"/>
      <c r="S164" s="1340"/>
      <c r="T164" s="1340"/>
      <c r="U164" s="1340"/>
      <c r="V164" s="1340"/>
      <c r="W164" s="1340"/>
      <c r="X164" s="1340"/>
      <c r="Y164" s="1340"/>
      <c r="Z164" s="1340"/>
      <c r="AA164" s="1340"/>
      <c r="AB164" s="1340"/>
      <c r="AC164" s="1340"/>
      <c r="AD164" s="1340"/>
      <c r="AE164" s="1340"/>
      <c r="AF164" s="1340"/>
      <c r="AG164" s="1340"/>
      <c r="AH164" s="1340"/>
      <c r="AI164" s="39"/>
      <c r="AJ164" s="39"/>
      <c r="AK164" s="39"/>
      <c r="AL164" s="39"/>
      <c r="BA164" s="36" t="s">
        <v>717</v>
      </c>
      <c r="BG164" s="12" t="s">
        <v>529</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2">
      <c r="A169" s="1149" t="s">
        <v>585</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726</v>
      </c>
      <c r="BG169" s="12" t="s">
        <v>534</v>
      </c>
    </row>
    <row r="170" spans="1:59" ht="13.8"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2">
      <c r="A173" s="25"/>
      <c r="C173" s="38"/>
      <c r="D173" s="39" t="s">
        <v>343</v>
      </c>
      <c r="J173" s="1339" t="s">
        <v>403</v>
      </c>
      <c r="K173" s="1339"/>
      <c r="L173" s="1339"/>
      <c r="M173" s="1339"/>
      <c r="N173" s="1339"/>
      <c r="O173" s="1339"/>
      <c r="P173" s="1339"/>
      <c r="Q173" s="1339"/>
      <c r="R173" s="1339"/>
      <c r="S173" s="1339"/>
      <c r="U173" s="40"/>
      <c r="X173" s="40"/>
      <c r="AF173" s="25"/>
      <c r="AH173" s="25"/>
      <c r="AJ173" s="3"/>
      <c r="AK173" s="3"/>
      <c r="AL173" s="3"/>
      <c r="BA173" s="36" t="s">
        <v>229</v>
      </c>
      <c r="BG173" s="12" t="s">
        <v>538</v>
      </c>
    </row>
    <row r="174" spans="1:59" ht="13.2">
      <c r="A174" s="25"/>
      <c r="C174" s="38"/>
      <c r="D174" s="58" t="s">
        <v>1458</v>
      </c>
      <c r="E174" s="25"/>
      <c r="F174" s="25"/>
      <c r="G174" s="25"/>
      <c r="H174" s="25"/>
      <c r="I174" s="25"/>
      <c r="J174" s="1086" t="s">
        <v>1653</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539</v>
      </c>
    </row>
    <row r="175" spans="1:59" ht="13.2">
      <c r="A175" s="25"/>
      <c r="C175" s="13"/>
      <c r="D175" s="58" t="s">
        <v>344</v>
      </c>
      <c r="F175" s="743"/>
      <c r="G175" s="743"/>
      <c r="H175" s="743"/>
      <c r="I175" s="743"/>
      <c r="J175" s="743"/>
      <c r="K175" s="743"/>
      <c r="L175" s="743"/>
      <c r="M175" s="743"/>
      <c r="N175" s="743"/>
      <c r="O175" s="42"/>
      <c r="Q175" s="25"/>
      <c r="R175" s="25"/>
      <c r="T175" s="743"/>
      <c r="U175" s="1114" t="s">
        <v>722</v>
      </c>
      <c r="V175" s="1114"/>
      <c r="Z175" s="25"/>
      <c r="AC175" s="25"/>
      <c r="AD175" s="25"/>
      <c r="AE175" s="25"/>
      <c r="AF175" s="25"/>
      <c r="AH175" s="25"/>
      <c r="AJ175" s="3"/>
      <c r="AK175" s="3"/>
      <c r="AL175" s="3"/>
      <c r="BA175" s="36" t="s">
        <v>232</v>
      </c>
      <c r="BG175" s="12" t="s">
        <v>540</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6"/>
      <c r="V176" s="1336"/>
      <c r="W176" s="4" t="s">
        <v>328</v>
      </c>
      <c r="X176" s="1326"/>
      <c r="Y176" s="1326"/>
      <c r="AC176" s="25"/>
      <c r="AD176" s="25"/>
      <c r="AE176" s="25"/>
      <c r="AF176" s="25"/>
      <c r="AH176" s="25"/>
      <c r="AJ176" s="3"/>
      <c r="AK176" s="3"/>
      <c r="AL176" s="3"/>
      <c r="BA176" s="36" t="s">
        <v>234</v>
      </c>
      <c r="BG176" s="12" t="s">
        <v>541</v>
      </c>
    </row>
    <row r="177" spans="1:59" s="743" customFormat="1" ht="13.2">
      <c r="A177" s="25"/>
      <c r="B177" s="12"/>
      <c r="C177" s="43"/>
      <c r="D177" s="25" t="s">
        <v>265</v>
      </c>
      <c r="E177" s="12"/>
      <c r="F177" s="12"/>
      <c r="G177" s="12"/>
      <c r="H177" s="12"/>
      <c r="I177" s="12"/>
      <c r="J177" s="12"/>
      <c r="K177" s="12"/>
      <c r="L177" s="12"/>
      <c r="M177" s="25"/>
      <c r="N177" s="12"/>
      <c r="O177" s="12"/>
      <c r="P177" s="12"/>
      <c r="Q177" s="12"/>
      <c r="R177" s="1114" t="s">
        <v>722</v>
      </c>
      <c r="S177" s="1114"/>
      <c r="T177" s="3"/>
      <c r="V177" s="12"/>
      <c r="W177" s="3"/>
      <c r="X177" s="3"/>
      <c r="Y177" s="3"/>
      <c r="AD177" s="25"/>
      <c r="AF177" s="25"/>
      <c r="AH177" s="25"/>
      <c r="AJ177" s="705"/>
      <c r="AK177" s="705"/>
      <c r="AL177" s="705"/>
      <c r="BA177" s="36" t="s">
        <v>235</v>
      </c>
      <c r="BG177" s="743" t="s">
        <v>542</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6"/>
      <c r="AJ178" s="1546"/>
      <c r="AK178" s="1546"/>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478</v>
      </c>
      <c r="E180" s="25"/>
      <c r="X180" s="1114" t="s">
        <v>722</v>
      </c>
      <c r="Y180" s="1114"/>
      <c r="Z180" s="911"/>
      <c r="AK180" s="705"/>
      <c r="AL180" s="705"/>
      <c r="BA180" s="36" t="s">
        <v>239</v>
      </c>
      <c r="BG180" s="743" t="s">
        <v>60</v>
      </c>
    </row>
    <row r="181" spans="1:59" s="743" customFormat="1" ht="12.9"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2">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2">
      <c r="A186" s="25"/>
      <c r="C186" s="45"/>
      <c r="D186" s="25" t="s">
        <v>628</v>
      </c>
      <c r="E186" s="25"/>
      <c r="F186" s="25"/>
      <c r="G186" s="25"/>
      <c r="H186" s="25"/>
      <c r="I186" s="1176" t="str">
        <f>H18</f>
        <v>San Cristina</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3.2">
      <c r="A187" s="25"/>
      <c r="C187" s="45"/>
      <c r="D187" s="25" t="s">
        <v>629</v>
      </c>
      <c r="E187" s="25"/>
      <c r="F187" s="25"/>
      <c r="G187" s="25"/>
      <c r="H187" s="25"/>
      <c r="I187" s="1085" t="s">
        <v>1721</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3.2">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685</v>
      </c>
      <c r="BG190" s="12" t="s">
        <v>73</v>
      </c>
    </row>
    <row r="191" spans="1:59" ht="13.2">
      <c r="A191" s="25"/>
      <c r="C191" s="45"/>
      <c r="D191" s="25" t="s">
        <v>630</v>
      </c>
      <c r="E191" s="25"/>
      <c r="I191" s="1086" t="s">
        <v>791</v>
      </c>
      <c r="J191" s="1086"/>
      <c r="K191" s="1086"/>
      <c r="L191" s="1086"/>
      <c r="M191" s="1086"/>
      <c r="N191" s="1086"/>
      <c r="O191" s="1086"/>
      <c r="P191" s="1086"/>
      <c r="Q191" s="25" t="s">
        <v>632</v>
      </c>
      <c r="T191" s="1086" t="s">
        <v>791</v>
      </c>
      <c r="U191" s="1086"/>
      <c r="V191" s="1086"/>
      <c r="W191" s="1086"/>
      <c r="X191" s="1086"/>
      <c r="Y191" s="1086"/>
      <c r="Z191" s="1086"/>
      <c r="AA191" s="1086"/>
      <c r="AB191" s="1086"/>
      <c r="AC191" s="1086"/>
      <c r="AD191" s="1086"/>
      <c r="AE191" s="1086"/>
      <c r="AH191" s="25"/>
      <c r="AJ191" s="3"/>
      <c r="AK191" s="3"/>
      <c r="AL191" s="3"/>
      <c r="AP191" s="12" t="s">
        <v>1194</v>
      </c>
      <c r="BA191" s="36" t="s">
        <v>742</v>
      </c>
      <c r="BG191" s="12" t="s">
        <v>788</v>
      </c>
    </row>
    <row r="192" spans="1:59" ht="13.2">
      <c r="A192" s="25"/>
      <c r="C192" s="46"/>
      <c r="D192" s="25" t="s">
        <v>633</v>
      </c>
      <c r="E192" s="25"/>
      <c r="F192" s="25"/>
      <c r="G192" s="25"/>
      <c r="I192" s="1085">
        <v>94102</v>
      </c>
      <c r="J192" s="1085"/>
      <c r="K192" s="1085"/>
      <c r="L192" s="1085"/>
      <c r="M192" s="1085"/>
      <c r="N192" s="1085"/>
      <c r="O192" s="25" t="s">
        <v>635</v>
      </c>
      <c r="P192" s="25"/>
      <c r="Q192" s="25"/>
      <c r="R192" s="25"/>
      <c r="S192" s="25"/>
      <c r="T192" s="1338">
        <v>125.01</v>
      </c>
      <c r="U192" s="1338"/>
      <c r="V192" s="1338"/>
      <c r="W192" s="1338"/>
      <c r="X192" s="1338"/>
      <c r="Y192" s="1338"/>
      <c r="Z192" s="1338"/>
      <c r="AA192" s="1338"/>
      <c r="AB192" s="1338"/>
      <c r="AC192" s="1338"/>
      <c r="AD192" s="1338"/>
      <c r="AE192" s="1338"/>
      <c r="AF192" s="25"/>
      <c r="AH192" s="25"/>
      <c r="AJ192" s="3"/>
      <c r="AK192" s="3"/>
      <c r="AL192" s="3"/>
      <c r="AP192" s="12" t="s">
        <v>1195</v>
      </c>
      <c r="BA192" s="36" t="s">
        <v>743</v>
      </c>
      <c r="BG192" s="12" t="s">
        <v>789</v>
      </c>
    </row>
    <row r="193" spans="1:66" ht="13.2">
      <c r="A193" s="25"/>
      <c r="C193" s="46"/>
      <c r="D193" s="25" t="s">
        <v>508</v>
      </c>
      <c r="E193" s="25"/>
      <c r="F193" s="25"/>
      <c r="G193" s="25"/>
      <c r="H193" s="25"/>
      <c r="I193" s="25"/>
      <c r="J193" s="25"/>
      <c r="K193" s="25"/>
      <c r="L193" s="25"/>
      <c r="M193" s="25"/>
      <c r="N193" s="1248" t="s">
        <v>1654</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744</v>
      </c>
      <c r="BG193" s="12" t="s">
        <v>790</v>
      </c>
    </row>
    <row r="194" spans="1:66" ht="13.2">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745</v>
      </c>
      <c r="BG194" s="12" t="s">
        <v>791</v>
      </c>
    </row>
    <row r="195" spans="1:66" ht="13.2">
      <c r="A195" s="25"/>
      <c r="C195" s="46"/>
      <c r="D195" s="25" t="s">
        <v>354</v>
      </c>
      <c r="E195" s="25"/>
      <c r="F195" s="25"/>
      <c r="G195" s="25"/>
      <c r="H195" s="25"/>
      <c r="I195" s="25"/>
      <c r="J195" s="25"/>
      <c r="K195" s="25"/>
      <c r="L195" s="25"/>
      <c r="M195" s="25"/>
      <c r="N195" s="25"/>
      <c r="O195" s="25"/>
      <c r="P195" s="25"/>
      <c r="Q195" s="25"/>
      <c r="R195" s="25"/>
      <c r="T195" s="1114" t="s">
        <v>591</v>
      </c>
      <c r="U195" s="1114"/>
      <c r="W195" s="25" t="s">
        <v>738</v>
      </c>
      <c r="X195" s="25"/>
      <c r="Y195" s="25"/>
      <c r="Z195" s="25"/>
      <c r="AA195" s="25"/>
      <c r="AB195" s="25"/>
      <c r="AC195" s="25"/>
      <c r="AD195" s="25"/>
      <c r="AE195" s="25"/>
      <c r="AF195" s="25"/>
      <c r="AG195" s="25"/>
      <c r="AH195" s="1114">
        <v>12</v>
      </c>
      <c r="AI195" s="1114"/>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591</v>
      </c>
      <c r="U196" s="1117"/>
      <c r="W196" s="25" t="s">
        <v>739</v>
      </c>
      <c r="X196" s="25"/>
      <c r="Y196" s="25"/>
      <c r="Z196" s="25"/>
      <c r="AA196" s="25"/>
      <c r="AB196" s="25"/>
      <c r="AC196" s="25"/>
      <c r="AD196" s="25"/>
      <c r="AE196" s="25"/>
      <c r="AF196" s="25"/>
      <c r="AG196" s="25"/>
      <c r="AH196" s="1114">
        <v>17</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722</v>
      </c>
      <c r="U197" s="1117"/>
      <c r="V197" s="12"/>
      <c r="W197" s="25" t="s">
        <v>740</v>
      </c>
      <c r="X197" s="25"/>
      <c r="Y197" s="25"/>
      <c r="Z197" s="25"/>
      <c r="AA197" s="25"/>
      <c r="AB197" s="25"/>
      <c r="AC197" s="25"/>
      <c r="AD197" s="25"/>
      <c r="AE197" s="25"/>
      <c r="AF197" s="25"/>
      <c r="AG197" s="25"/>
      <c r="AH197" s="1114">
        <v>11</v>
      </c>
      <c r="AI197" s="1114"/>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7" t="s">
        <v>722</v>
      </c>
      <c r="Z198" s="111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2">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6" t="s">
        <v>417</v>
      </c>
      <c r="E203" s="1176"/>
      <c r="F203" s="1176"/>
      <c r="G203" s="1176"/>
      <c r="H203" s="1176"/>
      <c r="I203" s="1176"/>
      <c r="J203" s="1176"/>
      <c r="K203" s="1176"/>
      <c r="L203" s="1176"/>
      <c r="M203" s="1176"/>
      <c r="P203" s="1333">
        <f>M26</f>
        <v>1848491</v>
      </c>
      <c r="Q203" s="1334"/>
      <c r="R203" s="1334"/>
      <c r="S203" s="1334"/>
      <c r="T203" s="1334"/>
      <c r="U203" s="1334"/>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2">
      <c r="A204" s="25"/>
      <c r="C204" s="45"/>
      <c r="D204" s="1545" t="s">
        <v>1532</v>
      </c>
      <c r="E204" s="1176"/>
      <c r="F204" s="1176"/>
      <c r="G204" s="1176"/>
      <c r="H204" s="1176"/>
      <c r="I204" s="1176"/>
      <c r="J204" s="1176"/>
      <c r="K204" s="1176"/>
      <c r="L204" s="1176"/>
      <c r="M204" s="1176"/>
      <c r="P204" s="1334">
        <f>M27</f>
        <v>0</v>
      </c>
      <c r="Q204" s="1334"/>
      <c r="R204" s="1334"/>
      <c r="S204" s="1334"/>
      <c r="T204" s="1334"/>
      <c r="U204" s="1334"/>
      <c r="V204" s="47"/>
      <c r="W204" s="25" t="s">
        <v>1533</v>
      </c>
      <c r="X204" s="25"/>
      <c r="Y204" s="25"/>
      <c r="Z204" s="25"/>
      <c r="AA204" s="25"/>
      <c r="AB204" s="25"/>
      <c r="AC204" s="25"/>
      <c r="AD204" s="25"/>
      <c r="AE204" s="25"/>
      <c r="AF204" s="1114" t="s">
        <v>722</v>
      </c>
      <c r="AG204" s="1114"/>
      <c r="AH204" s="25"/>
      <c r="AI204" s="25"/>
      <c r="AJ204" s="3"/>
      <c r="AK204" s="3"/>
      <c r="AL204" s="3"/>
      <c r="AP204" s="708" t="s">
        <v>1177</v>
      </c>
      <c r="AQ204" s="704"/>
      <c r="BA204" s="36" t="s">
        <v>762</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147" t="s">
        <v>1732</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2">
      <c r="A209" s="50" t="s">
        <v>640</v>
      </c>
      <c r="C209" s="50" t="s">
        <v>420</v>
      </c>
      <c r="AA209" s="25"/>
      <c r="AB209" s="25"/>
      <c r="AC209" s="25"/>
      <c r="AD209" s="25"/>
      <c r="AE209" s="25"/>
      <c r="AF209" s="25"/>
      <c r="AJ209" s="3"/>
      <c r="AK209" s="3"/>
      <c r="AL209" s="3"/>
      <c r="BA209" s="36" t="s">
        <v>52</v>
      </c>
      <c r="BG209" s="55" t="s">
        <v>215</v>
      </c>
    </row>
    <row r="210" spans="1:59" ht="13.2">
      <c r="C210" s="45"/>
      <c r="D210" s="1147" t="s">
        <v>1197</v>
      </c>
      <c r="E210" s="1147"/>
      <c r="F210" s="1147"/>
      <c r="G210" s="1147"/>
      <c r="H210" s="1147"/>
      <c r="I210" s="1147"/>
      <c r="J210" s="1147"/>
      <c r="K210" s="1147"/>
      <c r="L210" s="1147"/>
      <c r="M210" s="1147"/>
      <c r="N210" s="12" t="s">
        <v>1517</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3.2">
      <c r="D211" s="35" t="s">
        <v>1008</v>
      </c>
      <c r="AG211" s="3"/>
      <c r="AJ211" s="3"/>
      <c r="AK211" s="3"/>
      <c r="AL211" s="3"/>
      <c r="AP211" s="12" t="s">
        <v>572</v>
      </c>
      <c r="BA211" s="36" t="s">
        <v>136</v>
      </c>
      <c r="BG211" s="55" t="s">
        <v>137</v>
      </c>
    </row>
    <row r="212" spans="1:59" ht="13.2">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2">
      <c r="A214" s="50"/>
      <c r="C214" s="50"/>
      <c r="D214" s="7" t="s">
        <v>1124</v>
      </c>
      <c r="AG214" s="3"/>
      <c r="AJ214" s="3"/>
      <c r="AK214" s="3"/>
      <c r="AL214" s="3"/>
      <c r="AN214" s="58"/>
      <c r="AP214" s="12" t="s">
        <v>614</v>
      </c>
      <c r="BA214" s="36" t="s">
        <v>349</v>
      </c>
      <c r="BG214" s="55" t="s">
        <v>219</v>
      </c>
    </row>
    <row r="215" spans="1:59" ht="13.2">
      <c r="A215" s="50"/>
      <c r="C215" s="50"/>
      <c r="D215" s="1147" t="s">
        <v>712</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574</v>
      </c>
    </row>
    <row r="216" spans="1:59" ht="13.2">
      <c r="A216" s="50"/>
      <c r="B216" s="51"/>
      <c r="C216" s="50"/>
      <c r="AG216" s="3"/>
      <c r="AJ216" s="3"/>
      <c r="AK216" s="3"/>
      <c r="AL216" s="3"/>
      <c r="AM216" s="58"/>
      <c r="AN216" s="58"/>
      <c r="AP216" s="12" t="s">
        <v>575</v>
      </c>
      <c r="BC216" s="61"/>
    </row>
    <row r="217" spans="1:59" ht="13.2">
      <c r="A217" s="1149" t="s">
        <v>586</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8"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641</v>
      </c>
      <c r="AJ221" s="1114"/>
      <c r="AL221" s="58"/>
      <c r="AN221" s="58"/>
      <c r="AO221" s="399" t="s">
        <v>584</v>
      </c>
      <c r="AT221" s="406">
        <f>IF(AND(AND($M$244="for profit",$M$252="nonprofit",$M$260="for profit")),2,0)</f>
        <v>0</v>
      </c>
      <c r="BD221" s="61"/>
    </row>
    <row r="222" spans="1:59" ht="13.2">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641</v>
      </c>
      <c r="AJ222" s="1114"/>
      <c r="AL222" s="58"/>
      <c r="AM222" s="7"/>
      <c r="AN222" s="58"/>
      <c r="AO222" s="400" t="s">
        <v>584</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591</v>
      </c>
      <c r="AJ223" s="1114"/>
      <c r="AL223" s="58"/>
      <c r="AN223" s="58"/>
      <c r="AO223" s="400" t="s">
        <v>584</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641</v>
      </c>
      <c r="AJ224" s="1114"/>
      <c r="AL224" s="58"/>
      <c r="AN224" s="58"/>
      <c r="AO224" s="400" t="s">
        <v>584</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2">
      <c r="D227" s="57" t="s">
        <v>516</v>
      </c>
      <c r="E227" s="57"/>
      <c r="F227" s="57"/>
      <c r="G227" s="57"/>
      <c r="H227" s="57"/>
      <c r="I227" s="57"/>
      <c r="J227" s="57"/>
      <c r="K227" s="7"/>
      <c r="M227" s="1329" t="str">
        <f>H16</f>
        <v xml:space="preserve">San Cristina, L.P. </v>
      </c>
      <c r="N227" s="1329"/>
      <c r="O227" s="1329"/>
      <c r="P227" s="1329"/>
      <c r="Q227" s="1329"/>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O227" s="344" t="s">
        <v>584</v>
      </c>
      <c r="AT227" s="406">
        <f>IF(AND(AND($M$244="nonprofit",$M$252="for profit",$M$260="nonprofit")),2,0)</f>
        <v>0</v>
      </c>
    </row>
    <row r="228" spans="1:59" ht="13.2">
      <c r="D228" s="57" t="s">
        <v>92</v>
      </c>
      <c r="E228" s="57"/>
      <c r="F228" s="57"/>
      <c r="G228" s="57"/>
      <c r="H228" s="57"/>
      <c r="I228" s="57"/>
      <c r="J228" s="57"/>
      <c r="K228" s="7"/>
      <c r="M228" s="1309" t="s">
        <v>1655</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584</v>
      </c>
      <c r="AT228" s="405">
        <f>IF(AND(AND($M$244="for profit",$M$252="nonprofit",$M$260="nonprofit")),2,0)</f>
        <v>0</v>
      </c>
      <c r="BB228" s="61"/>
    </row>
    <row r="229" spans="1:59" ht="13.2">
      <c r="D229" s="57" t="s">
        <v>630</v>
      </c>
      <c r="E229" s="57"/>
      <c r="M229" s="1309" t="s">
        <v>791</v>
      </c>
      <c r="N229" s="1147"/>
      <c r="O229" s="1147"/>
      <c r="P229" s="1147"/>
      <c r="Q229" s="1147"/>
      <c r="R229" s="1147"/>
      <c r="S229" s="1147"/>
      <c r="T229" s="1147"/>
      <c r="V229" s="59" t="s">
        <v>93</v>
      </c>
      <c r="W229" s="1323" t="s">
        <v>1656</v>
      </c>
      <c r="X229" s="1152"/>
      <c r="Y229" s="57" t="s">
        <v>633</v>
      </c>
      <c r="AC229" s="1147">
        <v>94102</v>
      </c>
      <c r="AD229" s="1147"/>
      <c r="AE229" s="1147"/>
      <c r="AO229" s="402"/>
      <c r="AT229" s="403"/>
    </row>
    <row r="230" spans="1:59" ht="13.2">
      <c r="D230" s="60" t="s">
        <v>94</v>
      </c>
      <c r="E230" s="7"/>
      <c r="F230" s="7"/>
      <c r="G230" s="7"/>
      <c r="H230" s="7"/>
      <c r="I230" s="7"/>
      <c r="J230" s="7"/>
      <c r="K230" s="29"/>
      <c r="M230" s="1309" t="s">
        <v>1718</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583</v>
      </c>
      <c r="AT230" s="406">
        <f>IF(AND(AND($M$244="nonprofit",$M$252="nonprofit",$M$260="(select one)")),1,0)</f>
        <v>0</v>
      </c>
    </row>
    <row r="231" spans="1:59" ht="13.2">
      <c r="D231" s="60" t="s">
        <v>95</v>
      </c>
      <c r="E231" s="7"/>
      <c r="F231" s="7"/>
      <c r="M231" s="1157" t="s">
        <v>1665</v>
      </c>
      <c r="N231" s="1120"/>
      <c r="O231" s="1120"/>
      <c r="P231" s="1120"/>
      <c r="Q231" s="1120"/>
      <c r="R231" s="1120"/>
      <c r="S231" s="7" t="s">
        <v>220</v>
      </c>
      <c r="T231" s="7"/>
      <c r="U231" s="1152"/>
      <c r="V231" s="1152"/>
      <c r="W231" s="1152"/>
      <c r="X231" s="7" t="s">
        <v>96</v>
      </c>
      <c r="Z231" s="1157" t="s">
        <v>1660</v>
      </c>
      <c r="AA231" s="1120"/>
      <c r="AB231" s="1120"/>
      <c r="AC231" s="1120"/>
      <c r="AD231" s="1120"/>
      <c r="AE231" s="1120"/>
      <c r="AO231" s="400" t="s">
        <v>583</v>
      </c>
      <c r="AT231" s="406">
        <f>IF(AND(AND($M$244="nonprofit",$M$252="nonprofit",$M$260="nonprofit")),1,0)</f>
        <v>0</v>
      </c>
    </row>
    <row r="232" spans="1:59" ht="13.2">
      <c r="D232" s="60" t="s">
        <v>97</v>
      </c>
      <c r="E232" s="7"/>
      <c r="F232" s="7"/>
      <c r="M232" s="1315" t="s">
        <v>1666</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583</v>
      </c>
      <c r="AT232" s="406">
        <f>IF(AND(AND($M$244="nonprofit",$M$252="(select one)",$M$260="(select one)")),1,0)</f>
        <v>1</v>
      </c>
      <c r="BA232" s="61"/>
    </row>
    <row r="233" spans="1:59" ht="13.2">
      <c r="A233" s="50" t="s">
        <v>636</v>
      </c>
      <c r="C233" s="37" t="s">
        <v>571</v>
      </c>
      <c r="M233" s="1085" t="s">
        <v>574</v>
      </c>
      <c r="N233" s="1085"/>
      <c r="O233" s="1085"/>
      <c r="P233" s="1085"/>
      <c r="Q233" s="1085"/>
      <c r="R233" s="1085"/>
      <c r="S233" s="1085"/>
      <c r="T233" s="1085"/>
      <c r="U233" s="404" t="s">
        <v>1004</v>
      </c>
      <c r="V233" s="335"/>
      <c r="W233" s="335"/>
      <c r="X233" s="335"/>
      <c r="Y233" s="335"/>
      <c r="Z233" s="335"/>
      <c r="AA233" s="1337" t="s">
        <v>1661</v>
      </c>
      <c r="AB233" s="1321"/>
      <c r="AC233" s="1321"/>
      <c r="AD233" s="1321"/>
      <c r="AE233" s="1321"/>
      <c r="AF233" s="1321"/>
      <c r="AG233" s="1321"/>
      <c r="AH233" s="1321"/>
      <c r="AI233" s="1321"/>
      <c r="AJ233" s="1321"/>
      <c r="AK233" s="1321"/>
      <c r="AL233" s="58"/>
      <c r="AO233" s="400" t="s">
        <v>971</v>
      </c>
      <c r="AT233" s="406">
        <f>IF(AND(AND($M$244="for profit",$M$252="for profit",$M$260="(select one)")),3,0)</f>
        <v>0</v>
      </c>
    </row>
    <row r="234" spans="1:59" ht="13.2">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639</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2">
      <c r="A238" s="29"/>
      <c r="B238" s="7"/>
      <c r="C238" s="139" t="s">
        <v>519</v>
      </c>
      <c r="D238" s="57" t="s">
        <v>578</v>
      </c>
      <c r="E238" s="57"/>
      <c r="F238" s="57"/>
      <c r="G238" s="57"/>
      <c r="H238" s="57"/>
      <c r="I238" s="57"/>
      <c r="J238" s="57"/>
      <c r="K238" s="57"/>
      <c r="L238" s="7"/>
      <c r="M238" s="1318" t="s">
        <v>1662</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1663</v>
      </c>
      <c r="AG238" s="1317"/>
      <c r="AH238" s="1317"/>
      <c r="AI238" s="1317"/>
      <c r="AJ238" s="1317"/>
      <c r="AK238" s="1317"/>
      <c r="AT238" s="12">
        <v>1</v>
      </c>
      <c r="AU238" s="12" t="s">
        <v>580</v>
      </c>
      <c r="AZ238" s="25"/>
      <c r="BA238" s="3"/>
      <c r="BB238" s="3"/>
    </row>
    <row r="239" spans="1:59" ht="13.2">
      <c r="A239" s="29"/>
      <c r="B239" s="7"/>
      <c r="C239" s="7"/>
      <c r="D239" s="57" t="s">
        <v>92</v>
      </c>
      <c r="E239" s="57"/>
      <c r="F239" s="57"/>
      <c r="G239" s="57"/>
      <c r="H239" s="57"/>
      <c r="I239" s="57"/>
      <c r="J239" s="57"/>
      <c r="K239" s="57"/>
      <c r="L239" s="7"/>
      <c r="M239" s="1309" t="s">
        <v>1664</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1419</v>
      </c>
      <c r="AG239" s="743"/>
      <c r="AH239" s="743"/>
      <c r="AI239" s="743"/>
      <c r="AJ239" s="743"/>
      <c r="AK239" s="743"/>
      <c r="AL239" s="7"/>
      <c r="AT239" s="12">
        <v>2</v>
      </c>
      <c r="AU239" s="12" t="s">
        <v>614</v>
      </c>
      <c r="BA239" s="3"/>
      <c r="BB239" s="398" t="str">
        <f>VLOOKUP(AT237,AT238:AU240,2,FALSE)</f>
        <v>Nonprofit</v>
      </c>
    </row>
    <row r="240" spans="1:59" ht="13.2">
      <c r="A240" s="29"/>
      <c r="B240" s="7"/>
      <c r="C240" s="7"/>
      <c r="D240" s="57" t="s">
        <v>630</v>
      </c>
      <c r="E240" s="57"/>
      <c r="M240" s="1309" t="s">
        <v>791</v>
      </c>
      <c r="N240" s="1147"/>
      <c r="O240" s="1147"/>
      <c r="P240" s="1147"/>
      <c r="Q240" s="1147"/>
      <c r="R240" s="1147"/>
      <c r="S240" s="1147"/>
      <c r="T240" s="1147"/>
      <c r="V240" s="59" t="s">
        <v>93</v>
      </c>
      <c r="W240" s="1323" t="s">
        <v>1656</v>
      </c>
      <c r="X240" s="1152"/>
      <c r="Y240" s="57" t="s">
        <v>633</v>
      </c>
      <c r="AC240" s="1147">
        <v>94102</v>
      </c>
      <c r="AD240" s="1147"/>
      <c r="AE240" s="1147"/>
      <c r="AF240" s="58" t="s">
        <v>1420</v>
      </c>
      <c r="AG240" s="743"/>
      <c r="AH240" s="743"/>
      <c r="AI240" s="743"/>
      <c r="AJ240" s="743"/>
      <c r="AK240" s="743"/>
      <c r="AN240" s="12" t="s">
        <v>329</v>
      </c>
      <c r="AT240" s="12">
        <v>3</v>
      </c>
      <c r="AU240" s="12" t="s">
        <v>582</v>
      </c>
      <c r="BA240" s="407"/>
      <c r="BB240" s="39"/>
    </row>
    <row r="241" spans="1:53" ht="13.2">
      <c r="A241" s="29"/>
      <c r="B241" s="7"/>
      <c r="C241" s="7"/>
      <c r="D241" s="60" t="s">
        <v>94</v>
      </c>
      <c r="E241" s="7"/>
      <c r="F241" s="7"/>
      <c r="G241" s="7"/>
      <c r="H241" s="7"/>
      <c r="I241" s="7"/>
      <c r="J241" s="7"/>
      <c r="K241" s="7"/>
      <c r="L241" s="29"/>
      <c r="M241" s="1309" t="s">
        <v>1718</v>
      </c>
      <c r="N241" s="1147"/>
      <c r="O241" s="1147"/>
      <c r="P241" s="1147"/>
      <c r="Q241" s="1147"/>
      <c r="R241" s="1147"/>
      <c r="S241" s="1147"/>
      <c r="T241" s="1147"/>
      <c r="U241" s="1147"/>
      <c r="V241" s="1147"/>
      <c r="W241" s="1147"/>
      <c r="X241" s="1147"/>
      <c r="Y241" s="1147"/>
      <c r="Z241" s="1147"/>
      <c r="AA241" s="1147"/>
      <c r="AB241" s="1147"/>
      <c r="AC241" s="1147"/>
      <c r="AD241" s="1147"/>
      <c r="AE241" s="1147"/>
      <c r="AH241" s="1125">
        <v>0.01</v>
      </c>
      <c r="AI241" s="1125"/>
      <c r="AJ241" s="1125"/>
      <c r="AK241" s="1125"/>
      <c r="AL241" s="7"/>
      <c r="AN241" s="7" t="s">
        <v>296</v>
      </c>
      <c r="BA241" s="61"/>
    </row>
    <row r="242" spans="1:53" ht="13.2">
      <c r="A242" s="29"/>
      <c r="B242" s="7"/>
      <c r="C242" s="7"/>
      <c r="D242" s="60" t="s">
        <v>95</v>
      </c>
      <c r="E242" s="7"/>
      <c r="F242" s="7"/>
      <c r="M242" s="1157" t="s">
        <v>1665</v>
      </c>
      <c r="N242" s="1120"/>
      <c r="O242" s="1120"/>
      <c r="P242" s="1120"/>
      <c r="Q242" s="1120"/>
      <c r="R242" s="1120"/>
      <c r="S242" s="7" t="s">
        <v>220</v>
      </c>
      <c r="T242" s="7"/>
      <c r="U242" s="1152"/>
      <c r="V242" s="1152"/>
      <c r="W242" s="1152"/>
      <c r="X242" s="7" t="s">
        <v>96</v>
      </c>
      <c r="Z242" s="1120"/>
      <c r="AA242" s="1120"/>
      <c r="AB242" s="1120"/>
      <c r="AC242" s="1120"/>
      <c r="AD242" s="1120"/>
      <c r="AE242" s="1120"/>
      <c r="AN242" s="7" t="s">
        <v>186</v>
      </c>
      <c r="BA242" s="61"/>
    </row>
    <row r="243" spans="1:53" ht="13.2">
      <c r="A243" s="29"/>
      <c r="B243" s="7"/>
      <c r="C243" s="7"/>
      <c r="D243" s="60" t="s">
        <v>97</v>
      </c>
      <c r="E243" s="7"/>
      <c r="F243" s="7"/>
      <c r="M243" s="1315" t="s">
        <v>1666</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3.2">
      <c r="A244" s="23"/>
      <c r="B244" s="7"/>
      <c r="C244" s="139"/>
      <c r="D244" s="60" t="s">
        <v>581</v>
      </c>
      <c r="E244" s="7"/>
      <c r="F244" s="7"/>
      <c r="G244" s="7"/>
      <c r="H244" s="7"/>
      <c r="I244" s="7"/>
      <c r="J244" s="7"/>
      <c r="K244" s="7"/>
      <c r="L244" s="7"/>
      <c r="M244" s="1085" t="s">
        <v>580</v>
      </c>
      <c r="N244" s="1085"/>
      <c r="O244" s="1085"/>
      <c r="P244" s="1085"/>
      <c r="Q244" s="1085"/>
      <c r="R244" s="1085"/>
      <c r="S244" s="1085"/>
      <c r="T244" s="1085"/>
      <c r="U244" s="404" t="s">
        <v>1004</v>
      </c>
      <c r="V244" s="335"/>
      <c r="W244" s="335"/>
      <c r="X244" s="335"/>
      <c r="Y244" s="335"/>
      <c r="Z244" s="335"/>
      <c r="AA244" s="1337" t="s">
        <v>1661</v>
      </c>
      <c r="AB244" s="1321"/>
      <c r="AC244" s="1321"/>
      <c r="AD244" s="1321"/>
      <c r="AE244" s="1321"/>
      <c r="AF244" s="1321"/>
      <c r="AG244" s="1321"/>
      <c r="AH244" s="1321"/>
      <c r="AI244" s="1321"/>
      <c r="AJ244" s="1321"/>
      <c r="AK244" s="1321"/>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317"/>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3.2">
      <c r="A247" s="29"/>
      <c r="B247" s="7"/>
      <c r="C247" s="7"/>
      <c r="D247" s="57" t="s">
        <v>92</v>
      </c>
      <c r="E247" s="57"/>
      <c r="F247" s="57"/>
      <c r="G247" s="57"/>
      <c r="H247" s="57"/>
      <c r="I247" s="57"/>
      <c r="J247" s="57"/>
      <c r="K247" s="57"/>
      <c r="L247" s="7"/>
      <c r="M247" s="1147"/>
      <c r="N247" s="1147"/>
      <c r="O247" s="1147"/>
      <c r="P247" s="1147"/>
      <c r="Q247" s="1147"/>
      <c r="R247" s="1147"/>
      <c r="S247" s="1147"/>
      <c r="T247" s="1147"/>
      <c r="U247" s="1147"/>
      <c r="V247" s="1147"/>
      <c r="W247" s="1147"/>
      <c r="X247" s="1147"/>
      <c r="Y247" s="1147"/>
      <c r="Z247" s="1147"/>
      <c r="AA247" s="1147"/>
      <c r="AB247" s="1147"/>
      <c r="AC247" s="1147"/>
      <c r="AD247" s="1147"/>
      <c r="AE247" s="1147"/>
      <c r="AF247" s="58" t="s">
        <v>1419</v>
      </c>
      <c r="AG247" s="743"/>
      <c r="AH247" s="743"/>
      <c r="AI247" s="743"/>
      <c r="AJ247" s="743"/>
      <c r="AK247" s="743"/>
      <c r="AL247" s="7"/>
      <c r="BA247" s="61"/>
    </row>
    <row r="248" spans="1:53" ht="13.2">
      <c r="A248" s="29"/>
      <c r="B248" s="7"/>
      <c r="C248" s="7"/>
      <c r="D248" s="57" t="s">
        <v>630</v>
      </c>
      <c r="E248" s="57"/>
      <c r="M248" s="1147"/>
      <c r="N248" s="1147"/>
      <c r="O248" s="1147"/>
      <c r="P248" s="1147"/>
      <c r="Q248" s="1147"/>
      <c r="R248" s="1147"/>
      <c r="S248" s="1147"/>
      <c r="T248" s="1147"/>
      <c r="V248" s="59" t="s">
        <v>93</v>
      </c>
      <c r="W248" s="1152"/>
      <c r="X248" s="1152"/>
      <c r="Y248" s="57" t="s">
        <v>633</v>
      </c>
      <c r="AC248" s="1147"/>
      <c r="AD248" s="1147"/>
      <c r="AE248" s="1147"/>
      <c r="AF248" s="58" t="s">
        <v>1420</v>
      </c>
      <c r="AG248" s="743"/>
      <c r="AH248" s="743"/>
      <c r="AI248" s="743"/>
      <c r="AJ248" s="743"/>
      <c r="AK248" s="743"/>
    </row>
    <row r="249" spans="1:53" ht="13.2">
      <c r="A249" s="29"/>
      <c r="B249" s="7"/>
      <c r="C249" s="7"/>
      <c r="D249" s="60" t="s">
        <v>94</v>
      </c>
      <c r="E249" s="7"/>
      <c r="F249" s="7"/>
      <c r="G249" s="7"/>
      <c r="H249" s="7"/>
      <c r="I249" s="7"/>
      <c r="J249" s="7"/>
      <c r="K249" s="7"/>
      <c r="L249" s="29"/>
      <c r="M249" s="1147"/>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5"/>
      <c r="AI249" s="1125"/>
      <c r="AJ249" s="1125"/>
      <c r="AK249" s="1125"/>
      <c r="AL249" s="7"/>
      <c r="BA249" s="61"/>
    </row>
    <row r="250" spans="1:53" ht="13.2">
      <c r="A250" s="29"/>
      <c r="B250" s="7"/>
      <c r="C250" s="7"/>
      <c r="D250" s="60" t="s">
        <v>95</v>
      </c>
      <c r="E250" s="7"/>
      <c r="F250" s="7"/>
      <c r="M250" s="1120"/>
      <c r="N250" s="1120"/>
      <c r="O250" s="1120"/>
      <c r="P250" s="1120"/>
      <c r="Q250" s="1120"/>
      <c r="R250" s="1120"/>
      <c r="S250" s="7" t="s">
        <v>220</v>
      </c>
      <c r="T250" s="7"/>
      <c r="U250" s="1152"/>
      <c r="V250" s="1152"/>
      <c r="W250" s="1152"/>
      <c r="X250" s="7" t="s">
        <v>96</v>
      </c>
      <c r="Z250" s="1120"/>
      <c r="AA250" s="1120"/>
      <c r="AB250" s="1120"/>
      <c r="AC250" s="1120"/>
      <c r="AD250" s="1120"/>
      <c r="AE250" s="1120"/>
      <c r="BA250" s="61"/>
    </row>
    <row r="251" spans="1:53" ht="12.75" customHeight="1">
      <c r="A251" s="29"/>
      <c r="B251" s="7"/>
      <c r="C251" s="7"/>
      <c r="D251" s="60" t="s">
        <v>97</v>
      </c>
      <c r="E251" s="7"/>
      <c r="F251" s="7"/>
      <c r="M251" s="1315"/>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329</v>
      </c>
      <c r="N252" s="1085"/>
      <c r="O252" s="1085"/>
      <c r="P252" s="1085"/>
      <c r="Q252" s="1085"/>
      <c r="R252" s="1085"/>
      <c r="S252" s="1085"/>
      <c r="T252" s="1085"/>
      <c r="U252" s="404" t="s">
        <v>1004</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3.2">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1419</v>
      </c>
      <c r="AG255" s="743"/>
      <c r="AH255" s="743"/>
      <c r="AI255" s="743"/>
      <c r="AJ255" s="743"/>
      <c r="AK255" s="743"/>
      <c r="AL255" s="58"/>
      <c r="BA255" s="61"/>
    </row>
    <row r="256" spans="1:53" ht="13.2">
      <c r="A256" s="23"/>
      <c r="B256" s="7"/>
      <c r="C256" s="7"/>
      <c r="D256" s="57" t="s">
        <v>630</v>
      </c>
      <c r="E256" s="57"/>
      <c r="M256" s="1147"/>
      <c r="N256" s="1147"/>
      <c r="O256" s="1147"/>
      <c r="P256" s="1147"/>
      <c r="Q256" s="1147"/>
      <c r="R256" s="1147"/>
      <c r="S256" s="1147"/>
      <c r="T256" s="1147"/>
      <c r="V256" s="59" t="s">
        <v>93</v>
      </c>
      <c r="W256" s="1152"/>
      <c r="X256" s="1152"/>
      <c r="Y256" s="57" t="s">
        <v>633</v>
      </c>
      <c r="AC256" s="1147"/>
      <c r="AD256" s="1147"/>
      <c r="AE256" s="1147"/>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5"/>
      <c r="AI257" s="1125"/>
      <c r="AJ257" s="1125"/>
      <c r="AK257" s="1125"/>
      <c r="AL257" s="58"/>
      <c r="BA257" s="61"/>
    </row>
    <row r="258" spans="1:53" ht="13.2">
      <c r="A258" s="23"/>
      <c r="B258" s="7"/>
      <c r="C258" s="7"/>
      <c r="D258" s="60" t="s">
        <v>95</v>
      </c>
      <c r="E258" s="7"/>
      <c r="F258" s="7"/>
      <c r="M258" s="1120"/>
      <c r="N258" s="1120"/>
      <c r="O258" s="1120"/>
      <c r="P258" s="1120"/>
      <c r="Q258" s="1120"/>
      <c r="R258" s="1120"/>
      <c r="S258" s="7" t="s">
        <v>220</v>
      </c>
      <c r="T258" s="7"/>
      <c r="U258" s="1152"/>
      <c r="V258" s="1152"/>
      <c r="W258" s="1152"/>
      <c r="X258" s="7" t="s">
        <v>96</v>
      </c>
      <c r="Z258" s="1120"/>
      <c r="AA258" s="1120"/>
      <c r="AB258" s="1120"/>
      <c r="AC258" s="1120"/>
      <c r="AD258" s="1120"/>
      <c r="AE258" s="1120"/>
      <c r="AL258" s="58"/>
      <c r="BA258" s="61"/>
    </row>
    <row r="259" spans="1:53" ht="13.2">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1"/>
      <c r="AB259" s="1331"/>
      <c r="AC259" s="1331"/>
      <c r="AD259" s="1331"/>
      <c r="AE259" s="1331"/>
      <c r="AG259" s="7"/>
      <c r="AH259" s="7"/>
      <c r="AI259" s="7"/>
      <c r="AJ259" s="7"/>
      <c r="AK259" s="7"/>
      <c r="AL259" s="58"/>
      <c r="BA259" s="61"/>
    </row>
    <row r="260" spans="1:53" ht="13.2">
      <c r="A260" s="23"/>
      <c r="B260" s="7"/>
      <c r="C260" s="139"/>
      <c r="D260" s="60" t="s">
        <v>581</v>
      </c>
      <c r="E260" s="7"/>
      <c r="F260" s="7"/>
      <c r="G260" s="7"/>
      <c r="H260" s="7"/>
      <c r="I260" s="7"/>
      <c r="J260" s="7"/>
      <c r="K260" s="7"/>
      <c r="L260" s="7"/>
      <c r="M260" s="1085" t="s">
        <v>329</v>
      </c>
      <c r="N260" s="1085"/>
      <c r="O260" s="1085"/>
      <c r="P260" s="1085"/>
      <c r="Q260" s="1085"/>
      <c r="R260" s="1085"/>
      <c r="S260" s="1085"/>
      <c r="T260" s="1085"/>
      <c r="U260" s="404" t="s">
        <v>1004</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640</v>
      </c>
      <c r="B262" s="7"/>
      <c r="C262" s="50" t="s">
        <v>314</v>
      </c>
      <c r="D262" s="7"/>
      <c r="E262" s="7"/>
      <c r="F262" s="7"/>
      <c r="G262" s="7"/>
      <c r="H262" s="7"/>
      <c r="I262" s="7"/>
      <c r="J262" s="7"/>
      <c r="K262" s="7"/>
      <c r="L262" s="7"/>
      <c r="M262" s="150"/>
      <c r="N262" s="150"/>
      <c r="O262" s="150"/>
      <c r="P262" s="150"/>
      <c r="Q262" s="150"/>
      <c r="T262" s="1325" t="str">
        <f>BB239</f>
        <v>Nonprofit</v>
      </c>
      <c r="U262" s="1325"/>
      <c r="V262" s="1325"/>
      <c r="W262" s="1325"/>
      <c r="X262" s="1325"/>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2">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147" t="s">
        <v>296</v>
      </c>
      <c r="E265" s="1147"/>
      <c r="F265" s="1147"/>
      <c r="G265" s="1147"/>
      <c r="H265" s="1147"/>
      <c r="J265" s="12" t="s">
        <v>295</v>
      </c>
      <c r="X265" s="1324"/>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318" t="s">
        <v>1661</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309" t="s">
        <v>1667</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3.2">
      <c r="D271" s="57" t="s">
        <v>630</v>
      </c>
      <c r="E271" s="57"/>
      <c r="L271" s="1309" t="s">
        <v>791</v>
      </c>
      <c r="M271" s="1147"/>
      <c r="N271" s="1147"/>
      <c r="O271" s="1147"/>
      <c r="P271" s="1147"/>
      <c r="Q271" s="1147"/>
      <c r="R271" s="1147"/>
      <c r="S271" s="1147"/>
      <c r="U271" s="59" t="s">
        <v>93</v>
      </c>
      <c r="V271" s="1323" t="s">
        <v>1656</v>
      </c>
      <c r="W271" s="1152"/>
      <c r="X271" s="57" t="s">
        <v>633</v>
      </c>
      <c r="AB271" s="1147">
        <v>94102</v>
      </c>
      <c r="AC271" s="1147"/>
      <c r="AD271" s="1147"/>
      <c r="AK271" s="58"/>
      <c r="AL271" s="58"/>
      <c r="BA271" s="61"/>
    </row>
    <row r="272" spans="1:53" ht="13.2">
      <c r="D272" s="60" t="s">
        <v>94</v>
      </c>
      <c r="E272" s="7"/>
      <c r="F272" s="7"/>
      <c r="G272" s="7"/>
      <c r="H272" s="7"/>
      <c r="I272" s="7"/>
      <c r="J272" s="7"/>
      <c r="K272" s="29"/>
      <c r="L272" s="1309" t="s">
        <v>1657</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3.2">
      <c r="D273" s="60" t="s">
        <v>95</v>
      </c>
      <c r="E273" s="7"/>
      <c r="F273" s="7"/>
      <c r="L273" s="1157" t="s">
        <v>1658</v>
      </c>
      <c r="M273" s="1120"/>
      <c r="N273" s="1120"/>
      <c r="O273" s="1120"/>
      <c r="P273" s="1120"/>
      <c r="Q273" s="1120"/>
      <c r="R273" s="7" t="s">
        <v>220</v>
      </c>
      <c r="S273" s="7"/>
      <c r="T273" s="1152"/>
      <c r="U273" s="1152"/>
      <c r="V273" s="1152"/>
      <c r="W273" s="7" t="s">
        <v>96</v>
      </c>
      <c r="Y273" s="1120"/>
      <c r="Z273" s="1120"/>
      <c r="AA273" s="1120"/>
      <c r="AB273" s="1120"/>
      <c r="AC273" s="1120"/>
      <c r="AD273" s="1120"/>
      <c r="BA273" s="61"/>
    </row>
    <row r="274" spans="1:53" ht="13.2">
      <c r="D274" s="60" t="s">
        <v>97</v>
      </c>
      <c r="E274" s="7"/>
      <c r="F274" s="7"/>
      <c r="L274" s="1315" t="s">
        <v>1659</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3.2">
      <c r="D275" s="58" t="s">
        <v>673</v>
      </c>
      <c r="E275" s="58"/>
      <c r="F275" s="58"/>
      <c r="G275" s="58"/>
      <c r="H275" s="58"/>
      <c r="I275" s="58"/>
      <c r="L275" s="1323" t="s">
        <v>1771</v>
      </c>
      <c r="M275" s="1323"/>
      <c r="N275" s="1323"/>
      <c r="O275" s="1323"/>
      <c r="P275" s="1323"/>
      <c r="Q275" s="1323"/>
      <c r="R275" s="1323"/>
      <c r="S275" s="1323"/>
      <c r="T275" s="1323"/>
      <c r="U275" s="1323"/>
      <c r="V275" s="1323"/>
      <c r="W275" s="1323"/>
      <c r="X275" s="1323"/>
      <c r="Y275" s="1323"/>
      <c r="Z275" s="1323"/>
      <c r="AA275" s="1323"/>
      <c r="AB275" s="1323"/>
      <c r="AC275" s="1323"/>
      <c r="AD275" s="1323"/>
      <c r="AK275" s="58"/>
      <c r="AL275" s="58"/>
      <c r="BA275" s="61"/>
    </row>
    <row r="276" spans="1:53" ht="13.2">
      <c r="L276" s="35" t="s">
        <v>674</v>
      </c>
      <c r="BA276" s="61"/>
    </row>
    <row r="277" spans="1:53" ht="13.2">
      <c r="A277" s="1149" t="s">
        <v>587</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8"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676</v>
      </c>
      <c r="C282" s="58"/>
      <c r="D282" s="58"/>
      <c r="E282" s="58"/>
      <c r="F282" s="58"/>
      <c r="H282" s="1086" t="s">
        <v>1661</v>
      </c>
      <c r="I282" s="1086"/>
      <c r="J282" s="1086"/>
      <c r="K282" s="1086"/>
      <c r="L282" s="1086"/>
      <c r="M282" s="1086"/>
      <c r="N282" s="1086"/>
      <c r="O282" s="1086"/>
      <c r="P282" s="1086"/>
      <c r="Q282" s="1086"/>
      <c r="R282" s="1086"/>
      <c r="T282" s="58" t="s">
        <v>615</v>
      </c>
      <c r="V282" s="58"/>
      <c r="W282" s="58"/>
      <c r="X282" s="58"/>
      <c r="Y282" s="58"/>
      <c r="AA282" s="1086" t="s">
        <v>1722</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085" t="s">
        <v>1668</v>
      </c>
      <c r="I283" s="1085"/>
      <c r="J283" s="1085"/>
      <c r="K283" s="1085"/>
      <c r="L283" s="1085"/>
      <c r="M283" s="1085"/>
      <c r="N283" s="1085"/>
      <c r="O283" s="1085"/>
      <c r="P283" s="1085"/>
      <c r="Q283" s="1085"/>
      <c r="R283" s="1085"/>
      <c r="T283" s="58" t="s">
        <v>517</v>
      </c>
      <c r="V283" s="58"/>
      <c r="W283" s="58"/>
      <c r="X283" s="58"/>
      <c r="Y283" s="58"/>
      <c r="AA283" s="1085" t="s">
        <v>1676</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085" t="s">
        <v>1669</v>
      </c>
      <c r="I284" s="1085"/>
      <c r="J284" s="1085"/>
      <c r="K284" s="1085"/>
      <c r="L284" s="1085"/>
      <c r="M284" s="1085"/>
      <c r="N284" s="1085"/>
      <c r="O284" s="1085"/>
      <c r="P284" s="1085"/>
      <c r="Q284" s="1085"/>
      <c r="R284" s="1085"/>
      <c r="T284" s="58" t="s">
        <v>81</v>
      </c>
      <c r="V284" s="58"/>
      <c r="W284" s="58"/>
      <c r="X284" s="58"/>
      <c r="Y284" s="58"/>
      <c r="AA284" s="1085" t="s">
        <v>1677</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1718</v>
      </c>
      <c r="I285" s="1085"/>
      <c r="J285" s="1085"/>
      <c r="K285" s="1085"/>
      <c r="L285" s="1085"/>
      <c r="M285" s="1085"/>
      <c r="N285" s="1085"/>
      <c r="O285" s="1085"/>
      <c r="P285" s="1085"/>
      <c r="Q285" s="1085"/>
      <c r="R285" s="1085"/>
      <c r="T285" s="58" t="s">
        <v>94</v>
      </c>
      <c r="V285" s="58"/>
      <c r="W285" s="58"/>
      <c r="X285" s="58"/>
      <c r="Y285" s="58"/>
      <c r="AA285" s="1085" t="s">
        <v>1678</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1665</v>
      </c>
      <c r="I286" s="1100"/>
      <c r="J286" s="1100"/>
      <c r="K286" s="1100"/>
      <c r="L286" s="1100"/>
      <c r="M286" s="1100"/>
      <c r="N286" s="7" t="s">
        <v>220</v>
      </c>
      <c r="O286" s="7"/>
      <c r="P286" s="1147"/>
      <c r="Q286" s="1147"/>
      <c r="R286" s="1147"/>
      <c r="S286" s="58"/>
      <c r="T286" s="58" t="s">
        <v>95</v>
      </c>
      <c r="V286" s="58"/>
      <c r="W286" s="58"/>
      <c r="X286" s="58"/>
      <c r="Y286" s="58"/>
      <c r="AA286" s="1099" t="s">
        <v>1679</v>
      </c>
      <c r="AB286" s="1100"/>
      <c r="AC286" s="1100"/>
      <c r="AD286" s="1100"/>
      <c r="AE286" s="1100"/>
      <c r="AF286" s="1100"/>
      <c r="AG286" s="7" t="s">
        <v>220</v>
      </c>
      <c r="AH286" s="7"/>
      <c r="AI286" s="1147"/>
      <c r="AJ286" s="1147"/>
      <c r="AK286" s="1147"/>
      <c r="BA286" s="61"/>
    </row>
    <row r="287" spans="1:53" ht="13.2">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3.2">
      <c r="B288" s="58" t="s">
        <v>82</v>
      </c>
      <c r="C288" s="58"/>
      <c r="D288" s="58"/>
      <c r="E288" s="58"/>
      <c r="F288" s="58"/>
      <c r="G288" s="58"/>
      <c r="H288" s="1085" t="s">
        <v>1666</v>
      </c>
      <c r="I288" s="1085"/>
      <c r="J288" s="1085"/>
      <c r="K288" s="1085"/>
      <c r="L288" s="1085"/>
      <c r="M288" s="1085"/>
      <c r="N288" s="1086"/>
      <c r="O288" s="1086"/>
      <c r="P288" s="1086"/>
      <c r="Q288" s="1086"/>
      <c r="R288" s="1086"/>
      <c r="S288" s="58"/>
      <c r="T288" s="58" t="s">
        <v>82</v>
      </c>
      <c r="V288" s="58"/>
      <c r="W288" s="58"/>
      <c r="X288" s="58"/>
      <c r="Y288" s="58"/>
      <c r="AA288" s="1085" t="s">
        <v>1680</v>
      </c>
      <c r="AB288" s="1085"/>
      <c r="AC288" s="1085"/>
      <c r="AD288" s="1085"/>
      <c r="AE288" s="1085"/>
      <c r="AF288" s="1085"/>
      <c r="AG288" s="1086"/>
      <c r="AH288" s="1086"/>
      <c r="AI288" s="1086"/>
      <c r="AJ288" s="1086"/>
      <c r="AK288" s="1086"/>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86" t="s">
        <v>1670</v>
      </c>
      <c r="I290" s="1086"/>
      <c r="J290" s="1086"/>
      <c r="K290" s="1086"/>
      <c r="L290" s="1086"/>
      <c r="M290" s="1086"/>
      <c r="N290" s="1086"/>
      <c r="O290" s="1086"/>
      <c r="P290" s="1086"/>
      <c r="Q290" s="1086"/>
      <c r="R290" s="1086"/>
      <c r="T290" s="58" t="s">
        <v>388</v>
      </c>
      <c r="V290" s="58"/>
      <c r="W290" s="58"/>
      <c r="X290" s="58"/>
      <c r="Y290" s="58"/>
      <c r="AA290" s="1086" t="s">
        <v>1681</v>
      </c>
      <c r="AB290" s="1086"/>
      <c r="AC290" s="1086"/>
      <c r="AD290" s="1086"/>
      <c r="AE290" s="1086"/>
      <c r="AF290" s="1086"/>
      <c r="AG290" s="1086"/>
      <c r="AH290" s="1086"/>
      <c r="AI290" s="1086"/>
      <c r="AJ290" s="1086"/>
      <c r="AK290" s="1086"/>
      <c r="BA290" s="61"/>
    </row>
    <row r="291" spans="2:53" ht="13.2">
      <c r="B291" s="58" t="s">
        <v>517</v>
      </c>
      <c r="C291" s="58"/>
      <c r="D291" s="58"/>
      <c r="E291" s="58"/>
      <c r="F291" s="58"/>
      <c r="H291" s="1085" t="s">
        <v>1672</v>
      </c>
      <c r="I291" s="1085"/>
      <c r="J291" s="1085"/>
      <c r="K291" s="1085"/>
      <c r="L291" s="1085"/>
      <c r="M291" s="1085"/>
      <c r="N291" s="1085"/>
      <c r="O291" s="1085"/>
      <c r="P291" s="1085"/>
      <c r="Q291" s="1085"/>
      <c r="R291" s="1085"/>
      <c r="T291" s="58" t="s">
        <v>517</v>
      </c>
      <c r="V291" s="58"/>
      <c r="W291" s="58"/>
      <c r="X291" s="58"/>
      <c r="Y291" s="58"/>
      <c r="AA291" s="1085" t="s">
        <v>1723</v>
      </c>
      <c r="AB291" s="1085"/>
      <c r="AC291" s="1085"/>
      <c r="AD291" s="1085"/>
      <c r="AE291" s="1085"/>
      <c r="AF291" s="1085"/>
      <c r="AG291" s="1085"/>
      <c r="AH291" s="1085"/>
      <c r="AI291" s="1085"/>
      <c r="AJ291" s="1085"/>
      <c r="AK291" s="1085"/>
      <c r="BA291" s="61"/>
    </row>
    <row r="292" spans="2:53" ht="13.2">
      <c r="B292" s="58" t="s">
        <v>518</v>
      </c>
      <c r="C292" s="58"/>
      <c r="D292" s="58"/>
      <c r="E292" s="58"/>
      <c r="F292" s="58"/>
      <c r="H292" s="1085" t="s">
        <v>1673</v>
      </c>
      <c r="I292" s="1085"/>
      <c r="J292" s="1085"/>
      <c r="K292" s="1085"/>
      <c r="L292" s="1085"/>
      <c r="M292" s="1085"/>
      <c r="N292" s="1085"/>
      <c r="O292" s="1085"/>
      <c r="P292" s="1085"/>
      <c r="Q292" s="1085"/>
      <c r="R292" s="1085"/>
      <c r="T292" s="58" t="s">
        <v>81</v>
      </c>
      <c r="V292" s="58"/>
      <c r="W292" s="58"/>
      <c r="X292" s="58"/>
      <c r="Y292" s="58"/>
      <c r="AA292" s="1085" t="s">
        <v>1682</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1671</v>
      </c>
      <c r="I293" s="1085"/>
      <c r="J293" s="1085"/>
      <c r="K293" s="1085"/>
      <c r="L293" s="1085"/>
      <c r="M293" s="1085"/>
      <c r="N293" s="1085"/>
      <c r="O293" s="1085"/>
      <c r="P293" s="1085"/>
      <c r="Q293" s="1085"/>
      <c r="R293" s="1085"/>
      <c r="T293" s="58" t="s">
        <v>94</v>
      </c>
      <c r="V293" s="58"/>
      <c r="W293" s="58"/>
      <c r="X293" s="58"/>
      <c r="Y293" s="58"/>
      <c r="AA293" s="1085" t="s">
        <v>1683</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1674</v>
      </c>
      <c r="I294" s="1100"/>
      <c r="J294" s="1100"/>
      <c r="K294" s="1100"/>
      <c r="L294" s="1100"/>
      <c r="M294" s="1100"/>
      <c r="N294" s="7" t="s">
        <v>220</v>
      </c>
      <c r="O294" s="7"/>
      <c r="P294" s="1147">
        <v>120</v>
      </c>
      <c r="Q294" s="1147"/>
      <c r="R294" s="1147"/>
      <c r="S294" s="58"/>
      <c r="T294" s="58" t="s">
        <v>95</v>
      </c>
      <c r="V294" s="58"/>
      <c r="W294" s="58"/>
      <c r="X294" s="58"/>
      <c r="Y294" s="58"/>
      <c r="AA294" s="1099" t="s">
        <v>1684</v>
      </c>
      <c r="AB294" s="1100"/>
      <c r="AC294" s="1100"/>
      <c r="AD294" s="1100"/>
      <c r="AE294" s="1100"/>
      <c r="AF294" s="1100"/>
      <c r="AG294" s="7" t="s">
        <v>220</v>
      </c>
      <c r="AH294" s="7"/>
      <c r="AI294" s="1147"/>
      <c r="AJ294" s="1147"/>
      <c r="AK294" s="1147"/>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57" t="s">
        <v>1686</v>
      </c>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5" t="s">
        <v>1675</v>
      </c>
      <c r="I296" s="1085"/>
      <c r="J296" s="1085"/>
      <c r="K296" s="1085"/>
      <c r="L296" s="1085"/>
      <c r="M296" s="1085"/>
      <c r="N296" s="1086"/>
      <c r="O296" s="1086"/>
      <c r="P296" s="1086"/>
      <c r="Q296" s="1086"/>
      <c r="R296" s="1086"/>
      <c r="S296" s="58"/>
      <c r="T296" s="58" t="s">
        <v>82</v>
      </c>
      <c r="V296" s="58"/>
      <c r="W296" s="58"/>
      <c r="X296" s="58"/>
      <c r="Y296" s="58"/>
      <c r="AA296" s="1085" t="s">
        <v>1685</v>
      </c>
      <c r="AB296" s="1085"/>
      <c r="AC296" s="1085"/>
      <c r="AD296" s="1085"/>
      <c r="AE296" s="1085"/>
      <c r="AF296" s="1085"/>
      <c r="AG296" s="1086"/>
      <c r="AH296" s="1086"/>
      <c r="AI296" s="1086"/>
      <c r="AJ296" s="1086"/>
      <c r="AK296" s="1086"/>
      <c r="BA296" s="61"/>
    </row>
    <row r="297" spans="2:53" ht="13.2">
      <c r="BA297" s="61"/>
    </row>
    <row r="298" spans="2:53" ht="13.2">
      <c r="B298" s="58" t="s">
        <v>83</v>
      </c>
      <c r="C298" s="58"/>
      <c r="D298" s="58"/>
      <c r="E298" s="58"/>
      <c r="F298" s="58"/>
      <c r="H298" s="1086" t="s">
        <v>1670</v>
      </c>
      <c r="I298" s="1086"/>
      <c r="J298" s="1086"/>
      <c r="K298" s="1086"/>
      <c r="L298" s="1086"/>
      <c r="M298" s="1086"/>
      <c r="N298" s="1086"/>
      <c r="O298" s="1086"/>
      <c r="P298" s="1086"/>
      <c r="Q298" s="1086"/>
      <c r="R298" s="1086"/>
      <c r="T298" s="7" t="s">
        <v>972</v>
      </c>
      <c r="V298" s="58"/>
      <c r="W298" s="58"/>
      <c r="X298" s="58"/>
      <c r="Y298" s="58"/>
      <c r="AA298" s="1086" t="s">
        <v>1687</v>
      </c>
      <c r="AB298" s="1086"/>
      <c r="AC298" s="1086"/>
      <c r="AD298" s="1086"/>
      <c r="AE298" s="1086"/>
      <c r="AF298" s="1086"/>
      <c r="AG298" s="1086"/>
      <c r="AH298" s="1086"/>
      <c r="AI298" s="1086"/>
      <c r="AJ298" s="1086"/>
      <c r="AK298" s="1086"/>
      <c r="BA298" s="61"/>
    </row>
    <row r="299" spans="2:53" ht="13.2">
      <c r="B299" s="58" t="s">
        <v>517</v>
      </c>
      <c r="C299" s="58"/>
      <c r="D299" s="58"/>
      <c r="E299" s="58"/>
      <c r="F299" s="58"/>
      <c r="H299" s="1085" t="s">
        <v>1672</v>
      </c>
      <c r="I299" s="1085"/>
      <c r="J299" s="1085"/>
      <c r="K299" s="1085"/>
      <c r="L299" s="1085"/>
      <c r="M299" s="1085"/>
      <c r="N299" s="1085"/>
      <c r="O299" s="1085"/>
      <c r="P299" s="1085"/>
      <c r="Q299" s="1085"/>
      <c r="R299" s="1085"/>
      <c r="T299" s="58" t="s">
        <v>517</v>
      </c>
      <c r="V299" s="58"/>
      <c r="W299" s="58"/>
      <c r="X299" s="58"/>
      <c r="Y299" s="58"/>
      <c r="AA299" s="1085" t="s">
        <v>1688</v>
      </c>
      <c r="AB299" s="1085"/>
      <c r="AC299" s="1085"/>
      <c r="AD299" s="1085"/>
      <c r="AE299" s="1085"/>
      <c r="AF299" s="1085"/>
      <c r="AG299" s="1085"/>
      <c r="AH299" s="1085"/>
      <c r="AI299" s="1085"/>
      <c r="AJ299" s="1085"/>
      <c r="AK299" s="1085"/>
      <c r="BA299" s="61"/>
    </row>
    <row r="300" spans="2:53" ht="13.2">
      <c r="B300" s="58" t="s">
        <v>518</v>
      </c>
      <c r="C300" s="58"/>
      <c r="D300" s="58"/>
      <c r="E300" s="58"/>
      <c r="F300" s="58"/>
      <c r="H300" s="1085" t="s">
        <v>1673</v>
      </c>
      <c r="I300" s="1085"/>
      <c r="J300" s="1085"/>
      <c r="K300" s="1085"/>
      <c r="L300" s="1085"/>
      <c r="M300" s="1085"/>
      <c r="N300" s="1085"/>
      <c r="O300" s="1085"/>
      <c r="P300" s="1085"/>
      <c r="Q300" s="1085"/>
      <c r="R300" s="1085"/>
      <c r="T300" s="58" t="s">
        <v>81</v>
      </c>
      <c r="V300" s="58"/>
      <c r="W300" s="58"/>
      <c r="X300" s="58"/>
      <c r="Y300" s="58"/>
      <c r="AA300" s="1085" t="s">
        <v>1689</v>
      </c>
      <c r="AB300" s="1085"/>
      <c r="AC300" s="1085"/>
      <c r="AD300" s="1085"/>
      <c r="AE300" s="1085"/>
      <c r="AF300" s="1085"/>
      <c r="AG300" s="1085"/>
      <c r="AH300" s="1085"/>
      <c r="AI300" s="1085"/>
      <c r="AJ300" s="1085"/>
      <c r="AK300" s="1085"/>
      <c r="BA300" s="61"/>
    </row>
    <row r="301" spans="2:53" ht="13.2">
      <c r="B301" s="58" t="s">
        <v>94</v>
      </c>
      <c r="C301" s="58"/>
      <c r="D301" s="58"/>
      <c r="E301" s="58"/>
      <c r="F301" s="58"/>
      <c r="H301" s="1085" t="s">
        <v>1671</v>
      </c>
      <c r="I301" s="1085"/>
      <c r="J301" s="1085"/>
      <c r="K301" s="1085"/>
      <c r="L301" s="1085"/>
      <c r="M301" s="1085"/>
      <c r="N301" s="1085"/>
      <c r="O301" s="1085"/>
      <c r="P301" s="1085"/>
      <c r="Q301" s="1085"/>
      <c r="R301" s="1085"/>
      <c r="T301" s="58" t="s">
        <v>94</v>
      </c>
      <c r="V301" s="58"/>
      <c r="W301" s="58"/>
      <c r="X301" s="58"/>
      <c r="Y301" s="58"/>
      <c r="AA301" s="1085" t="s">
        <v>1690</v>
      </c>
      <c r="AB301" s="1085"/>
      <c r="AC301" s="1085"/>
      <c r="AD301" s="1085"/>
      <c r="AE301" s="1085"/>
      <c r="AF301" s="1085"/>
      <c r="AG301" s="1085"/>
      <c r="AH301" s="1085"/>
      <c r="AI301" s="1085"/>
      <c r="AJ301" s="1085"/>
      <c r="AK301" s="1085"/>
      <c r="BA301" s="61"/>
    </row>
    <row r="302" spans="2:53" ht="13.2">
      <c r="B302" s="58" t="s">
        <v>95</v>
      </c>
      <c r="C302" s="58"/>
      <c r="D302" s="58"/>
      <c r="E302" s="58"/>
      <c r="F302" s="58"/>
      <c r="G302" s="58"/>
      <c r="H302" s="1099" t="s">
        <v>1674</v>
      </c>
      <c r="I302" s="1100"/>
      <c r="J302" s="1100"/>
      <c r="K302" s="1100"/>
      <c r="L302" s="1100"/>
      <c r="M302" s="1100"/>
      <c r="N302" s="7" t="s">
        <v>220</v>
      </c>
      <c r="O302" s="7"/>
      <c r="P302" s="1147">
        <v>120</v>
      </c>
      <c r="Q302" s="1147"/>
      <c r="R302" s="1147"/>
      <c r="S302" s="58"/>
      <c r="T302" s="58" t="s">
        <v>95</v>
      </c>
      <c r="V302" s="58"/>
      <c r="W302" s="58"/>
      <c r="X302" s="58"/>
      <c r="Y302" s="58"/>
      <c r="AA302" s="1099" t="s">
        <v>1691</v>
      </c>
      <c r="AB302" s="1100"/>
      <c r="AC302" s="1100"/>
      <c r="AD302" s="1100"/>
      <c r="AE302" s="1100"/>
      <c r="AF302" s="1100"/>
      <c r="AG302" s="7" t="s">
        <v>220</v>
      </c>
      <c r="AH302" s="7"/>
      <c r="AI302" s="1147"/>
      <c r="AJ302" s="1147"/>
      <c r="AK302" s="1147"/>
      <c r="BA302" s="61"/>
    </row>
    <row r="303" spans="2:53" ht="13.2">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3.2">
      <c r="B304" s="58" t="s">
        <v>82</v>
      </c>
      <c r="C304" s="58"/>
      <c r="D304" s="58"/>
      <c r="E304" s="58"/>
      <c r="F304" s="58"/>
      <c r="G304" s="58"/>
      <c r="H304" s="1085" t="s">
        <v>1675</v>
      </c>
      <c r="I304" s="1085"/>
      <c r="J304" s="1085"/>
      <c r="K304" s="1085"/>
      <c r="L304" s="1085"/>
      <c r="M304" s="1085"/>
      <c r="N304" s="1086"/>
      <c r="O304" s="1086"/>
      <c r="P304" s="1086"/>
      <c r="Q304" s="1086"/>
      <c r="R304" s="1086"/>
      <c r="S304" s="58"/>
      <c r="T304" s="58" t="s">
        <v>82</v>
      </c>
      <c r="V304" s="58"/>
      <c r="W304" s="58"/>
      <c r="X304" s="58"/>
      <c r="Y304" s="58"/>
      <c r="AA304" s="1085" t="s">
        <v>1692</v>
      </c>
      <c r="AB304" s="1085"/>
      <c r="AC304" s="1085"/>
      <c r="AD304" s="1085"/>
      <c r="AE304" s="1085"/>
      <c r="AF304" s="1085"/>
      <c r="AG304" s="1086"/>
      <c r="AH304" s="1086"/>
      <c r="AI304" s="1086"/>
      <c r="AJ304" s="1086"/>
      <c r="AK304" s="1086"/>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6" t="s">
        <v>1714</v>
      </c>
      <c r="I306" s="1086"/>
      <c r="J306" s="1086"/>
      <c r="K306" s="1086"/>
      <c r="L306" s="1086"/>
      <c r="M306" s="1086"/>
      <c r="N306" s="1086"/>
      <c r="O306" s="1086"/>
      <c r="P306" s="1086"/>
      <c r="Q306" s="1086"/>
      <c r="R306" s="1086"/>
      <c r="S306" s="58"/>
      <c r="T306" s="58" t="s">
        <v>389</v>
      </c>
      <c r="V306" s="58"/>
      <c r="W306" s="58"/>
      <c r="X306" s="58"/>
      <c r="Y306" s="58"/>
      <c r="AA306" s="1086" t="s">
        <v>1693</v>
      </c>
      <c r="AB306" s="1086"/>
      <c r="AC306" s="1086"/>
      <c r="AD306" s="1086"/>
      <c r="AE306" s="1086"/>
      <c r="AF306" s="1086"/>
      <c r="AG306" s="1086"/>
      <c r="AH306" s="1086"/>
      <c r="AI306" s="1086"/>
      <c r="AJ306" s="1086"/>
      <c r="AK306" s="1086"/>
      <c r="BA306" s="61"/>
    </row>
    <row r="307" spans="1:53" ht="13.2">
      <c r="B307" s="58" t="s">
        <v>517</v>
      </c>
      <c r="C307" s="58"/>
      <c r="D307" s="58"/>
      <c r="E307" s="58"/>
      <c r="F307" s="58"/>
      <c r="H307" s="1085" t="s">
        <v>1715</v>
      </c>
      <c r="I307" s="1085"/>
      <c r="J307" s="1085"/>
      <c r="K307" s="1085"/>
      <c r="L307" s="1085"/>
      <c r="M307" s="1085"/>
      <c r="N307" s="1085"/>
      <c r="O307" s="1085"/>
      <c r="P307" s="1085"/>
      <c r="Q307" s="1085"/>
      <c r="R307" s="1085"/>
      <c r="S307" s="58"/>
      <c r="T307" s="58" t="s">
        <v>517</v>
      </c>
      <c r="V307" s="58"/>
      <c r="W307" s="58"/>
      <c r="X307" s="58"/>
      <c r="Y307" s="58"/>
      <c r="AA307" s="1085"/>
      <c r="AB307" s="1085"/>
      <c r="AC307" s="1085"/>
      <c r="AD307" s="1085"/>
      <c r="AE307" s="1085"/>
      <c r="AF307" s="1085"/>
      <c r="AG307" s="1085"/>
      <c r="AH307" s="1085"/>
      <c r="AI307" s="1085"/>
      <c r="AJ307" s="1085"/>
      <c r="AK307" s="1085"/>
      <c r="BA307" s="61"/>
    </row>
    <row r="308" spans="1:53" ht="13.2">
      <c r="B308" s="58" t="s">
        <v>518</v>
      </c>
      <c r="C308" s="58"/>
      <c r="D308" s="58"/>
      <c r="E308" s="58"/>
      <c r="F308" s="58"/>
      <c r="H308" s="1085" t="s">
        <v>1677</v>
      </c>
      <c r="I308" s="1085"/>
      <c r="J308" s="1085"/>
      <c r="K308" s="1085"/>
      <c r="L308" s="1085"/>
      <c r="M308" s="1085"/>
      <c r="N308" s="1085"/>
      <c r="O308" s="1085"/>
      <c r="P308" s="1085"/>
      <c r="Q308" s="1085"/>
      <c r="R308" s="1085"/>
      <c r="S308" s="58"/>
      <c r="T308" s="58" t="s">
        <v>81</v>
      </c>
      <c r="V308" s="58"/>
      <c r="W308" s="58"/>
      <c r="X308" s="58"/>
      <c r="Y308" s="58"/>
      <c r="AA308" s="1085"/>
      <c r="AB308" s="1085"/>
      <c r="AC308" s="1085"/>
      <c r="AD308" s="1085"/>
      <c r="AE308" s="1085"/>
      <c r="AF308" s="1085"/>
      <c r="AG308" s="1085"/>
      <c r="AH308" s="1085"/>
      <c r="AI308" s="1085"/>
      <c r="AJ308" s="1085"/>
      <c r="AK308" s="1085"/>
      <c r="BA308" s="61"/>
    </row>
    <row r="309" spans="1:53" ht="13.2">
      <c r="B309" s="58" t="s">
        <v>94</v>
      </c>
      <c r="C309" s="58"/>
      <c r="D309" s="58"/>
      <c r="E309" s="58"/>
      <c r="F309" s="58"/>
      <c r="H309" s="1085" t="s">
        <v>1724</v>
      </c>
      <c r="I309" s="1085"/>
      <c r="J309" s="1085"/>
      <c r="K309" s="1085"/>
      <c r="L309" s="1085"/>
      <c r="M309" s="1085"/>
      <c r="N309" s="1085"/>
      <c r="O309" s="1085"/>
      <c r="P309" s="1085"/>
      <c r="Q309" s="1085"/>
      <c r="R309" s="1085"/>
      <c r="S309" s="58"/>
      <c r="T309" s="58" t="s">
        <v>94</v>
      </c>
      <c r="V309" s="58"/>
      <c r="W309" s="58"/>
      <c r="X309" s="58"/>
      <c r="Y309" s="58"/>
      <c r="AA309" s="1085"/>
      <c r="AB309" s="1085"/>
      <c r="AC309" s="1085"/>
      <c r="AD309" s="1085"/>
      <c r="AE309" s="1085"/>
      <c r="AF309" s="1085"/>
      <c r="AG309" s="1085"/>
      <c r="AH309" s="1085"/>
      <c r="AI309" s="1085"/>
      <c r="AJ309" s="1085"/>
      <c r="AK309" s="1085"/>
      <c r="BA309" s="61"/>
    </row>
    <row r="310" spans="1:53" ht="13.2">
      <c r="B310" s="58" t="s">
        <v>95</v>
      </c>
      <c r="C310" s="58"/>
      <c r="D310" s="58"/>
      <c r="E310" s="58"/>
      <c r="F310" s="58"/>
      <c r="G310" s="58"/>
      <c r="H310" s="1099" t="s">
        <v>1716</v>
      </c>
      <c r="I310" s="1100"/>
      <c r="J310" s="1100"/>
      <c r="K310" s="1100"/>
      <c r="L310" s="1100"/>
      <c r="M310" s="1100"/>
      <c r="N310" s="7" t="s">
        <v>220</v>
      </c>
      <c r="O310" s="7"/>
      <c r="P310" s="1147"/>
      <c r="Q310" s="1147"/>
      <c r="R310" s="1147"/>
      <c r="S310" s="58"/>
      <c r="T310" s="58" t="s">
        <v>95</v>
      </c>
      <c r="V310" s="58"/>
      <c r="W310" s="58"/>
      <c r="X310" s="58"/>
      <c r="Y310" s="58"/>
      <c r="AA310" s="1100"/>
      <c r="AB310" s="1100"/>
      <c r="AC310" s="1100"/>
      <c r="AD310" s="1100"/>
      <c r="AE310" s="1100"/>
      <c r="AF310" s="1100"/>
      <c r="AG310" s="7" t="s">
        <v>220</v>
      </c>
      <c r="AH310" s="7"/>
      <c r="AI310" s="1147"/>
      <c r="AJ310" s="1147"/>
      <c r="AK310" s="1147"/>
      <c r="BA310" s="61"/>
    </row>
    <row r="311" spans="1:53" ht="13.2">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3.2">
      <c r="B312" s="58" t="s">
        <v>82</v>
      </c>
      <c r="C312" s="58"/>
      <c r="D312" s="58"/>
      <c r="E312" s="58"/>
      <c r="F312" s="58"/>
      <c r="G312" s="58"/>
      <c r="H312" s="1085" t="s">
        <v>1725</v>
      </c>
      <c r="I312" s="1085"/>
      <c r="J312" s="1085"/>
      <c r="K312" s="1085"/>
      <c r="L312" s="1085"/>
      <c r="M312" s="1085"/>
      <c r="N312" s="1086"/>
      <c r="O312" s="1086"/>
      <c r="P312" s="1086"/>
      <c r="Q312" s="1086"/>
      <c r="R312" s="1086"/>
      <c r="S312" s="58"/>
      <c r="T312" s="58" t="s">
        <v>82</v>
      </c>
      <c r="V312" s="58"/>
      <c r="W312" s="58"/>
      <c r="X312" s="58"/>
      <c r="Y312" s="58"/>
      <c r="AA312" s="1085"/>
      <c r="AB312" s="1085"/>
      <c r="AC312" s="1085"/>
      <c r="AD312" s="1085"/>
      <c r="AE312" s="1085"/>
      <c r="AF312" s="1085"/>
      <c r="AG312" s="1086"/>
      <c r="AH312" s="1086"/>
      <c r="AI312" s="1086"/>
      <c r="AJ312" s="1086"/>
      <c r="AK312" s="1086"/>
      <c r="BA312" s="61"/>
    </row>
    <row r="313" spans="1:53" ht="13.2">
      <c r="BA313" s="61"/>
    </row>
    <row r="314" spans="1:53" ht="13.2">
      <c r="B314" s="7" t="s">
        <v>1006</v>
      </c>
      <c r="C314" s="58"/>
      <c r="D314" s="58"/>
      <c r="E314" s="58"/>
      <c r="F314" s="58"/>
      <c r="H314" s="1086" t="s">
        <v>1694</v>
      </c>
      <c r="I314" s="1086"/>
      <c r="J314" s="1086"/>
      <c r="K314" s="1086"/>
      <c r="L314" s="1086"/>
      <c r="M314" s="1086"/>
      <c r="N314" s="1086"/>
      <c r="O314" s="1086"/>
      <c r="P314" s="1086"/>
      <c r="Q314" s="1086"/>
      <c r="R314" s="1086"/>
      <c r="T314" s="58" t="s">
        <v>390</v>
      </c>
      <c r="V314" s="58"/>
      <c r="W314" s="58"/>
      <c r="X314" s="58"/>
      <c r="Y314" s="58"/>
      <c r="AA314" s="1086" t="s">
        <v>1707</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085" t="s">
        <v>1695</v>
      </c>
      <c r="I315" s="1085"/>
      <c r="J315" s="1085"/>
      <c r="K315" s="1085"/>
      <c r="L315" s="1085"/>
      <c r="M315" s="1085"/>
      <c r="N315" s="1085"/>
      <c r="O315" s="1085"/>
      <c r="P315" s="1085"/>
      <c r="Q315" s="1085"/>
      <c r="R315" s="1085"/>
      <c r="T315" s="58" t="s">
        <v>517</v>
      </c>
      <c r="V315" s="58"/>
      <c r="W315" s="58"/>
      <c r="X315" s="58"/>
      <c r="Y315" s="58"/>
      <c r="AA315" s="1085" t="s">
        <v>1772</v>
      </c>
      <c r="AB315" s="1085"/>
      <c r="AC315" s="1085"/>
      <c r="AD315" s="1085"/>
      <c r="AE315" s="1085"/>
      <c r="AF315" s="1085"/>
      <c r="AG315" s="1085"/>
      <c r="AH315" s="1085"/>
      <c r="AI315" s="1085"/>
      <c r="AJ315" s="1085"/>
      <c r="AK315" s="1085"/>
      <c r="BA315" s="61"/>
    </row>
    <row r="316" spans="1:53" ht="13.2">
      <c r="B316" s="58" t="s">
        <v>518</v>
      </c>
      <c r="C316" s="58"/>
      <c r="D316" s="58"/>
      <c r="E316" s="58"/>
      <c r="F316" s="58"/>
      <c r="H316" s="1085" t="s">
        <v>1696</v>
      </c>
      <c r="I316" s="1085"/>
      <c r="J316" s="1085"/>
      <c r="K316" s="1085"/>
      <c r="L316" s="1085"/>
      <c r="M316" s="1085"/>
      <c r="N316" s="1085"/>
      <c r="O316" s="1085"/>
      <c r="P316" s="1085"/>
      <c r="Q316" s="1085"/>
      <c r="R316" s="1085"/>
      <c r="T316" s="58" t="s">
        <v>81</v>
      </c>
      <c r="V316" s="58"/>
      <c r="W316" s="58"/>
      <c r="X316" s="58"/>
      <c r="Y316" s="58"/>
      <c r="AA316" s="1085" t="s">
        <v>1773</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t="s">
        <v>1697</v>
      </c>
      <c r="I317" s="1085"/>
      <c r="J317" s="1085"/>
      <c r="K317" s="1085"/>
      <c r="L317" s="1085"/>
      <c r="M317" s="1085"/>
      <c r="N317" s="1085"/>
      <c r="O317" s="1085"/>
      <c r="P317" s="1085"/>
      <c r="Q317" s="1085"/>
      <c r="R317" s="1085"/>
      <c r="T317" s="58" t="s">
        <v>94</v>
      </c>
      <c r="V317" s="58"/>
      <c r="W317" s="58"/>
      <c r="X317" s="58"/>
      <c r="Y317" s="58"/>
      <c r="AA317" s="1085" t="s">
        <v>1708</v>
      </c>
      <c r="AB317" s="1085"/>
      <c r="AC317" s="1085"/>
      <c r="AD317" s="1085"/>
      <c r="AE317" s="1085"/>
      <c r="AF317" s="1085"/>
      <c r="AG317" s="1085"/>
      <c r="AH317" s="1085"/>
      <c r="AI317" s="1085"/>
      <c r="AJ317" s="1085"/>
      <c r="AK317" s="1085"/>
      <c r="AL317" s="39"/>
    </row>
    <row r="318" spans="1:53" ht="13.2">
      <c r="A318" s="39"/>
      <c r="B318" s="58" t="s">
        <v>95</v>
      </c>
      <c r="C318" s="58"/>
      <c r="D318" s="58"/>
      <c r="E318" s="58"/>
      <c r="F318" s="58"/>
      <c r="G318" s="58"/>
      <c r="H318" s="1099" t="s">
        <v>1698</v>
      </c>
      <c r="I318" s="1100"/>
      <c r="J318" s="1100"/>
      <c r="K318" s="1100"/>
      <c r="L318" s="1100"/>
      <c r="M318" s="1100"/>
      <c r="N318" s="7" t="s">
        <v>220</v>
      </c>
      <c r="O318" s="7"/>
      <c r="P318" s="1147">
        <v>317</v>
      </c>
      <c r="Q318" s="1147"/>
      <c r="R318" s="1147"/>
      <c r="S318" s="58"/>
      <c r="T318" s="58" t="s">
        <v>95</v>
      </c>
      <c r="V318" s="58"/>
      <c r="W318" s="58"/>
      <c r="X318" s="58"/>
      <c r="Y318" s="58"/>
      <c r="AA318" s="1099" t="s">
        <v>1709</v>
      </c>
      <c r="AB318" s="1100"/>
      <c r="AC318" s="1100"/>
      <c r="AD318" s="1100"/>
      <c r="AE318" s="1100"/>
      <c r="AF318" s="1100"/>
      <c r="AG318" s="7" t="s">
        <v>220</v>
      </c>
      <c r="AH318" s="7"/>
      <c r="AI318" s="1147"/>
      <c r="AJ318" s="1147"/>
      <c r="AK318" s="1147"/>
      <c r="AL318" s="39"/>
    </row>
    <row r="319" spans="1:53" ht="13.2">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3.2">
      <c r="A320" s="39"/>
      <c r="B320" s="58" t="s">
        <v>82</v>
      </c>
      <c r="C320" s="58"/>
      <c r="D320" s="58"/>
      <c r="E320" s="58"/>
      <c r="F320" s="58"/>
      <c r="G320" s="58"/>
      <c r="H320" s="1085" t="s">
        <v>1699</v>
      </c>
      <c r="I320" s="1085"/>
      <c r="J320" s="1085"/>
      <c r="K320" s="1085"/>
      <c r="L320" s="1085"/>
      <c r="M320" s="1085"/>
      <c r="N320" s="1086"/>
      <c r="O320" s="1086"/>
      <c r="P320" s="1086"/>
      <c r="Q320" s="1086"/>
      <c r="R320" s="1086"/>
      <c r="S320" s="58"/>
      <c r="T320" s="58" t="s">
        <v>82</v>
      </c>
      <c r="V320" s="58"/>
      <c r="W320" s="58"/>
      <c r="X320" s="58"/>
      <c r="Y320" s="58"/>
      <c r="AA320" s="1085" t="s">
        <v>1710</v>
      </c>
      <c r="AB320" s="1085"/>
      <c r="AC320" s="1085"/>
      <c r="AD320" s="1085"/>
      <c r="AE320" s="1085"/>
      <c r="AF320" s="1085"/>
      <c r="AG320" s="1086"/>
      <c r="AH320" s="1086"/>
      <c r="AI320" s="1086"/>
      <c r="AJ320" s="1086"/>
      <c r="AK320" s="1086"/>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86" t="s">
        <v>1702</v>
      </c>
      <c r="I322" s="1086"/>
      <c r="J322" s="1086"/>
      <c r="K322" s="1086"/>
      <c r="L322" s="1086"/>
      <c r="M322" s="1086"/>
      <c r="N322" s="1086"/>
      <c r="O322" s="1086"/>
      <c r="P322" s="1086"/>
      <c r="Q322" s="1086"/>
      <c r="R322" s="1086"/>
      <c r="T322" s="58" t="s">
        <v>392</v>
      </c>
      <c r="V322" s="58"/>
      <c r="W322" s="58"/>
      <c r="X322" s="58"/>
      <c r="Y322" s="58"/>
      <c r="AA322" s="1086" t="s">
        <v>1774</v>
      </c>
      <c r="AB322" s="1086"/>
      <c r="AC322" s="1086"/>
      <c r="AD322" s="1086"/>
      <c r="AE322" s="1086"/>
      <c r="AF322" s="1086"/>
      <c r="AG322" s="1086"/>
      <c r="AH322" s="1086"/>
      <c r="AI322" s="1086"/>
      <c r="AJ322" s="1086"/>
      <c r="AK322" s="1086"/>
      <c r="AL322" s="39"/>
    </row>
    <row r="323" spans="1:53" ht="13.2">
      <c r="A323" s="39"/>
      <c r="B323" s="58" t="s">
        <v>517</v>
      </c>
      <c r="C323" s="58"/>
      <c r="D323" s="58"/>
      <c r="E323" s="58"/>
      <c r="F323" s="58"/>
      <c r="H323" s="1085" t="s">
        <v>1703</v>
      </c>
      <c r="I323" s="1085"/>
      <c r="J323" s="1085"/>
      <c r="K323" s="1085"/>
      <c r="L323" s="1085"/>
      <c r="M323" s="1085"/>
      <c r="N323" s="1085"/>
      <c r="O323" s="1085"/>
      <c r="P323" s="1085"/>
      <c r="Q323" s="1085"/>
      <c r="R323" s="1085"/>
      <c r="T323" s="58" t="s">
        <v>517</v>
      </c>
      <c r="V323" s="58"/>
      <c r="W323" s="58"/>
      <c r="X323" s="58"/>
      <c r="Y323" s="58"/>
      <c r="AA323" s="1085" t="s">
        <v>1775</v>
      </c>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085" t="s">
        <v>1704</v>
      </c>
      <c r="I324" s="1085"/>
      <c r="J324" s="1085"/>
      <c r="K324" s="1085"/>
      <c r="L324" s="1085"/>
      <c r="M324" s="1085"/>
      <c r="N324" s="1085"/>
      <c r="O324" s="1085"/>
      <c r="P324" s="1085"/>
      <c r="Q324" s="1085"/>
      <c r="R324" s="1085"/>
      <c r="T324" s="58" t="s">
        <v>81</v>
      </c>
      <c r="V324" s="58"/>
      <c r="W324" s="58"/>
      <c r="X324" s="58"/>
      <c r="Y324" s="58"/>
      <c r="AA324" s="1085" t="s">
        <v>1776</v>
      </c>
      <c r="AB324" s="1085"/>
      <c r="AC324" s="1085"/>
      <c r="AD324" s="1085"/>
      <c r="AE324" s="1085"/>
      <c r="AF324" s="1085"/>
      <c r="AG324" s="1085"/>
      <c r="AH324" s="1085"/>
      <c r="AI324" s="1085"/>
      <c r="AJ324" s="1085"/>
      <c r="AK324" s="1085"/>
      <c r="AL324" s="39"/>
    </row>
    <row r="325" spans="1:53" ht="13.2">
      <c r="A325" s="39"/>
      <c r="B325" s="58" t="s">
        <v>94</v>
      </c>
      <c r="C325" s="58"/>
      <c r="D325" s="58"/>
      <c r="E325" s="58"/>
      <c r="F325" s="58"/>
      <c r="H325" s="1085" t="s">
        <v>1700</v>
      </c>
      <c r="I325" s="1085"/>
      <c r="J325" s="1085"/>
      <c r="K325" s="1085"/>
      <c r="L325" s="1085"/>
      <c r="M325" s="1085"/>
      <c r="N325" s="1085"/>
      <c r="O325" s="1085"/>
      <c r="P325" s="1085"/>
      <c r="Q325" s="1085"/>
      <c r="R325" s="1085"/>
      <c r="T325" s="58" t="s">
        <v>94</v>
      </c>
      <c r="V325" s="58"/>
      <c r="W325" s="58"/>
      <c r="X325" s="58"/>
      <c r="Y325" s="58"/>
      <c r="AA325" s="1085" t="s">
        <v>1777</v>
      </c>
      <c r="AB325" s="1085"/>
      <c r="AC325" s="1085"/>
      <c r="AD325" s="1085"/>
      <c r="AE325" s="1085"/>
      <c r="AF325" s="1085"/>
      <c r="AG325" s="1085"/>
      <c r="AH325" s="1085"/>
      <c r="AI325" s="1085"/>
      <c r="AJ325" s="1085"/>
      <c r="AK325" s="1085"/>
      <c r="AL325" s="39"/>
    </row>
    <row r="326" spans="1:53" ht="13.2">
      <c r="A326" s="39"/>
      <c r="B326" s="58" t="s">
        <v>95</v>
      </c>
      <c r="C326" s="58"/>
      <c r="D326" s="58"/>
      <c r="E326" s="58"/>
      <c r="F326" s="58"/>
      <c r="G326" s="58"/>
      <c r="H326" s="1099" t="s">
        <v>1705</v>
      </c>
      <c r="I326" s="1100"/>
      <c r="J326" s="1100"/>
      <c r="K326" s="1100"/>
      <c r="L326" s="1100"/>
      <c r="M326" s="1100"/>
      <c r="N326" s="7" t="s">
        <v>220</v>
      </c>
      <c r="O326" s="7"/>
      <c r="P326" s="1147"/>
      <c r="Q326" s="1147"/>
      <c r="R326" s="1147"/>
      <c r="S326" s="58"/>
      <c r="T326" s="58" t="s">
        <v>95</v>
      </c>
      <c r="V326" s="58"/>
      <c r="W326" s="58"/>
      <c r="X326" s="58"/>
      <c r="Y326" s="58"/>
      <c r="AA326" s="1099" t="s">
        <v>1778</v>
      </c>
      <c r="AB326" s="1100"/>
      <c r="AC326" s="1100"/>
      <c r="AD326" s="1100"/>
      <c r="AE326" s="1100"/>
      <c r="AF326" s="1100"/>
      <c r="AG326" s="7" t="s">
        <v>220</v>
      </c>
      <c r="AH326" s="7"/>
      <c r="AI326" s="1147"/>
      <c r="AJ326" s="1147"/>
      <c r="AK326" s="1147"/>
      <c r="AL326" s="39"/>
    </row>
    <row r="327" spans="1:53" ht="12.75" customHeight="1">
      <c r="A327" s="39"/>
      <c r="B327" s="58" t="s">
        <v>96</v>
      </c>
      <c r="C327" s="58"/>
      <c r="D327" s="58"/>
      <c r="E327" s="58"/>
      <c r="F327" s="58"/>
      <c r="G327" s="58"/>
      <c r="H327" s="1157" t="s">
        <v>1706</v>
      </c>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5" t="s">
        <v>1701</v>
      </c>
      <c r="I328" s="1085"/>
      <c r="J328" s="1085"/>
      <c r="K328" s="1085"/>
      <c r="L328" s="1085"/>
      <c r="M328" s="1085"/>
      <c r="N328" s="1086"/>
      <c r="O328" s="1086"/>
      <c r="P328" s="1086"/>
      <c r="Q328" s="1086"/>
      <c r="R328" s="1086"/>
      <c r="S328" s="58"/>
      <c r="T328" s="58" t="s">
        <v>82</v>
      </c>
      <c r="V328" s="58"/>
      <c r="W328" s="58"/>
      <c r="X328" s="58"/>
      <c r="Y328" s="58"/>
      <c r="AA328" s="1085" t="s">
        <v>1779</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1711</v>
      </c>
      <c r="I330" s="1086"/>
      <c r="J330" s="1086"/>
      <c r="K330" s="1086"/>
      <c r="L330" s="1086"/>
      <c r="M330" s="1086"/>
      <c r="N330" s="1086"/>
      <c r="O330" s="1086"/>
      <c r="P330" s="1086"/>
      <c r="Q330" s="1086"/>
      <c r="R330" s="1086"/>
      <c r="T330" s="422" t="s">
        <v>981</v>
      </c>
      <c r="V330" s="58"/>
      <c r="W330" s="58"/>
      <c r="X330" s="58"/>
      <c r="Y330" s="58"/>
      <c r="AA330" s="1086" t="s">
        <v>1661</v>
      </c>
      <c r="AB330" s="1086"/>
      <c r="AC330" s="1086"/>
      <c r="AD330" s="1086"/>
      <c r="AE330" s="1086"/>
      <c r="AF330" s="1086"/>
      <c r="AG330" s="1086"/>
      <c r="AH330" s="1086"/>
      <c r="AI330" s="1086"/>
      <c r="AJ330" s="1086"/>
      <c r="AK330" s="1086"/>
      <c r="AL330" s="39"/>
    </row>
    <row r="331" spans="1:53" ht="12.75" customHeight="1">
      <c r="B331" s="58" t="s">
        <v>517</v>
      </c>
      <c r="C331" s="248"/>
      <c r="D331" s="248"/>
      <c r="E331" s="248"/>
      <c r="F331" s="248"/>
      <c r="G331" s="3"/>
      <c r="H331" s="1085" t="s">
        <v>1649</v>
      </c>
      <c r="I331" s="1085"/>
      <c r="J331" s="1085"/>
      <c r="K331" s="1085"/>
      <c r="L331" s="1085"/>
      <c r="M331" s="1085"/>
      <c r="N331" s="1085"/>
      <c r="O331" s="1085"/>
      <c r="P331" s="1085"/>
      <c r="Q331" s="1085"/>
      <c r="R331" s="1085"/>
      <c r="T331" s="58" t="s">
        <v>517</v>
      </c>
      <c r="V331" s="58"/>
      <c r="W331" s="58"/>
      <c r="X331" s="58"/>
      <c r="Y331" s="58"/>
      <c r="AA331" s="1085" t="s">
        <v>1667</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1682</v>
      </c>
      <c r="I332" s="1085"/>
      <c r="J332" s="1085"/>
      <c r="K332" s="1085"/>
      <c r="L332" s="1085"/>
      <c r="M332" s="1085"/>
      <c r="N332" s="1085"/>
      <c r="O332" s="1085"/>
      <c r="P332" s="1085"/>
      <c r="Q332" s="1085"/>
      <c r="R332" s="1085"/>
      <c r="T332" s="58" t="s">
        <v>81</v>
      </c>
      <c r="V332" s="58"/>
      <c r="W332" s="58"/>
      <c r="X332" s="58"/>
      <c r="Y332" s="58"/>
      <c r="AA332" s="1085" t="s">
        <v>1669</v>
      </c>
      <c r="AB332" s="1085"/>
      <c r="AC332" s="1085"/>
      <c r="AD332" s="1085"/>
      <c r="AE332" s="1085"/>
      <c r="AF332" s="1085"/>
      <c r="AG332" s="1085"/>
      <c r="AH332" s="1085"/>
      <c r="AI332" s="1085"/>
      <c r="AJ332" s="1085"/>
      <c r="AK332" s="1085"/>
      <c r="AL332" s="39"/>
    </row>
    <row r="333" spans="1:53" ht="13.2">
      <c r="A333" s="39"/>
      <c r="B333" s="58" t="s">
        <v>94</v>
      </c>
      <c r="C333" s="248"/>
      <c r="D333" s="248"/>
      <c r="E333" s="248"/>
      <c r="F333" s="248"/>
      <c r="G333" s="248"/>
      <c r="H333" s="1085" t="s">
        <v>1817</v>
      </c>
      <c r="I333" s="1085"/>
      <c r="J333" s="1085"/>
      <c r="K333" s="1085"/>
      <c r="L333" s="1085"/>
      <c r="M333" s="1085"/>
      <c r="N333" s="1085"/>
      <c r="O333" s="1085"/>
      <c r="P333" s="1085"/>
      <c r="Q333" s="1085"/>
      <c r="R333" s="1085"/>
      <c r="T333" s="58" t="s">
        <v>94</v>
      </c>
      <c r="V333" s="58"/>
      <c r="W333" s="58"/>
      <c r="X333" s="58"/>
      <c r="Y333" s="58"/>
      <c r="AA333" s="1085" t="s">
        <v>1712</v>
      </c>
      <c r="AB333" s="1085"/>
      <c r="AC333" s="1085"/>
      <c r="AD333" s="1085"/>
      <c r="AE333" s="1085"/>
      <c r="AF333" s="1085"/>
      <c r="AG333" s="1085"/>
      <c r="AH333" s="1085"/>
      <c r="AI333" s="1085"/>
      <c r="AJ333" s="1085"/>
      <c r="AK333" s="1085"/>
      <c r="AL333" s="39"/>
    </row>
    <row r="334" spans="1:53" ht="13.2">
      <c r="A334" s="39"/>
      <c r="B334" s="58" t="s">
        <v>95</v>
      </c>
      <c r="C334" s="248"/>
      <c r="D334" s="248"/>
      <c r="E334" s="248"/>
      <c r="F334" s="248"/>
      <c r="G334" s="248"/>
      <c r="H334" s="1099" t="s">
        <v>1818</v>
      </c>
      <c r="I334" s="1100"/>
      <c r="J334" s="1100"/>
      <c r="K334" s="1100"/>
      <c r="L334" s="1100"/>
      <c r="M334" s="1100"/>
      <c r="N334" s="7" t="s">
        <v>220</v>
      </c>
      <c r="O334" s="7"/>
      <c r="P334" s="1147"/>
      <c r="Q334" s="1147"/>
      <c r="R334" s="1147"/>
      <c r="S334" s="58"/>
      <c r="T334" s="58" t="s">
        <v>95</v>
      </c>
      <c r="V334" s="58"/>
      <c r="W334" s="58"/>
      <c r="X334" s="58"/>
      <c r="Y334" s="58"/>
      <c r="AA334" s="1099" t="s">
        <v>1665</v>
      </c>
      <c r="AB334" s="1100"/>
      <c r="AC334" s="1100"/>
      <c r="AD334" s="1100"/>
      <c r="AE334" s="1100"/>
      <c r="AF334" s="1100"/>
      <c r="AG334" s="7" t="s">
        <v>220</v>
      </c>
      <c r="AH334" s="7"/>
      <c r="AI334" s="1147"/>
      <c r="AJ334" s="1147"/>
      <c r="AK334" s="1147"/>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57"/>
      <c r="AB335" s="1120"/>
      <c r="AC335" s="1120"/>
      <c r="AD335" s="1120"/>
      <c r="AE335" s="1120"/>
      <c r="AF335" s="1120"/>
      <c r="AG335" s="60"/>
      <c r="AH335" s="60"/>
      <c r="AI335" s="62"/>
      <c r="AJ335" s="62"/>
      <c r="AK335" s="62"/>
      <c r="AL335" s="39"/>
    </row>
    <row r="336" spans="1:53" ht="13.2">
      <c r="A336" s="39"/>
      <c r="B336" s="58" t="s">
        <v>82</v>
      </c>
      <c r="C336" s="245"/>
      <c r="D336" s="245"/>
      <c r="E336" s="245"/>
      <c r="F336" s="245"/>
      <c r="G336" s="245"/>
      <c r="H336" s="1085" t="s">
        <v>1819</v>
      </c>
      <c r="I336" s="1085"/>
      <c r="J336" s="1085"/>
      <c r="K336" s="1085"/>
      <c r="L336" s="1085"/>
      <c r="M336" s="1085"/>
      <c r="N336" s="1086"/>
      <c r="O336" s="1086"/>
      <c r="P336" s="1086"/>
      <c r="Q336" s="1086"/>
      <c r="R336" s="1086"/>
      <c r="S336" s="58"/>
      <c r="T336" s="58" t="s">
        <v>82</v>
      </c>
      <c r="V336" s="58"/>
      <c r="W336" s="58"/>
      <c r="X336" s="58"/>
      <c r="Y336" s="58"/>
      <c r="AA336" s="1085" t="s">
        <v>1713</v>
      </c>
      <c r="AB336" s="1085"/>
      <c r="AC336" s="1085"/>
      <c r="AD336" s="1085"/>
      <c r="AE336" s="1085"/>
      <c r="AF336" s="1085"/>
      <c r="AG336" s="1086"/>
      <c r="AH336" s="1086"/>
      <c r="AI336" s="1086"/>
      <c r="AJ336" s="1086"/>
      <c r="AK336" s="1086"/>
      <c r="AL336" s="39"/>
      <c r="BA336" s="12" t="s">
        <v>641</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2">
      <c r="A338" s="3"/>
      <c r="B338" s="248"/>
      <c r="C338" s="423"/>
      <c r="D338" s="423"/>
      <c r="E338" s="423"/>
      <c r="F338" s="423"/>
      <c r="G338" s="88"/>
      <c r="H338" s="88"/>
      <c r="I338" s="422" t="s">
        <v>982</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3.2">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3.2">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3.2">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3.2">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149" t="s">
        <v>588</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4" t="s">
        <v>641</v>
      </c>
      <c r="N350" s="1114"/>
      <c r="P350" s="12" t="s">
        <v>598</v>
      </c>
      <c r="AJ350" s="1114" t="s">
        <v>722</v>
      </c>
      <c r="AK350" s="1114"/>
    </row>
    <row r="351" spans="1:53" ht="12.75" customHeight="1">
      <c r="D351" s="7" t="s">
        <v>955</v>
      </c>
      <c r="R351" s="12" t="s">
        <v>599</v>
      </c>
      <c r="AJ351" s="1114" t="s">
        <v>591</v>
      </c>
      <c r="AK351" s="1114"/>
    </row>
    <row r="352" spans="1:53" ht="12.75" customHeight="1">
      <c r="D352" s="12" t="s">
        <v>765</v>
      </c>
      <c r="M352" s="1114" t="s">
        <v>641</v>
      </c>
      <c r="N352" s="1114"/>
      <c r="P352" s="7" t="s">
        <v>952</v>
      </c>
      <c r="AJ352" s="1114" t="s">
        <v>722</v>
      </c>
      <c r="AK352" s="1114"/>
    </row>
    <row r="353" spans="1:34" ht="12.75" customHeight="1">
      <c r="D353" s="12" t="s">
        <v>766</v>
      </c>
      <c r="M353" s="1114" t="s">
        <v>591</v>
      </c>
      <c r="N353" s="1114"/>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591</v>
      </c>
      <c r="O358" s="1114"/>
      <c r="P358" s="69"/>
      <c r="Q358" s="69"/>
      <c r="R358" s="69"/>
      <c r="S358" s="69"/>
      <c r="T358" s="69"/>
      <c r="U358" s="69"/>
      <c r="V358" s="69"/>
      <c r="W358" s="69"/>
      <c r="X358" s="69"/>
      <c r="Y358" s="70"/>
      <c r="Z358" s="70"/>
      <c r="AC358" s="69"/>
      <c r="AD358" s="69"/>
      <c r="AE358" s="69"/>
    </row>
    <row r="359" spans="1:34" ht="12.75" customHeight="1">
      <c r="E359" s="12" t="s">
        <v>395</v>
      </c>
      <c r="Y359" s="1114" t="s">
        <v>641</v>
      </c>
      <c r="Z359" s="1114"/>
    </row>
    <row r="360" spans="1:34" ht="12.75" customHeight="1">
      <c r="D360" s="7" t="s">
        <v>1092</v>
      </c>
      <c r="Q360" s="1086" t="s">
        <v>1717</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722</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63" t="s">
        <v>767</v>
      </c>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2.75" customHeight="1">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2.75" customHeight="1">
      <c r="E365" s="7" t="s">
        <v>492</v>
      </c>
      <c r="F365" s="7"/>
      <c r="G365" s="7"/>
      <c r="H365" s="7"/>
      <c r="I365" s="7"/>
      <c r="J365" s="7"/>
      <c r="K365" s="7"/>
      <c r="L365" s="7"/>
      <c r="N365" s="1135">
        <v>107</v>
      </c>
      <c r="O365" s="1135"/>
      <c r="P365" s="1135"/>
      <c r="Q365" s="1135"/>
      <c r="R365" s="7"/>
      <c r="U365" s="7" t="s">
        <v>493</v>
      </c>
      <c r="V365" s="7"/>
      <c r="W365" s="7"/>
      <c r="X365" s="7"/>
      <c r="Y365" s="7"/>
      <c r="Z365" s="7"/>
      <c r="AA365" s="7"/>
      <c r="AB365" s="7"/>
      <c r="AC365" s="1135">
        <v>1</v>
      </c>
      <c r="AD365" s="1135"/>
      <c r="AE365" s="1135"/>
      <c r="AF365" s="1135"/>
    </row>
    <row r="366" spans="1:34" ht="12.75" customHeight="1">
      <c r="E366" s="7" t="s">
        <v>494</v>
      </c>
      <c r="F366" s="7"/>
      <c r="G366" s="7"/>
      <c r="H366" s="7"/>
      <c r="I366" s="7"/>
      <c r="J366" s="7"/>
      <c r="K366" s="7"/>
      <c r="L366" s="7"/>
      <c r="N366" s="1135">
        <v>1</v>
      </c>
      <c r="O366" s="1135"/>
      <c r="P366" s="1135"/>
      <c r="Q366" s="1135"/>
      <c r="R366" s="7"/>
      <c r="U366" s="7" t="s">
        <v>0</v>
      </c>
      <c r="V366" s="7"/>
      <c r="W366" s="7"/>
      <c r="X366" s="7"/>
      <c r="Y366" s="7"/>
      <c r="Z366" s="7"/>
      <c r="AA366" s="7"/>
      <c r="AB366" s="7"/>
      <c r="AC366" s="1135">
        <v>58</v>
      </c>
      <c r="AD366" s="1135"/>
      <c r="AE366" s="1135"/>
      <c r="AF366" s="1135"/>
    </row>
    <row r="367" spans="1:34" ht="12.75" customHeight="1">
      <c r="E367" s="7" t="s">
        <v>1</v>
      </c>
      <c r="F367" s="7"/>
      <c r="G367" s="7"/>
      <c r="H367" s="7"/>
      <c r="I367" s="7"/>
      <c r="J367" s="7"/>
      <c r="K367" s="7"/>
      <c r="L367" s="7"/>
      <c r="N367" s="1135">
        <v>4</v>
      </c>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8" t="s">
        <v>1780</v>
      </c>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1127</v>
      </c>
      <c r="F373" s="7"/>
      <c r="G373" s="7"/>
      <c r="H373" s="7"/>
      <c r="I373" s="7"/>
      <c r="J373" s="7"/>
      <c r="K373" s="7"/>
      <c r="L373" s="7"/>
      <c r="N373" s="1113"/>
      <c r="O373" s="1113"/>
      <c r="P373" s="1113"/>
    </row>
    <row r="374" spans="1:38" ht="12.75" customHeight="1">
      <c r="E374" s="399" t="s">
        <v>1129</v>
      </c>
      <c r="F374" s="7"/>
      <c r="G374" s="7"/>
      <c r="H374" s="7"/>
      <c r="I374" s="7"/>
      <c r="J374" s="7"/>
      <c r="K374" s="7"/>
      <c r="L374" s="7"/>
      <c r="AG374" s="1546" t="s">
        <v>641</v>
      </c>
      <c r="AH374" s="1546"/>
    </row>
    <row r="375" spans="1:38" ht="12.75" customHeight="1">
      <c r="E375" s="7"/>
      <c r="F375" s="7"/>
      <c r="G375" s="7" t="s">
        <v>1150</v>
      </c>
      <c r="H375" s="7"/>
      <c r="I375" s="7"/>
      <c r="J375" s="7"/>
      <c r="K375" s="7"/>
      <c r="L375" s="7"/>
      <c r="AG375" s="1546" t="s">
        <v>641</v>
      </c>
      <c r="AH375" s="1546"/>
    </row>
    <row r="376" spans="1:38" ht="12.75" customHeight="1">
      <c r="E376" s="7"/>
      <c r="F376" s="7"/>
      <c r="G376" s="530" t="s">
        <v>1130</v>
      </c>
      <c r="H376" s="7"/>
      <c r="I376" s="7"/>
      <c r="J376" s="7"/>
      <c r="K376" s="7"/>
      <c r="L376" s="7"/>
      <c r="V376" s="1114" t="s">
        <v>641</v>
      </c>
      <c r="W376" s="1114"/>
      <c r="Y376" s="35" t="s">
        <v>1094</v>
      </c>
    </row>
    <row r="377" spans="1:38" ht="12.75" customHeight="1">
      <c r="E377" s="7" t="s">
        <v>1095</v>
      </c>
      <c r="F377" s="7"/>
      <c r="G377" s="7"/>
      <c r="H377" s="7"/>
      <c r="I377" s="7"/>
      <c r="J377" s="7"/>
      <c r="K377" s="7"/>
      <c r="L377" s="7"/>
      <c r="V377" s="1114" t="s">
        <v>641</v>
      </c>
      <c r="W377" s="1114"/>
      <c r="Y377" s="7" t="s">
        <v>1096</v>
      </c>
    </row>
    <row r="378" spans="1:38" ht="12.75" customHeight="1"/>
    <row r="379" spans="1:38" ht="12.75" customHeight="1">
      <c r="A379" s="50" t="s">
        <v>84</v>
      </c>
      <c r="B379" s="50"/>
    </row>
    <row r="380" spans="1:38" ht="12.75" customHeight="1">
      <c r="D380" s="12" t="s">
        <v>463</v>
      </c>
      <c r="J380" s="1086" t="s">
        <v>1661</v>
      </c>
      <c r="K380" s="1086"/>
      <c r="L380" s="1086"/>
      <c r="M380" s="1086"/>
      <c r="N380" s="1086"/>
      <c r="O380" s="1086"/>
      <c r="P380" s="1086"/>
      <c r="Q380" s="1086"/>
      <c r="R380" s="1086"/>
      <c r="S380" s="1086"/>
      <c r="T380" s="1086"/>
      <c r="U380" s="1086"/>
      <c r="V380" s="14" t="s">
        <v>90</v>
      </c>
      <c r="W380" s="14"/>
      <c r="X380" s="14"/>
      <c r="Y380" s="14"/>
      <c r="Z380" s="14"/>
      <c r="AA380" s="14"/>
      <c r="AB380" s="14"/>
      <c r="AC380" s="1086" t="s">
        <v>1718</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t="s">
        <v>1718</v>
      </c>
      <c r="K381" s="1085"/>
      <c r="L381" s="1085"/>
      <c r="M381" s="1085"/>
      <c r="N381" s="1085"/>
      <c r="O381" s="1085"/>
      <c r="P381" s="1085"/>
      <c r="Q381" s="1085"/>
      <c r="R381" s="1085"/>
      <c r="S381" s="1085"/>
      <c r="T381" s="1085"/>
      <c r="U381" s="1085"/>
      <c r="V381" s="58" t="s">
        <v>1422</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085" t="s">
        <v>1726</v>
      </c>
      <c r="K382" s="1085"/>
      <c r="L382" s="1085"/>
      <c r="M382" s="1085"/>
      <c r="N382" s="1085"/>
      <c r="O382" s="1085"/>
      <c r="P382" s="1085"/>
      <c r="Q382" s="1085"/>
      <c r="R382" s="1085"/>
      <c r="S382" s="1085"/>
      <c r="T382" s="1085"/>
      <c r="U382" s="1085"/>
      <c r="V382" s="58" t="s">
        <v>477</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7" t="s">
        <v>1727</v>
      </c>
      <c r="K383" s="1117"/>
      <c r="L383" s="1117"/>
      <c r="M383" s="1117"/>
      <c r="N383" s="1117"/>
      <c r="O383" s="1117"/>
      <c r="P383" s="1117"/>
      <c r="Q383" s="1117"/>
      <c r="R383" s="1117"/>
      <c r="S383" s="1117"/>
      <c r="T383" s="1117"/>
      <c r="U383" s="1117"/>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0">
        <v>43503</v>
      </c>
      <c r="R384" s="1250"/>
      <c r="S384" s="1250"/>
      <c r="T384" s="1250"/>
      <c r="U384" s="1250"/>
      <c r="V384" s="12" t="s">
        <v>331</v>
      </c>
      <c r="AI384" s="1114" t="s">
        <v>591</v>
      </c>
      <c r="AJ384" s="1114"/>
    </row>
    <row r="385" spans="1:38" ht="12.75" customHeight="1">
      <c r="D385" s="12" t="s">
        <v>5</v>
      </c>
      <c r="Q385" s="1417">
        <v>44561</v>
      </c>
      <c r="R385" s="1562"/>
      <c r="S385" s="1562"/>
      <c r="T385" s="1562"/>
      <c r="U385" s="1562"/>
      <c r="W385" s="33" t="s">
        <v>80</v>
      </c>
      <c r="AG385" s="1146" t="s">
        <v>722</v>
      </c>
      <c r="AH385" s="1119"/>
      <c r="AI385" s="1119"/>
      <c r="AJ385" s="1119"/>
    </row>
    <row r="386" spans="1:38" ht="12.75" customHeight="1">
      <c r="D386" s="12" t="s">
        <v>462</v>
      </c>
      <c r="Q386" s="1153">
        <v>20000000</v>
      </c>
      <c r="R386" s="1153"/>
      <c r="S386" s="1153"/>
      <c r="T386" s="1153"/>
      <c r="U386" s="1153"/>
      <c r="V386" s="58" t="s">
        <v>1421</v>
      </c>
      <c r="AG386" s="1259">
        <v>44287</v>
      </c>
      <c r="AH386" s="1259"/>
      <c r="AI386" s="1259"/>
      <c r="AJ386" s="1259"/>
    </row>
    <row r="387" spans="1:38" ht="12.75" customHeight="1">
      <c r="D387" s="12" t="s">
        <v>95</v>
      </c>
      <c r="I387" s="1099" t="s">
        <v>1781</v>
      </c>
      <c r="J387" s="1100"/>
      <c r="K387" s="1100"/>
      <c r="L387" s="1100"/>
      <c r="M387" s="1100"/>
      <c r="N387" s="1100"/>
      <c r="Q387" s="57" t="s">
        <v>220</v>
      </c>
      <c r="S387" s="1148"/>
      <c r="T387" s="1148"/>
      <c r="U387" s="1148"/>
      <c r="V387" s="12" t="s">
        <v>79</v>
      </c>
      <c r="AI387" s="1114" t="s">
        <v>591</v>
      </c>
      <c r="AJ387" s="1114"/>
    </row>
    <row r="388" spans="1:38" ht="13.2">
      <c r="D388" s="12" t="s">
        <v>332</v>
      </c>
      <c r="Q388" s="1154">
        <v>0</v>
      </c>
      <c r="R388" s="1154"/>
      <c r="S388" s="1154"/>
      <c r="T388" s="1154"/>
      <c r="U388" s="1154"/>
      <c r="V388" s="12" t="s">
        <v>333</v>
      </c>
      <c r="AG388" s="1119">
        <v>0</v>
      </c>
      <c r="AH388" s="1119"/>
      <c r="AI388" s="1119"/>
      <c r="AJ388" s="1119"/>
    </row>
    <row r="389" spans="1:38" ht="13.2">
      <c r="D389" s="12" t="s">
        <v>334</v>
      </c>
      <c r="Q389" s="1260">
        <v>2.75E-2</v>
      </c>
      <c r="R389" s="1260"/>
      <c r="S389" s="1260"/>
      <c r="T389" s="1260"/>
      <c r="U389" s="1260"/>
      <c r="V389" s="743" t="s">
        <v>1398</v>
      </c>
      <c r="AG389" s="1119">
        <v>0</v>
      </c>
      <c r="AH389" s="1119"/>
      <c r="AI389" s="1119"/>
      <c r="AJ389" s="1119"/>
    </row>
    <row r="390" spans="1:38" ht="13.2">
      <c r="D390" s="743" t="s">
        <v>1397</v>
      </c>
      <c r="V390" s="743"/>
      <c r="AG390" s="1119">
        <v>0</v>
      </c>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2">
      <c r="B393" s="50"/>
      <c r="C393" s="50"/>
      <c r="D393" s="50" t="s">
        <v>1460</v>
      </c>
      <c r="I393" s="1309" t="s">
        <v>1719</v>
      </c>
      <c r="J393" s="1309"/>
      <c r="K393" s="1309"/>
      <c r="L393" s="1309"/>
      <c r="M393" s="1309"/>
      <c r="N393" s="1309"/>
      <c r="O393" s="1309"/>
      <c r="P393" s="1309"/>
      <c r="Q393" s="1309"/>
      <c r="R393" s="1309"/>
      <c r="S393" s="1309"/>
      <c r="T393" s="1309"/>
      <c r="U393" s="1309"/>
      <c r="V393" s="1309"/>
      <c r="W393" s="1309"/>
      <c r="X393" s="1309"/>
      <c r="Y393" s="1309"/>
      <c r="Z393" s="1309"/>
      <c r="AA393" s="1309"/>
      <c r="AB393" s="1309"/>
      <c r="AC393" s="1309"/>
      <c r="AD393" s="1309"/>
      <c r="AE393" s="1309"/>
    </row>
    <row r="394" spans="1:38" ht="12.75" customHeight="1">
      <c r="C394" s="25"/>
      <c r="D394" s="25"/>
      <c r="E394" s="12" t="s">
        <v>113</v>
      </c>
      <c r="F394" s="25"/>
      <c r="G394" s="25"/>
      <c r="H394" s="25"/>
      <c r="I394" s="25"/>
      <c r="J394" s="25"/>
      <c r="K394" s="25"/>
      <c r="L394" s="25"/>
      <c r="M394" s="25"/>
      <c r="N394" s="25"/>
      <c r="O394" s="25"/>
      <c r="P394" s="743"/>
      <c r="Q394" s="743"/>
      <c r="R394" s="1114" t="s">
        <v>591</v>
      </c>
      <c r="S394" s="1114"/>
      <c r="T394" s="12" t="s">
        <v>619</v>
      </c>
      <c r="U394" s="743"/>
      <c r="V394" s="743"/>
      <c r="W394" s="743"/>
      <c r="X394" s="743"/>
      <c r="Y394" s="743"/>
      <c r="Z394" s="743"/>
      <c r="AA394" s="743"/>
      <c r="AB394" s="743"/>
      <c r="AC394" s="743"/>
      <c r="AD394" s="1135">
        <v>4</v>
      </c>
      <c r="AE394" s="1135"/>
      <c r="AF394" s="743"/>
    </row>
    <row r="395" spans="1:38" ht="12.75" customHeight="1">
      <c r="C395" s="25"/>
      <c r="E395" s="12" t="s">
        <v>114</v>
      </c>
      <c r="F395" s="743"/>
      <c r="G395" s="743"/>
      <c r="H395" s="743"/>
      <c r="I395" s="743"/>
      <c r="J395" s="743"/>
      <c r="K395" s="743"/>
      <c r="L395" s="743"/>
      <c r="M395" s="743"/>
      <c r="N395" s="25"/>
      <c r="O395" s="25"/>
      <c r="P395" s="743"/>
      <c r="Q395" s="743"/>
      <c r="R395" s="1114" t="s">
        <v>641</v>
      </c>
      <c r="S395" s="1114"/>
      <c r="T395" s="12" t="s">
        <v>619</v>
      </c>
      <c r="U395" s="743"/>
      <c r="V395" s="743"/>
      <c r="W395" s="743"/>
      <c r="X395" s="743"/>
      <c r="Y395" s="743"/>
      <c r="Z395" s="743"/>
      <c r="AA395" s="743"/>
      <c r="AB395" s="743"/>
      <c r="AC395" s="743"/>
      <c r="AD395" s="1135">
        <v>0</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641</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4" t="s">
        <v>357</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640</v>
      </c>
      <c r="B405" s="50"/>
      <c r="C405" s="50"/>
      <c r="D405" s="50" t="s">
        <v>121</v>
      </c>
      <c r="AF405" s="50" t="s">
        <v>1066</v>
      </c>
    </row>
    <row r="406" spans="1:36" ht="12.75" customHeight="1">
      <c r="E406" s="1113"/>
      <c r="F406" s="1113"/>
      <c r="G406" s="1113"/>
      <c r="H406" s="23" t="s">
        <v>122</v>
      </c>
      <c r="I406" s="1113"/>
      <c r="J406" s="1113"/>
      <c r="K406" s="1113"/>
      <c r="L406" s="12" t="s">
        <v>123</v>
      </c>
      <c r="N406" s="144" t="s">
        <v>625</v>
      </c>
      <c r="P406" s="1267">
        <v>0.18</v>
      </c>
      <c r="Q406" s="1267"/>
      <c r="R406" s="1267"/>
      <c r="S406" s="12" t="s">
        <v>124</v>
      </c>
      <c r="W406" s="1151">
        <f>IF(E406&gt;0,(E406*I406),(P406*43560))</f>
        <v>7840.7999999999993</v>
      </c>
      <c r="X406" s="1151"/>
      <c r="Y406" s="1151"/>
      <c r="Z406" s="12" t="s">
        <v>125</v>
      </c>
      <c r="AF406" s="1267">
        <f>AG424/P406</f>
        <v>322.22222222222223</v>
      </c>
      <c r="AG406" s="1267"/>
      <c r="AH406" s="1267"/>
    </row>
    <row r="407" spans="1:36" ht="13.2">
      <c r="E407" s="12" t="s">
        <v>56</v>
      </c>
    </row>
    <row r="408" spans="1:36" ht="13.2">
      <c r="E408" s="1121" t="s">
        <v>1782</v>
      </c>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3.2"/>
    <row r="410" spans="1:36" ht="13.2">
      <c r="A410" s="50" t="s">
        <v>642</v>
      </c>
      <c r="B410" s="50"/>
      <c r="C410" s="50"/>
      <c r="D410" s="50" t="s">
        <v>127</v>
      </c>
    </row>
    <row r="411" spans="1:36" ht="13.2">
      <c r="E411" s="12" t="s">
        <v>128</v>
      </c>
      <c r="P411" s="1114">
        <v>1</v>
      </c>
      <c r="Q411" s="1114"/>
      <c r="S411" s="12" t="s">
        <v>203</v>
      </c>
      <c r="AE411" s="1114">
        <v>1</v>
      </c>
      <c r="AF411" s="1114"/>
    </row>
    <row r="412" spans="1:36" ht="13.2">
      <c r="E412" s="12" t="s">
        <v>204</v>
      </c>
      <c r="P412" s="1114">
        <v>0</v>
      </c>
      <c r="Q412" s="1114"/>
      <c r="S412" s="12" t="s">
        <v>138</v>
      </c>
      <c r="AE412" s="1114" t="s">
        <v>591</v>
      </c>
      <c r="AF412" s="1114"/>
    </row>
    <row r="413" spans="1:36" ht="12.75" customHeight="1">
      <c r="F413" s="67" t="s">
        <v>139</v>
      </c>
    </row>
    <row r="414" spans="1:36" ht="12.75" customHeight="1">
      <c r="F414" s="1248" t="s">
        <v>1728</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658</v>
      </c>
      <c r="N416" s="39"/>
      <c r="O416" s="39"/>
      <c r="P416" s="243"/>
      <c r="Q416" s="1114" t="s">
        <v>591</v>
      </c>
      <c r="R416" s="1114"/>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4" t="s">
        <v>641</v>
      </c>
      <c r="AG417" s="1131"/>
    </row>
    <row r="418" spans="1:96" ht="12.75" customHeight="1">
      <c r="S418" s="25"/>
      <c r="T418" s="25"/>
    </row>
    <row r="419" spans="1:96" ht="12.75" customHeight="1">
      <c r="A419" s="50"/>
      <c r="B419" s="50"/>
      <c r="C419" s="50"/>
      <c r="E419" s="7" t="s">
        <v>330</v>
      </c>
      <c r="Z419" s="1114" t="s">
        <v>722</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4" t="s">
        <v>641</v>
      </c>
      <c r="AA421" s="1114"/>
    </row>
    <row r="422" spans="1:96" ht="12.75" customHeight="1"/>
    <row r="423" spans="1:96" ht="12.75" customHeight="1">
      <c r="A423" s="50" t="s">
        <v>513</v>
      </c>
      <c r="B423" s="50"/>
      <c r="C423" s="50"/>
      <c r="D423" s="50" t="s">
        <v>842</v>
      </c>
      <c r="AF423" s="80"/>
    </row>
    <row r="424" spans="1:96" ht="12.75" customHeight="1">
      <c r="D424" s="1164"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2">
        <v>58</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4"/>
      <c r="AH425" s="1275"/>
      <c r="AI425" s="1275"/>
      <c r="AJ425" s="1275"/>
    </row>
    <row r="426" spans="1:96" ht="12.75" customHeight="1">
      <c r="D426" s="1136" t="s">
        <v>1184</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58</v>
      </c>
      <c r="AH426" s="1132"/>
      <c r="AI426" s="1132"/>
      <c r="AJ426" s="1132"/>
    </row>
    <row r="427" spans="1:96" ht="12.75" customHeight="1">
      <c r="D427" s="1136" t="s">
        <v>1185</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58</v>
      </c>
      <c r="AH427" s="1132"/>
      <c r="AI427" s="1132"/>
      <c r="AJ427" s="1132"/>
    </row>
    <row r="428" spans="1:96" ht="12.75" customHeight="1">
      <c r="D428" s="1136" t="s">
        <v>1187</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1186</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v>9841</v>
      </c>
      <c r="AH429" s="1133"/>
      <c r="AI429" s="1133"/>
      <c r="AJ429" s="1133"/>
    </row>
    <row r="430" spans="1:96" ht="12.75" customHeight="1">
      <c r="D430" s="1136" t="s">
        <v>1188</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v>9841</v>
      </c>
      <c r="AH430" s="1133"/>
      <c r="AI430" s="1133"/>
      <c r="AJ430" s="1133"/>
    </row>
    <row r="431" spans="1:96" ht="12.75" customHeight="1">
      <c r="D431" s="1136" t="s">
        <v>1189</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1190</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6"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3">
        <v>2731</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617</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3">
        <v>3926</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136"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3">
        <v>20149</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136" t="s">
        <v>1191</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341">
        <v>0</v>
      </c>
      <c r="AH436" s="1341"/>
      <c r="AI436" s="1341"/>
      <c r="AJ436" s="134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165" t="s">
        <v>1192</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299">
        <f>AG429+AG433+AG435+AG436</f>
        <v>32721</v>
      </c>
      <c r="AH437" s="1299"/>
      <c r="AI437" s="1299"/>
      <c r="AJ437" s="129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981280.77586206899</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922660.08620689658</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830756.10344827583</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087" t="s">
        <v>749</v>
      </c>
      <c r="E452" s="1088"/>
      <c r="F452" s="1088"/>
      <c r="G452" s="1088"/>
      <c r="H452" s="1088"/>
      <c r="I452" s="1088"/>
      <c r="J452" s="1088"/>
      <c r="K452" s="1088"/>
      <c r="L452" s="1088"/>
      <c r="M452" s="1088"/>
      <c r="N452" s="1088"/>
      <c r="O452" s="1088"/>
      <c r="P452" s="1088"/>
      <c r="Q452" s="1088"/>
      <c r="R452" s="1088"/>
      <c r="S452" s="1088"/>
      <c r="T452" s="1088"/>
      <c r="U452" s="1088"/>
      <c r="V452" s="1089"/>
      <c r="W452" s="1342">
        <v>58</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750</v>
      </c>
      <c r="E453" s="1088"/>
      <c r="F453" s="1088"/>
      <c r="G453" s="1088"/>
      <c r="H453" s="1088"/>
      <c r="I453" s="1088"/>
      <c r="J453" s="1088"/>
      <c r="K453" s="1088"/>
      <c r="L453" s="1088"/>
      <c r="M453" s="1088"/>
      <c r="N453" s="1088"/>
      <c r="O453" s="1088"/>
      <c r="P453" s="1088"/>
      <c r="Q453" s="1088"/>
      <c r="R453" s="1088"/>
      <c r="S453" s="1088"/>
      <c r="T453" s="1088"/>
      <c r="U453" s="1088"/>
      <c r="V453" s="1089"/>
      <c r="W453" s="1227" t="s">
        <v>641</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751</v>
      </c>
      <c r="E454" s="1088"/>
      <c r="F454" s="1088"/>
      <c r="G454" s="1088"/>
      <c r="H454" s="1088"/>
      <c r="I454" s="1088"/>
      <c r="J454" s="1088"/>
      <c r="K454" s="1088"/>
      <c r="L454" s="1088"/>
      <c r="M454" s="1088"/>
      <c r="N454" s="1088"/>
      <c r="O454" s="1088"/>
      <c r="P454" s="1088"/>
      <c r="Q454" s="1088"/>
      <c r="R454" s="1088"/>
      <c r="S454" s="1088"/>
      <c r="T454" s="1088"/>
      <c r="U454" s="1088"/>
      <c r="V454" s="1089"/>
      <c r="W454" s="1227" t="s">
        <v>641</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087" t="s">
        <v>752</v>
      </c>
      <c r="E455" s="1088"/>
      <c r="F455" s="1088"/>
      <c r="G455" s="1088"/>
      <c r="H455" s="1088"/>
      <c r="I455" s="1088"/>
      <c r="J455" s="1088"/>
      <c r="K455" s="1088"/>
      <c r="L455" s="1088"/>
      <c r="M455" s="1088"/>
      <c r="N455" s="1088"/>
      <c r="O455" s="1088"/>
      <c r="P455" s="1088"/>
      <c r="Q455" s="1088"/>
      <c r="R455" s="1088"/>
      <c r="S455" s="1088"/>
      <c r="T455" s="1088"/>
      <c r="U455" s="1088"/>
      <c r="V455" s="1089"/>
      <c r="W455" s="1227" t="s">
        <v>641</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087" t="s">
        <v>975</v>
      </c>
      <c r="E456" s="1088"/>
      <c r="F456" s="1088"/>
      <c r="G456" s="1088"/>
      <c r="H456" s="1088"/>
      <c r="I456" s="1088"/>
      <c r="J456" s="1088"/>
      <c r="K456" s="1088"/>
      <c r="L456" s="1088"/>
      <c r="M456" s="1088"/>
      <c r="N456" s="1088"/>
      <c r="O456" s="1088"/>
      <c r="P456" s="1088"/>
      <c r="Q456" s="1088"/>
      <c r="R456" s="1088"/>
      <c r="S456" s="1088"/>
      <c r="T456" s="1088"/>
      <c r="U456" s="1088"/>
      <c r="V456" s="1089"/>
      <c r="W456" s="1227" t="s">
        <v>641</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087" t="s">
        <v>753</v>
      </c>
      <c r="E457" s="1088"/>
      <c r="F457" s="1088"/>
      <c r="G457" s="1088"/>
      <c r="H457" s="1088"/>
      <c r="I457" s="1088"/>
      <c r="J457" s="1088"/>
      <c r="K457" s="1088"/>
      <c r="L457" s="1088"/>
      <c r="M457" s="1088"/>
      <c r="N457" s="1088"/>
      <c r="O457" s="1088"/>
      <c r="P457" s="1088"/>
      <c r="Q457" s="1088"/>
      <c r="R457" s="1088"/>
      <c r="S457" s="1088"/>
      <c r="T457" s="1088"/>
      <c r="U457" s="1088"/>
      <c r="V457" s="1089"/>
      <c r="W457" s="1227" t="s">
        <v>641</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7" t="s">
        <v>641</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296"/>
      <c r="H459" s="1297"/>
      <c r="I459" s="1297"/>
      <c r="J459" s="1297"/>
      <c r="K459" s="1297"/>
      <c r="L459" s="1297"/>
      <c r="M459" s="1297"/>
      <c r="N459" s="1297"/>
      <c r="O459" s="1297"/>
      <c r="P459" s="1297"/>
      <c r="Q459" s="1297"/>
      <c r="R459" s="1297"/>
      <c r="S459" s="1297"/>
      <c r="T459" s="1297"/>
      <c r="U459" s="1297"/>
      <c r="V459" s="1298"/>
      <c r="W459" s="1227" t="s">
        <v>641</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343" t="s">
        <v>754</v>
      </c>
      <c r="E463" s="1344"/>
      <c r="F463" s="1344"/>
      <c r="G463" s="1344"/>
      <c r="H463" s="1344"/>
      <c r="I463" s="1344"/>
      <c r="J463" s="1344"/>
      <c r="K463" s="1344"/>
      <c r="L463" s="1344"/>
      <c r="M463" s="1344"/>
      <c r="N463" s="1344"/>
      <c r="O463" s="1344"/>
      <c r="P463" s="1344"/>
      <c r="Q463" s="1344"/>
      <c r="R463" s="1344"/>
      <c r="S463" s="1344"/>
      <c r="T463" s="1344"/>
      <c r="U463" s="1344"/>
      <c r="V463" s="1344"/>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087" t="s">
        <v>755</v>
      </c>
      <c r="E464" s="1088"/>
      <c r="F464" s="1088"/>
      <c r="G464" s="1088"/>
      <c r="H464" s="1088"/>
      <c r="I464" s="1088"/>
      <c r="J464" s="1088"/>
      <c r="K464" s="1088"/>
      <c r="L464" s="1088"/>
      <c r="M464" s="1088"/>
      <c r="N464" s="1088"/>
      <c r="O464" s="1088"/>
      <c r="P464" s="1088"/>
      <c r="Q464" s="1088"/>
      <c r="R464" s="1088"/>
      <c r="S464" s="1088"/>
      <c r="T464" s="1088"/>
      <c r="U464" s="1088"/>
      <c r="V464" s="1089"/>
      <c r="W464" s="1227" t="s">
        <v>641</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149" t="s">
        <v>892</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230" t="s">
        <v>893</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161">
        <v>0</v>
      </c>
      <c r="U474" s="1161"/>
      <c r="V474" s="1161"/>
      <c r="W474" s="1161"/>
      <c r="X474" s="1161"/>
      <c r="Y474" s="1161">
        <v>0</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161">
        <v>0</v>
      </c>
      <c r="U475" s="1161"/>
      <c r="V475" s="1161"/>
      <c r="W475" s="1161"/>
      <c r="X475" s="1161"/>
      <c r="Y475" s="1161">
        <v>0</v>
      </c>
      <c r="Z475" s="1161"/>
      <c r="AA475" s="1161"/>
      <c r="AB475" s="1161"/>
      <c r="AC475" s="1161"/>
      <c r="AD475" s="1161">
        <v>42989</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161"/>
      <c r="U477" s="1161"/>
      <c r="V477" s="1161"/>
      <c r="W477" s="1161"/>
      <c r="X477" s="1161"/>
      <c r="Y477" s="1161"/>
      <c r="Z477" s="1161"/>
      <c r="AA477" s="1161"/>
      <c r="AB477" s="1161"/>
      <c r="AC477" s="1161"/>
      <c r="AD477" s="1161"/>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161"/>
      <c r="U478" s="1161"/>
      <c r="V478" s="1161"/>
      <c r="W478" s="1161"/>
      <c r="X478" s="1161"/>
      <c r="Y478" s="1161"/>
      <c r="Z478" s="1161"/>
      <c r="AA478" s="1161"/>
      <c r="AB478" s="1161"/>
      <c r="AC478" s="1161"/>
      <c r="AD478" s="1161"/>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161">
        <v>0</v>
      </c>
      <c r="U479" s="1161"/>
      <c r="V479" s="1161"/>
      <c r="W479" s="1161"/>
      <c r="X479" s="1161"/>
      <c r="Y479" s="1161">
        <v>0</v>
      </c>
      <c r="Z479" s="1161"/>
      <c r="AA479" s="1161"/>
      <c r="AB479" s="1161"/>
      <c r="AC479" s="1161"/>
      <c r="AD479" s="1161">
        <v>43048</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161">
        <v>43830</v>
      </c>
      <c r="U480" s="1161"/>
      <c r="V480" s="1161"/>
      <c r="W480" s="1161"/>
      <c r="X480" s="1161"/>
      <c r="Y480" s="1161">
        <v>44228</v>
      </c>
      <c r="Z480" s="1161"/>
      <c r="AA480" s="1161"/>
      <c r="AB480" s="1161"/>
      <c r="AC480" s="1161"/>
      <c r="AD480" s="1161">
        <v>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161">
        <v>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161">
        <v>43830</v>
      </c>
      <c r="U483" s="1161"/>
      <c r="V483" s="1161"/>
      <c r="W483" s="1161"/>
      <c r="X483" s="1161"/>
      <c r="Y483" s="1161">
        <v>0</v>
      </c>
      <c r="Z483" s="1161"/>
      <c r="AA483" s="1161"/>
      <c r="AB483" s="1161"/>
      <c r="AC483" s="1161"/>
      <c r="AD483" s="1161">
        <v>43971</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162" t="s">
        <v>1783</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162" t="s">
        <v>1730</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162" t="s">
        <v>1784</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8"/>
      <c r="C490" s="1349"/>
      <c r="D490" s="1349"/>
      <c r="E490" s="1349"/>
      <c r="F490" s="1349"/>
      <c r="G490" s="1349"/>
      <c r="H490" s="1349"/>
      <c r="I490" s="1349"/>
      <c r="J490" s="1349"/>
      <c r="K490" s="1349"/>
      <c r="L490" s="1349"/>
      <c r="M490" s="1349"/>
      <c r="N490" s="1349"/>
      <c r="O490" s="1349"/>
      <c r="P490" s="1350"/>
      <c r="Q490" s="1354" t="s">
        <v>722</v>
      </c>
      <c r="R490" s="1355"/>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351"/>
      <c r="C491" s="1352"/>
      <c r="D491" s="1352"/>
      <c r="E491" s="1352"/>
      <c r="F491" s="1352"/>
      <c r="G491" s="1352"/>
      <c r="H491" s="1352"/>
      <c r="I491" s="1352"/>
      <c r="J491" s="1352"/>
      <c r="K491" s="1352"/>
      <c r="L491" s="1352"/>
      <c r="M491" s="1352"/>
      <c r="N491" s="1352"/>
      <c r="O491" s="1352"/>
      <c r="P491" s="1353"/>
      <c r="Q491" s="1356"/>
      <c r="R491" s="1357"/>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162" t="s">
        <v>1731</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162" t="s">
        <v>641</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0">
        <v>9</v>
      </c>
      <c r="AD500" s="1135"/>
      <c r="AE500" s="1135"/>
      <c r="AF500" s="1135"/>
      <c r="AG500" s="75" t="s">
        <v>438</v>
      </c>
      <c r="AH500" s="1117">
        <v>2020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0">
        <v>4</v>
      </c>
      <c r="AD501" s="1135"/>
      <c r="AE501" s="1135"/>
      <c r="AF501" s="1135"/>
      <c r="AG501" s="65" t="s">
        <v>438</v>
      </c>
      <c r="AH501" s="1117">
        <v>2021</v>
      </c>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0" t="s">
        <v>641</v>
      </c>
      <c r="AD502" s="1135"/>
      <c r="AE502" s="1135"/>
      <c r="AF502" s="1135"/>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0" t="s">
        <v>641</v>
      </c>
      <c r="AD503" s="1135"/>
      <c r="AE503" s="1135"/>
      <c r="AF503" s="1135"/>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0">
        <v>2</v>
      </c>
      <c r="AD504" s="1135"/>
      <c r="AE504" s="1135"/>
      <c r="AF504" s="1135"/>
      <c r="AG504" s="75" t="s">
        <v>438</v>
      </c>
      <c r="AH504" s="1117">
        <v>2021</v>
      </c>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0" t="s">
        <v>641</v>
      </c>
      <c r="AD505" s="1135"/>
      <c r="AE505" s="1135"/>
      <c r="AF505" s="1135"/>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0">
        <v>2</v>
      </c>
      <c r="AD506" s="1135"/>
      <c r="AE506" s="1135"/>
      <c r="AF506" s="1135"/>
      <c r="AG506" s="65" t="s">
        <v>438</v>
      </c>
      <c r="AH506" s="1117">
        <v>2021</v>
      </c>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0">
        <v>8</v>
      </c>
      <c r="AD507" s="1135"/>
      <c r="AE507" s="1135"/>
      <c r="AF507" s="1135"/>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0">
        <v>8</v>
      </c>
      <c r="AD508" s="1135"/>
      <c r="AE508" s="1135"/>
      <c r="AF508" s="1135"/>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0">
        <v>4</v>
      </c>
      <c r="AD509" s="1135"/>
      <c r="AE509" s="1135"/>
      <c r="AF509" s="1135"/>
      <c r="AG509" s="65" t="s">
        <v>438</v>
      </c>
      <c r="AH509" s="1117">
        <v>2021</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1">
        <v>8</v>
      </c>
      <c r="AD510" s="1262"/>
      <c r="AE510" s="1262"/>
      <c r="AF510" s="1262"/>
      <c r="AG510" s="204" t="s">
        <v>438</v>
      </c>
      <c r="AH510" s="1117">
        <v>2020</v>
      </c>
      <c r="AI510" s="1117"/>
      <c r="AJ510" s="1117"/>
      <c r="AK510" s="111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0">
        <v>9</v>
      </c>
      <c r="AD511" s="1135"/>
      <c r="AE511" s="1135"/>
      <c r="AF511" s="1135"/>
      <c r="AG511" s="75" t="s">
        <v>438</v>
      </c>
      <c r="AH511" s="1117">
        <v>2020</v>
      </c>
      <c r="AI511" s="1117"/>
      <c r="AJ511" s="1117"/>
      <c r="AK511" s="111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301"/>
      <c r="C512" s="1302"/>
      <c r="D512" s="1302"/>
      <c r="E512" s="1302"/>
      <c r="F512" s="1302"/>
      <c r="G512" s="1302"/>
      <c r="H512" s="1303"/>
      <c r="I512" s="80" t="s">
        <v>452</v>
      </c>
      <c r="J512" s="80"/>
      <c r="K512" s="80"/>
      <c r="L512" s="80"/>
      <c r="M512" s="80"/>
      <c r="N512" s="80"/>
      <c r="O512" s="80"/>
      <c r="P512" s="80"/>
      <c r="Q512" s="80"/>
      <c r="R512" s="80"/>
      <c r="S512" s="80"/>
      <c r="T512" s="80"/>
      <c r="U512" s="80"/>
      <c r="V512" s="80"/>
      <c r="W512" s="80"/>
      <c r="X512" s="80"/>
      <c r="Y512" s="80"/>
      <c r="Z512" s="80"/>
      <c r="AA512" s="80"/>
      <c r="AB512" s="80"/>
      <c r="AC512" s="1170">
        <v>4</v>
      </c>
      <c r="AD512" s="1135"/>
      <c r="AE512" s="1135"/>
      <c r="AF512" s="1135"/>
      <c r="AG512" s="65" t="s">
        <v>438</v>
      </c>
      <c r="AH512" s="1117">
        <v>2021</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253" t="s">
        <v>454</v>
      </c>
      <c r="C513" s="1254"/>
      <c r="D513" s="1254"/>
      <c r="E513" s="1254"/>
      <c r="F513" s="1254"/>
      <c r="G513" s="1254"/>
      <c r="H513" s="1255"/>
      <c r="I513" s="71" t="s">
        <v>455</v>
      </c>
      <c r="J513" s="72"/>
      <c r="K513" s="72"/>
      <c r="L513" s="72"/>
      <c r="M513" s="72"/>
      <c r="N513" s="72"/>
      <c r="O513" s="1085" t="s">
        <v>1813</v>
      </c>
      <c r="P513" s="1085"/>
      <c r="Q513" s="1085"/>
      <c r="R513" s="1085"/>
      <c r="S513" s="1085"/>
      <c r="T513" s="1085"/>
      <c r="U513" s="1085"/>
      <c r="V513" s="1085"/>
      <c r="W513" s="1085"/>
      <c r="X513" s="1085"/>
      <c r="Y513" s="1085"/>
      <c r="Z513" s="1085"/>
      <c r="AA513" s="1085"/>
      <c r="AB513" s="94"/>
      <c r="AC513" s="1261" t="s">
        <v>641</v>
      </c>
      <c r="AD513" s="1262"/>
      <c r="AE513" s="1262"/>
      <c r="AF513" s="1262"/>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0">
        <v>9</v>
      </c>
      <c r="AD514" s="1135"/>
      <c r="AE514" s="1135"/>
      <c r="AF514" s="1135"/>
      <c r="AG514" s="75" t="s">
        <v>438</v>
      </c>
      <c r="AH514" s="1117">
        <v>2020</v>
      </c>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0">
        <v>4</v>
      </c>
      <c r="AD515" s="1135"/>
      <c r="AE515" s="1135"/>
      <c r="AF515" s="1135"/>
      <c r="AG515" s="65" t="s">
        <v>438</v>
      </c>
      <c r="AH515" s="1117">
        <v>2021</v>
      </c>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256"/>
      <c r="C516" s="1257"/>
      <c r="D516" s="1257"/>
      <c r="E516" s="1257"/>
      <c r="F516" s="1257"/>
      <c r="G516" s="1257"/>
      <c r="H516" s="1258"/>
      <c r="I516" s="72" t="s">
        <v>458</v>
      </c>
      <c r="J516" s="72"/>
      <c r="K516" s="72"/>
      <c r="L516" s="72"/>
      <c r="M516" s="72"/>
      <c r="N516" s="72"/>
      <c r="O516" s="1086" t="s">
        <v>1815</v>
      </c>
      <c r="P516" s="1086"/>
      <c r="Q516" s="1086"/>
      <c r="R516" s="1086"/>
      <c r="S516" s="1086"/>
      <c r="T516" s="1086"/>
      <c r="U516" s="1086"/>
      <c r="V516" s="1086"/>
      <c r="W516" s="1086"/>
      <c r="X516" s="1086"/>
      <c r="Y516" s="1086"/>
      <c r="Z516" s="1086"/>
      <c r="AA516" s="1086"/>
      <c r="AC516" s="1170" t="s">
        <v>641</v>
      </c>
      <c r="AD516" s="1135"/>
      <c r="AE516" s="1135"/>
      <c r="AF516" s="1135"/>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0">
        <v>5</v>
      </c>
      <c r="AD517" s="1135"/>
      <c r="AE517" s="1135"/>
      <c r="AF517" s="1135"/>
      <c r="AG517" s="75" t="s">
        <v>438</v>
      </c>
      <c r="AH517" s="1117">
        <v>2019</v>
      </c>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0">
        <v>6</v>
      </c>
      <c r="AD518" s="1135"/>
      <c r="AE518" s="1135"/>
      <c r="AF518" s="1135"/>
      <c r="AG518" s="65" t="s">
        <v>438</v>
      </c>
      <c r="AH518" s="1117">
        <v>2019</v>
      </c>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256"/>
      <c r="C519" s="1257"/>
      <c r="D519" s="1257"/>
      <c r="E519" s="1257"/>
      <c r="F519" s="1257"/>
      <c r="G519" s="1257"/>
      <c r="H519" s="1258"/>
      <c r="I519" s="72" t="s">
        <v>458</v>
      </c>
      <c r="J519" s="72"/>
      <c r="K519" s="72"/>
      <c r="L519" s="72"/>
      <c r="M519" s="72"/>
      <c r="N519" s="72"/>
      <c r="O519" s="1086" t="s">
        <v>1814</v>
      </c>
      <c r="P519" s="1086"/>
      <c r="Q519" s="1086"/>
      <c r="R519" s="1086"/>
      <c r="S519" s="1086"/>
      <c r="T519" s="1086"/>
      <c r="U519" s="1086"/>
      <c r="V519" s="1086"/>
      <c r="W519" s="1086"/>
      <c r="X519" s="1086"/>
      <c r="Y519" s="1086"/>
      <c r="Z519" s="1086"/>
      <c r="AA519" s="1086"/>
      <c r="AC519" s="1170" t="s">
        <v>641</v>
      </c>
      <c r="AD519" s="1135"/>
      <c r="AE519" s="1135"/>
      <c r="AF519" s="1135"/>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0">
        <v>3</v>
      </c>
      <c r="AD520" s="1135"/>
      <c r="AE520" s="1135"/>
      <c r="AF520" s="1135"/>
      <c r="AG520" s="75" t="s">
        <v>438</v>
      </c>
      <c r="AH520" s="1117">
        <v>2020</v>
      </c>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0">
        <v>6</v>
      </c>
      <c r="AD521" s="1135"/>
      <c r="AE521" s="1135"/>
      <c r="AF521" s="1135"/>
      <c r="AG521" s="65" t="s">
        <v>438</v>
      </c>
      <c r="AH521" s="1117">
        <v>2020</v>
      </c>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256"/>
      <c r="C522" s="1257"/>
      <c r="D522" s="1257"/>
      <c r="E522" s="1257"/>
      <c r="F522" s="1257"/>
      <c r="G522" s="1257"/>
      <c r="H522" s="1258"/>
      <c r="I522" s="72" t="s">
        <v>458</v>
      </c>
      <c r="J522" s="72"/>
      <c r="K522" s="72"/>
      <c r="L522" s="72"/>
      <c r="M522" s="72"/>
      <c r="N522" s="72"/>
      <c r="O522" s="1309" t="s">
        <v>1816</v>
      </c>
      <c r="P522" s="1086"/>
      <c r="Q522" s="1086"/>
      <c r="R522" s="1086"/>
      <c r="S522" s="1086"/>
      <c r="T522" s="1086"/>
      <c r="U522" s="1086"/>
      <c r="V522" s="1086"/>
      <c r="W522" s="1086"/>
      <c r="X522" s="1086"/>
      <c r="Y522" s="1086"/>
      <c r="Z522" s="1086"/>
      <c r="AA522" s="1086"/>
      <c r="AC522" s="1170" t="s">
        <v>641</v>
      </c>
      <c r="AD522" s="1135"/>
      <c r="AE522" s="1135"/>
      <c r="AF522" s="1135"/>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0">
        <v>8</v>
      </c>
      <c r="AD523" s="1135"/>
      <c r="AE523" s="1135"/>
      <c r="AF523" s="1135"/>
      <c r="AG523" s="75" t="s">
        <v>438</v>
      </c>
      <c r="AH523" s="1117">
        <v>2020</v>
      </c>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0">
        <v>4</v>
      </c>
      <c r="AD524" s="1135"/>
      <c r="AE524" s="1135"/>
      <c r="AF524" s="1135"/>
      <c r="AG524" s="65" t="s">
        <v>438</v>
      </c>
      <c r="AH524" s="1117">
        <v>2021</v>
      </c>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256"/>
      <c r="C525" s="1257"/>
      <c r="D525" s="1257"/>
      <c r="E525" s="1257"/>
      <c r="F525" s="1257"/>
      <c r="G525" s="1257"/>
      <c r="H525" s="1258"/>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70" t="s">
        <v>641</v>
      </c>
      <c r="AD525" s="1135"/>
      <c r="AE525" s="1135"/>
      <c r="AF525" s="1135"/>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0" t="s">
        <v>641</v>
      </c>
      <c r="AD526" s="1135"/>
      <c r="AE526" s="1135"/>
      <c r="AF526" s="1135"/>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0" t="s">
        <v>641</v>
      </c>
      <c r="AD527" s="1135"/>
      <c r="AE527" s="1135"/>
      <c r="AF527" s="1135"/>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256"/>
      <c r="C528" s="1257"/>
      <c r="D528" s="1257"/>
      <c r="E528" s="1257"/>
      <c r="F528" s="1257"/>
      <c r="G528" s="1257"/>
      <c r="H528" s="1258"/>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70" t="s">
        <v>641</v>
      </c>
      <c r="AD528" s="1135"/>
      <c r="AE528" s="1135"/>
      <c r="AF528" s="1135"/>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0" t="s">
        <v>641</v>
      </c>
      <c r="AD529" s="1135"/>
      <c r="AE529" s="1135"/>
      <c r="AF529" s="1135"/>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0" t="s">
        <v>641</v>
      </c>
      <c r="AD530" s="1135"/>
      <c r="AE530" s="1135"/>
      <c r="AF530" s="1135"/>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0">
        <v>4</v>
      </c>
      <c r="AD531" s="1135"/>
      <c r="AE531" s="1135"/>
      <c r="AF531" s="1135"/>
      <c r="AG531" s="65" t="s">
        <v>438</v>
      </c>
      <c r="AH531" s="1117">
        <v>2021</v>
      </c>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0">
        <v>4</v>
      </c>
      <c r="AD532" s="1135"/>
      <c r="AE532" s="1135"/>
      <c r="AF532" s="1135"/>
      <c r="AG532" s="75" t="s">
        <v>438</v>
      </c>
      <c r="AH532" s="1117">
        <v>2021</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0">
        <v>10</v>
      </c>
      <c r="AD533" s="1135"/>
      <c r="AE533" s="1135"/>
      <c r="AF533" s="1135"/>
      <c r="AG533" s="65" t="s">
        <v>438</v>
      </c>
      <c r="AH533" s="1117">
        <v>2022</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0">
        <v>10</v>
      </c>
      <c r="AD534" s="1135"/>
      <c r="AE534" s="1135"/>
      <c r="AF534" s="1135"/>
      <c r="AG534" s="65" t="s">
        <v>438</v>
      </c>
      <c r="AH534" s="1117">
        <v>2022</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301"/>
      <c r="C535" s="1302"/>
      <c r="D535" s="1302"/>
      <c r="E535" s="1302"/>
      <c r="F535" s="1302"/>
      <c r="G535" s="1302"/>
      <c r="H535" s="1303"/>
      <c r="I535" s="80" t="s">
        <v>495</v>
      </c>
      <c r="J535" s="80"/>
      <c r="K535" s="80"/>
      <c r="L535" s="80"/>
      <c r="M535" s="80"/>
      <c r="N535" s="80"/>
      <c r="O535" s="80"/>
      <c r="P535" s="80"/>
      <c r="Q535" s="80"/>
      <c r="R535" s="80"/>
      <c r="S535" s="80"/>
      <c r="T535" s="80"/>
      <c r="U535" s="80"/>
      <c r="V535" s="80"/>
      <c r="W535" s="80"/>
      <c r="X535" s="80"/>
      <c r="Y535" s="80"/>
      <c r="Z535" s="80"/>
      <c r="AA535" s="80"/>
      <c r="AB535" s="80"/>
      <c r="AC535" s="1170">
        <v>12</v>
      </c>
      <c r="AD535" s="1135"/>
      <c r="AE535" s="1135"/>
      <c r="AF535" s="1135"/>
      <c r="AG535" s="65" t="s">
        <v>438</v>
      </c>
      <c r="AH535" s="1117">
        <v>2022</v>
      </c>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497</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498</v>
      </c>
      <c r="V544" s="1127"/>
      <c r="W544" s="1127"/>
      <c r="X544" s="1127"/>
      <c r="Y544" s="1128"/>
      <c r="Z544" s="1304" t="s">
        <v>1424</v>
      </c>
      <c r="AA544" s="1305"/>
      <c r="AB544" s="1305"/>
      <c r="AC544" s="1305"/>
      <c r="AD544" s="1306"/>
      <c r="AE544" s="1126" t="s">
        <v>499</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77" t="s">
        <v>1733</v>
      </c>
      <c r="D545" s="1152"/>
      <c r="E545" s="1152"/>
      <c r="F545" s="1152"/>
      <c r="G545" s="1152"/>
      <c r="H545" s="1152"/>
      <c r="I545" s="1152"/>
      <c r="J545" s="1152"/>
      <c r="K545" s="1152"/>
      <c r="L545" s="1152"/>
      <c r="M545" s="1152"/>
      <c r="N545" s="1152"/>
      <c r="O545" s="1178"/>
      <c r="P545" s="1116">
        <v>25</v>
      </c>
      <c r="Q545" s="1117"/>
      <c r="R545" s="1117"/>
      <c r="S545" s="1117"/>
      <c r="T545" s="1118"/>
      <c r="U545" s="1173">
        <v>3.4500000000000003E-2</v>
      </c>
      <c r="V545" s="1174"/>
      <c r="W545" s="1174"/>
      <c r="X545" s="1174"/>
      <c r="Y545" s="1175"/>
      <c r="Z545" s="1129" t="s">
        <v>1734</v>
      </c>
      <c r="AA545" s="1129"/>
      <c r="AB545" s="1129"/>
      <c r="AC545" s="1129"/>
      <c r="AD545" s="1130"/>
      <c r="AE545" s="1202">
        <v>28863803</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77" t="s">
        <v>1735</v>
      </c>
      <c r="D546" s="1152"/>
      <c r="E546" s="1152"/>
      <c r="F546" s="1152"/>
      <c r="G546" s="1152"/>
      <c r="H546" s="1152"/>
      <c r="I546" s="1152"/>
      <c r="J546" s="1152"/>
      <c r="K546" s="1152"/>
      <c r="L546" s="1152"/>
      <c r="M546" s="1152"/>
      <c r="N546" s="1152"/>
      <c r="O546" s="1178"/>
      <c r="P546" s="1116">
        <v>660</v>
      </c>
      <c r="Q546" s="1117"/>
      <c r="R546" s="1117"/>
      <c r="S546" s="1117"/>
      <c r="T546" s="1118"/>
      <c r="U546" s="1173">
        <v>1.12E-2</v>
      </c>
      <c r="V546" s="1174"/>
      <c r="W546" s="1174"/>
      <c r="X546" s="1174"/>
      <c r="Y546" s="1175"/>
      <c r="Z546" s="1129" t="s">
        <v>1736</v>
      </c>
      <c r="AA546" s="1129"/>
      <c r="AB546" s="1129"/>
      <c r="AC546" s="1129"/>
      <c r="AD546" s="1130"/>
      <c r="AE546" s="1202">
        <v>450000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77" t="s">
        <v>1737</v>
      </c>
      <c r="D547" s="1152"/>
      <c r="E547" s="1152"/>
      <c r="F547" s="1152"/>
      <c r="G547" s="1152"/>
      <c r="H547" s="1152"/>
      <c r="I547" s="1152"/>
      <c r="J547" s="1152"/>
      <c r="K547" s="1152"/>
      <c r="L547" s="1152"/>
      <c r="M547" s="1152"/>
      <c r="N547" s="1152"/>
      <c r="O547" s="1178"/>
      <c r="P547" s="1116">
        <v>660</v>
      </c>
      <c r="Q547" s="1117"/>
      <c r="R547" s="1117"/>
      <c r="S547" s="1117"/>
      <c r="T547" s="1118"/>
      <c r="U547" s="1173">
        <v>1.12E-2</v>
      </c>
      <c r="V547" s="1174"/>
      <c r="W547" s="1174"/>
      <c r="X547" s="1174"/>
      <c r="Y547" s="1175"/>
      <c r="Z547" s="1129" t="s">
        <v>1736</v>
      </c>
      <c r="AA547" s="1129"/>
      <c r="AB547" s="1129"/>
      <c r="AC547" s="1129"/>
      <c r="AD547" s="1130"/>
      <c r="AE547" s="1202">
        <v>12570375</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631</v>
      </c>
      <c r="C548" s="1177" t="s">
        <v>1738</v>
      </c>
      <c r="D548" s="1152"/>
      <c r="E548" s="1152"/>
      <c r="F548" s="1152"/>
      <c r="G548" s="1152"/>
      <c r="H548" s="1152"/>
      <c r="I548" s="1152"/>
      <c r="J548" s="1152"/>
      <c r="K548" s="1152"/>
      <c r="L548" s="1152"/>
      <c r="M548" s="1152"/>
      <c r="N548" s="1152"/>
      <c r="O548" s="1178"/>
      <c r="P548" s="1116">
        <v>660</v>
      </c>
      <c r="Q548" s="1117"/>
      <c r="R548" s="1117"/>
      <c r="S548" s="1117"/>
      <c r="T548" s="1118"/>
      <c r="U548" s="1173">
        <v>1.12E-2</v>
      </c>
      <c r="V548" s="1174"/>
      <c r="W548" s="1174"/>
      <c r="X548" s="1174"/>
      <c r="Y548" s="1175"/>
      <c r="Z548" s="1129" t="s">
        <v>1736</v>
      </c>
      <c r="AA548" s="1129"/>
      <c r="AB548" s="1129"/>
      <c r="AC548" s="1129"/>
      <c r="AD548" s="1130"/>
      <c r="AE548" s="1202">
        <v>2116506</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841</v>
      </c>
      <c r="C549" s="1177" t="s">
        <v>1739</v>
      </c>
      <c r="D549" s="1152"/>
      <c r="E549" s="1152"/>
      <c r="F549" s="1152"/>
      <c r="G549" s="1152"/>
      <c r="H549" s="1152"/>
      <c r="I549" s="1152"/>
      <c r="J549" s="1152"/>
      <c r="K549" s="1152"/>
      <c r="L549" s="1152"/>
      <c r="M549" s="1152"/>
      <c r="N549" s="1152"/>
      <c r="O549" s="1178"/>
      <c r="P549" s="1116"/>
      <c r="Q549" s="1117"/>
      <c r="R549" s="1117"/>
      <c r="S549" s="1117"/>
      <c r="T549" s="1118"/>
      <c r="U549" s="1173"/>
      <c r="V549" s="1174"/>
      <c r="W549" s="1174"/>
      <c r="X549" s="1174"/>
      <c r="Y549" s="1175"/>
      <c r="Z549" s="1129" t="s">
        <v>641</v>
      </c>
      <c r="AA549" s="1129"/>
      <c r="AB549" s="1129"/>
      <c r="AC549" s="1129"/>
      <c r="AD549" s="1130"/>
      <c r="AE549" s="1202">
        <v>279885</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634</v>
      </c>
      <c r="C550" s="1177" t="s">
        <v>1740</v>
      </c>
      <c r="D550" s="1152"/>
      <c r="E550" s="1152"/>
      <c r="F550" s="1152"/>
      <c r="G550" s="1152"/>
      <c r="H550" s="1152"/>
      <c r="I550" s="1152"/>
      <c r="J550" s="1152"/>
      <c r="K550" s="1152"/>
      <c r="L550" s="1152"/>
      <c r="M550" s="1152"/>
      <c r="N550" s="1152"/>
      <c r="O550" s="1178"/>
      <c r="P550" s="1116">
        <v>660</v>
      </c>
      <c r="Q550" s="1117"/>
      <c r="R550" s="1117"/>
      <c r="S550" s="1117"/>
      <c r="T550" s="1118"/>
      <c r="U550" s="1173">
        <v>1.12E-2</v>
      </c>
      <c r="V550" s="1174"/>
      <c r="W550" s="1174"/>
      <c r="X550" s="1174"/>
      <c r="Y550" s="1175"/>
      <c r="Z550" s="1129" t="s">
        <v>1736</v>
      </c>
      <c r="AA550" s="1129"/>
      <c r="AB550" s="1129"/>
      <c r="AC550" s="1129"/>
      <c r="AD550" s="1130"/>
      <c r="AE550" s="1202">
        <v>3047001</v>
      </c>
      <c r="AF550" s="1203"/>
      <c r="AG550" s="1203"/>
      <c r="AH550" s="1203"/>
      <c r="AI550" s="1203"/>
      <c r="AJ550" s="1203"/>
      <c r="AK550" s="1204"/>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500</v>
      </c>
      <c r="C551" s="1177" t="s">
        <v>1741</v>
      </c>
      <c r="D551" s="1152"/>
      <c r="E551" s="1152"/>
      <c r="F551" s="1152"/>
      <c r="G551" s="1152"/>
      <c r="H551" s="1152"/>
      <c r="I551" s="1152"/>
      <c r="J551" s="1152"/>
      <c r="K551" s="1152"/>
      <c r="L551" s="1152"/>
      <c r="M551" s="1152"/>
      <c r="N551" s="1152"/>
      <c r="O551" s="1178"/>
      <c r="P551" s="1116"/>
      <c r="Q551" s="1117"/>
      <c r="R551" s="1117"/>
      <c r="S551" s="1117"/>
      <c r="T551" s="1118"/>
      <c r="U551" s="1173">
        <v>0</v>
      </c>
      <c r="V551" s="1174"/>
      <c r="W551" s="1174"/>
      <c r="X551" s="1174"/>
      <c r="Y551" s="1175"/>
      <c r="Z551" s="1129" t="s">
        <v>1736</v>
      </c>
      <c r="AA551" s="1129"/>
      <c r="AB551" s="1129"/>
      <c r="AC551" s="1129"/>
      <c r="AD551" s="1130"/>
      <c r="AE551" s="1202">
        <v>500000</v>
      </c>
      <c r="AF551" s="1203"/>
      <c r="AG551" s="1203"/>
      <c r="AH551" s="1203"/>
      <c r="AI551" s="1203"/>
      <c r="AJ551" s="1203"/>
      <c r="AK551" s="1204"/>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77" t="s">
        <v>1742</v>
      </c>
      <c r="D552" s="1152"/>
      <c r="E552" s="1152"/>
      <c r="F552" s="1152"/>
      <c r="G552" s="1152"/>
      <c r="H552" s="1152"/>
      <c r="I552" s="1152"/>
      <c r="J552" s="1152"/>
      <c r="K552" s="1152"/>
      <c r="L552" s="1152"/>
      <c r="M552" s="1152"/>
      <c r="N552" s="1152"/>
      <c r="O552" s="1178"/>
      <c r="P552" s="1116"/>
      <c r="Q552" s="1117"/>
      <c r="R552" s="1117"/>
      <c r="S552" s="1117"/>
      <c r="T552" s="1118"/>
      <c r="U552" s="1173"/>
      <c r="V552" s="1174"/>
      <c r="W552" s="1174"/>
      <c r="X552" s="1174"/>
      <c r="Y552" s="1175"/>
      <c r="Z552" s="1129" t="s">
        <v>641</v>
      </c>
      <c r="AA552" s="1129"/>
      <c r="AB552" s="1129"/>
      <c r="AC552" s="1129"/>
      <c r="AD552" s="1130"/>
      <c r="AE552" s="1202">
        <v>3431119</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507</v>
      </c>
      <c r="C553" s="1177" t="s">
        <v>1743</v>
      </c>
      <c r="D553" s="1152"/>
      <c r="E553" s="1152"/>
      <c r="F553" s="1152"/>
      <c r="G553" s="1152"/>
      <c r="H553" s="1152"/>
      <c r="I553" s="1152"/>
      <c r="J553" s="1152"/>
      <c r="K553" s="1152"/>
      <c r="L553" s="1152"/>
      <c r="M553" s="1152"/>
      <c r="N553" s="1152"/>
      <c r="O553" s="1178"/>
      <c r="P553" s="1116"/>
      <c r="Q553" s="1117"/>
      <c r="R553" s="1117"/>
      <c r="S553" s="1117"/>
      <c r="T553" s="1118"/>
      <c r="U553" s="1173"/>
      <c r="V553" s="1174"/>
      <c r="W553" s="1174"/>
      <c r="X553" s="1174"/>
      <c r="Y553" s="1175"/>
      <c r="Z553" s="1129" t="s">
        <v>641</v>
      </c>
      <c r="AA553" s="1129"/>
      <c r="AB553" s="1129"/>
      <c r="AC553" s="1129"/>
      <c r="AD553" s="1130"/>
      <c r="AE553" s="1202">
        <v>1626510</v>
      </c>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696</v>
      </c>
      <c r="C554" s="1177" t="s">
        <v>1744</v>
      </c>
      <c r="D554" s="1152"/>
      <c r="E554" s="1152"/>
      <c r="F554" s="1152"/>
      <c r="G554" s="1152"/>
      <c r="H554" s="1152"/>
      <c r="I554" s="1152"/>
      <c r="J554" s="1152"/>
      <c r="K554" s="1152"/>
      <c r="L554" s="1152"/>
      <c r="M554" s="1152"/>
      <c r="N554" s="1152"/>
      <c r="O554" s="1178"/>
      <c r="P554" s="1116"/>
      <c r="Q554" s="1117"/>
      <c r="R554" s="1117"/>
      <c r="S554" s="1117"/>
      <c r="T554" s="1118"/>
      <c r="U554" s="1173"/>
      <c r="V554" s="1174"/>
      <c r="W554" s="1174"/>
      <c r="X554" s="1174"/>
      <c r="Y554" s="1175"/>
      <c r="Z554" s="1129" t="s">
        <v>641</v>
      </c>
      <c r="AA554" s="1129"/>
      <c r="AB554" s="1129"/>
      <c r="AC554" s="1129"/>
      <c r="AD554" s="1130"/>
      <c r="AE554" s="1202">
        <f>7560+293309+49385+71097</f>
        <v>421351</v>
      </c>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77" t="s">
        <v>1745</v>
      </c>
      <c r="D555" s="1152"/>
      <c r="E555" s="1152"/>
      <c r="F555" s="1152"/>
      <c r="G555" s="1152"/>
      <c r="H555" s="1152"/>
      <c r="I555" s="1152"/>
      <c r="J555" s="1152"/>
      <c r="K555" s="1152"/>
      <c r="L555" s="1152"/>
      <c r="M555" s="1152"/>
      <c r="N555" s="1152"/>
      <c r="O555" s="1178"/>
      <c r="P555" s="1116"/>
      <c r="Q555" s="1117"/>
      <c r="R555" s="1117"/>
      <c r="S555" s="1117"/>
      <c r="T555" s="1118"/>
      <c r="U555" s="1173"/>
      <c r="V555" s="1174"/>
      <c r="W555" s="1174"/>
      <c r="X555" s="1174"/>
      <c r="Y555" s="1175"/>
      <c r="Z555" s="1129" t="s">
        <v>641</v>
      </c>
      <c r="AA555" s="1129"/>
      <c r="AB555" s="1129"/>
      <c r="AC555" s="1129"/>
      <c r="AD555" s="1130"/>
      <c r="AE555" s="1202">
        <v>3607735</v>
      </c>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52"/>
      <c r="D556" s="1152"/>
      <c r="E556" s="1152"/>
      <c r="F556" s="1152"/>
      <c r="G556" s="1152"/>
      <c r="H556" s="1152"/>
      <c r="I556" s="1152"/>
      <c r="J556" s="1152"/>
      <c r="K556" s="1152"/>
      <c r="L556" s="1152"/>
      <c r="M556" s="1152"/>
      <c r="N556" s="1152"/>
      <c r="O556" s="1178"/>
      <c r="P556" s="1116"/>
      <c r="Q556" s="1117"/>
      <c r="R556" s="1117"/>
      <c r="S556" s="1117"/>
      <c r="T556" s="1118"/>
      <c r="U556" s="1173"/>
      <c r="V556" s="1174"/>
      <c r="W556" s="1174"/>
      <c r="X556" s="1174"/>
      <c r="Y556" s="1175"/>
      <c r="Z556" s="1129" t="s">
        <v>1425</v>
      </c>
      <c r="AA556" s="1129"/>
      <c r="AB556" s="1129"/>
      <c r="AC556" s="1129"/>
      <c r="AD556" s="1130"/>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263" t="s">
        <v>134</v>
      </c>
      <c r="C557" s="1264"/>
      <c r="D557" s="1264"/>
      <c r="E557" s="1264"/>
      <c r="F557" s="1264"/>
      <c r="G557" s="1264"/>
      <c r="H557" s="1264"/>
      <c r="I557" s="1264"/>
      <c r="J557" s="1264"/>
      <c r="K557" s="1264"/>
      <c r="L557" s="1264"/>
      <c r="M557" s="1264"/>
      <c r="N557" s="1264"/>
      <c r="O557" s="1264"/>
      <c r="P557" s="1264"/>
      <c r="Q557" s="1264"/>
      <c r="R557" s="1264"/>
      <c r="S557" s="1264"/>
      <c r="T557" s="1264"/>
      <c r="U557" s="1264"/>
      <c r="V557" s="1264"/>
      <c r="W557" s="1264"/>
      <c r="X557" s="1264"/>
      <c r="Y557" s="1264"/>
      <c r="Z557" s="1264"/>
      <c r="AA557" s="1264"/>
      <c r="AB557" s="1264"/>
      <c r="AC557" s="1264"/>
      <c r="AD557" s="1265"/>
      <c r="AE557" s="1214">
        <f>SUM(AE545:AK556)</f>
        <v>56914285</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509</v>
      </c>
      <c r="G559" s="1176" t="str">
        <f>C545</f>
        <v>Tax-Exempt Private Lender Construction Loan</v>
      </c>
      <c r="H559" s="1176"/>
      <c r="I559" s="1176"/>
      <c r="J559" s="1176"/>
      <c r="K559" s="1176"/>
      <c r="L559" s="1176"/>
      <c r="M559" s="1176"/>
      <c r="N559" s="1176"/>
      <c r="O559" s="1176"/>
      <c r="P559" s="1176"/>
      <c r="Q559" s="1176"/>
      <c r="R559" s="1176"/>
      <c r="S559" s="14"/>
      <c r="T559" s="87" t="s">
        <v>120</v>
      </c>
      <c r="U559" s="12" t="s">
        <v>509</v>
      </c>
      <c r="Z559" s="1176" t="str">
        <f>C546</f>
        <v>SF MOHCD Predev/Perm Loan</v>
      </c>
      <c r="AA559" s="1176"/>
      <c r="AB559" s="1176"/>
      <c r="AC559" s="1176"/>
      <c r="AD559" s="1176"/>
      <c r="AE559" s="1176"/>
      <c r="AF559" s="1176"/>
      <c r="AG559" s="1176"/>
      <c r="AH559" s="1176"/>
      <c r="AI559" s="1176"/>
      <c r="AJ559" s="1176"/>
      <c r="AK559" s="1176"/>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1785</v>
      </c>
      <c r="H560" s="1086"/>
      <c r="I560" s="1086"/>
      <c r="J560" s="1086"/>
      <c r="K560" s="1086"/>
      <c r="L560" s="1086"/>
      <c r="M560" s="1086"/>
      <c r="N560" s="1086"/>
      <c r="O560" s="1086"/>
      <c r="P560" s="1086"/>
      <c r="Q560" s="1086"/>
      <c r="R560" s="1086"/>
      <c r="S560" s="14"/>
      <c r="T560" s="35"/>
      <c r="U560" s="12" t="s">
        <v>92</v>
      </c>
      <c r="Z560" s="1086" t="s">
        <v>1804</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6" t="s">
        <v>1786</v>
      </c>
      <c r="H561" s="1086"/>
      <c r="I561" s="1086"/>
      <c r="J561" s="1086"/>
      <c r="K561" s="1086"/>
      <c r="L561" s="1086"/>
      <c r="M561" s="1086"/>
      <c r="N561" s="1086"/>
      <c r="O561" s="1086"/>
      <c r="P561" s="1086"/>
      <c r="Q561" s="1086"/>
      <c r="R561" s="1086"/>
      <c r="S561" s="88"/>
      <c r="T561" s="35"/>
      <c r="U561" s="12" t="s">
        <v>630</v>
      </c>
      <c r="Z561" s="1086" t="s">
        <v>1682</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1787</v>
      </c>
      <c r="H562" s="1086"/>
      <c r="I562" s="1086"/>
      <c r="J562" s="1086"/>
      <c r="K562" s="1086"/>
      <c r="L562" s="1086"/>
      <c r="M562" s="1086"/>
      <c r="N562" s="1086"/>
      <c r="O562" s="1086"/>
      <c r="P562" s="1086"/>
      <c r="Q562" s="1086"/>
      <c r="R562" s="1086"/>
      <c r="S562" s="14"/>
      <c r="T562" s="35"/>
      <c r="U562" s="12" t="s">
        <v>19</v>
      </c>
      <c r="Z562" s="1085" t="s">
        <v>1803</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1788</v>
      </c>
      <c r="H563" s="1120"/>
      <c r="I563" s="1120"/>
      <c r="J563" s="1120"/>
      <c r="K563" s="1120"/>
      <c r="L563" s="1120"/>
      <c r="O563" s="140" t="s">
        <v>220</v>
      </c>
      <c r="P563" s="1152"/>
      <c r="Q563" s="1152"/>
      <c r="R563" s="1152"/>
      <c r="S563" s="16"/>
      <c r="T563" s="35"/>
      <c r="U563" s="12" t="s">
        <v>338</v>
      </c>
      <c r="Z563" s="1157" t="s">
        <v>1805</v>
      </c>
      <c r="AA563" s="1120"/>
      <c r="AB563" s="1120"/>
      <c r="AC563" s="1120"/>
      <c r="AD563" s="1120"/>
      <c r="AE563" s="1120"/>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1807</v>
      </c>
      <c r="I564" s="1086"/>
      <c r="J564" s="1086"/>
      <c r="K564" s="1086"/>
      <c r="L564" s="1086"/>
      <c r="M564" s="1086"/>
      <c r="N564" s="1086"/>
      <c r="O564" s="1086"/>
      <c r="P564" s="1086"/>
      <c r="Q564" s="1086"/>
      <c r="R564" s="1086"/>
      <c r="S564" s="14"/>
      <c r="T564" s="35"/>
      <c r="U564" s="12" t="s">
        <v>20</v>
      </c>
      <c r="AA564" s="1086" t="s">
        <v>1795</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5"/>
      <c r="N565" s="1295"/>
      <c r="O565" s="1295"/>
      <c r="P565" s="1295"/>
      <c r="Q565" s="1295"/>
      <c r="R565" s="1295"/>
      <c r="S565" s="14"/>
      <c r="T565" s="35"/>
      <c r="U565" s="530" t="s">
        <v>1426</v>
      </c>
      <c r="V565" s="743"/>
      <c r="W565" s="743"/>
      <c r="X565" s="743"/>
      <c r="Y565" s="743"/>
      <c r="Z565" s="743"/>
      <c r="AA565" s="14"/>
      <c r="AB565" s="14"/>
      <c r="AC565" s="14"/>
      <c r="AD565" s="14"/>
      <c r="AE565" s="14"/>
      <c r="AF565" s="1295"/>
      <c r="AG565" s="1295"/>
      <c r="AH565" s="1295"/>
      <c r="AI565" s="1295"/>
      <c r="AJ565" s="1295"/>
      <c r="AK565" s="129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591</v>
      </c>
      <c r="O566" s="1114"/>
      <c r="T566" s="35"/>
      <c r="U566" s="12" t="s">
        <v>22</v>
      </c>
      <c r="AG566" s="1114" t="s">
        <v>591</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Seller Carryback Loan</v>
      </c>
      <c r="H568" s="1176"/>
      <c r="I568" s="1176"/>
      <c r="J568" s="1176"/>
      <c r="K568" s="1176"/>
      <c r="L568" s="1176"/>
      <c r="M568" s="1176"/>
      <c r="N568" s="1176"/>
      <c r="O568" s="1176"/>
      <c r="P568" s="1176"/>
      <c r="Q568" s="1176"/>
      <c r="R568" s="1176"/>
      <c r="T568" s="87" t="s">
        <v>631</v>
      </c>
      <c r="U568" s="12" t="s">
        <v>509</v>
      </c>
      <c r="Z568" s="1176" t="str">
        <f>C548</f>
        <v>SF MOHCD CDBG Loan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1667</v>
      </c>
      <c r="H569" s="1086"/>
      <c r="I569" s="1086"/>
      <c r="J569" s="1086"/>
      <c r="K569" s="1086"/>
      <c r="L569" s="1086"/>
      <c r="M569" s="1086"/>
      <c r="N569" s="1086"/>
      <c r="O569" s="1086"/>
      <c r="P569" s="1086"/>
      <c r="Q569" s="1086"/>
      <c r="R569" s="1086"/>
      <c r="T569" s="35"/>
      <c r="U569" s="12" t="s">
        <v>92</v>
      </c>
      <c r="Z569" s="1086" t="s">
        <v>1804</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5" t="s">
        <v>1669</v>
      </c>
      <c r="H570" s="1085"/>
      <c r="I570" s="1085"/>
      <c r="J570" s="1085"/>
      <c r="K570" s="1085"/>
      <c r="L570" s="1085"/>
      <c r="M570" s="1085"/>
      <c r="N570" s="1085"/>
      <c r="O570" s="1085"/>
      <c r="P570" s="1085"/>
      <c r="Q570" s="1085"/>
      <c r="R570" s="1085"/>
      <c r="T570" s="35"/>
      <c r="U570" s="12" t="s">
        <v>630</v>
      </c>
      <c r="Z570" s="1086" t="s">
        <v>1682</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1789</v>
      </c>
      <c r="H571" s="1085"/>
      <c r="I571" s="1085"/>
      <c r="J571" s="1085"/>
      <c r="K571" s="1085"/>
      <c r="L571" s="1085"/>
      <c r="M571" s="1085"/>
      <c r="N571" s="1085"/>
      <c r="O571" s="1085"/>
      <c r="P571" s="1085"/>
      <c r="Q571" s="1085"/>
      <c r="R571" s="1085"/>
      <c r="T571" s="35"/>
      <c r="U571" s="12" t="s">
        <v>19</v>
      </c>
      <c r="Z571" s="1085" t="s">
        <v>1803</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t="s">
        <v>1665</v>
      </c>
      <c r="H572" s="1120"/>
      <c r="I572" s="1120"/>
      <c r="J572" s="1120"/>
      <c r="K572" s="1120"/>
      <c r="L572" s="1120"/>
      <c r="O572" s="140" t="s">
        <v>220</v>
      </c>
      <c r="P572" s="1152"/>
      <c r="Q572" s="1152"/>
      <c r="R572" s="1152"/>
      <c r="T572" s="35"/>
      <c r="U572" s="12" t="s">
        <v>338</v>
      </c>
      <c r="Z572" s="1157" t="s">
        <v>1805</v>
      </c>
      <c r="AA572" s="1120"/>
      <c r="AB572" s="1120"/>
      <c r="AC572" s="1120"/>
      <c r="AD572" s="1120"/>
      <c r="AE572" s="1120"/>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1795</v>
      </c>
      <c r="I573" s="1086"/>
      <c r="J573" s="1086"/>
      <c r="K573" s="1086"/>
      <c r="L573" s="1086"/>
      <c r="M573" s="1086"/>
      <c r="N573" s="1086"/>
      <c r="O573" s="1086"/>
      <c r="P573" s="1086"/>
      <c r="Q573" s="1086"/>
      <c r="R573" s="1086"/>
      <c r="T573" s="35"/>
      <c r="U573" s="12" t="s">
        <v>20</v>
      </c>
      <c r="AA573" s="1086" t="s">
        <v>1795</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591</v>
      </c>
      <c r="O574" s="1114"/>
      <c r="T574" s="35"/>
      <c r="U574" s="12" t="s">
        <v>22</v>
      </c>
      <c r="AG574" s="1114" t="s">
        <v>591</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GP Capital (Reserves)</v>
      </c>
      <c r="H576" s="1176"/>
      <c r="I576" s="1176"/>
      <c r="J576" s="1176"/>
      <c r="K576" s="1176"/>
      <c r="L576" s="1176"/>
      <c r="M576" s="1176"/>
      <c r="N576" s="1176"/>
      <c r="O576" s="1176"/>
      <c r="P576" s="1176"/>
      <c r="Q576" s="1176"/>
      <c r="R576" s="1176"/>
      <c r="T576" s="87" t="s">
        <v>634</v>
      </c>
      <c r="U576" s="12" t="s">
        <v>509</v>
      </c>
      <c r="Z576" s="1176" t="str">
        <f>C550</f>
        <v>HCD LPR CHRP Loan</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1667</v>
      </c>
      <c r="H577" s="1086"/>
      <c r="I577" s="1086"/>
      <c r="J577" s="1086"/>
      <c r="K577" s="1086"/>
      <c r="L577" s="1086"/>
      <c r="M577" s="1086"/>
      <c r="N577" s="1086"/>
      <c r="O577" s="1086"/>
      <c r="P577" s="1086"/>
      <c r="Q577" s="1086"/>
      <c r="R577" s="1086"/>
      <c r="T577" s="35"/>
      <c r="U577" s="12" t="s">
        <v>92</v>
      </c>
      <c r="Z577" s="1086" t="s">
        <v>1799</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6" t="s">
        <v>1669</v>
      </c>
      <c r="H578" s="1086"/>
      <c r="I578" s="1086"/>
      <c r="J578" s="1086"/>
      <c r="K578" s="1086"/>
      <c r="L578" s="1086"/>
      <c r="M578" s="1086"/>
      <c r="N578" s="1086"/>
      <c r="O578" s="1086"/>
      <c r="P578" s="1086"/>
      <c r="Q578" s="1086"/>
      <c r="R578" s="1086"/>
      <c r="T578" s="35"/>
      <c r="U578" s="12" t="s">
        <v>630</v>
      </c>
      <c r="Z578" s="1085" t="s">
        <v>1792</v>
      </c>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1789</v>
      </c>
      <c r="H579" s="1086"/>
      <c r="I579" s="1086"/>
      <c r="J579" s="1086"/>
      <c r="K579" s="1086"/>
      <c r="L579" s="1086"/>
      <c r="M579" s="1086"/>
      <c r="N579" s="1086"/>
      <c r="O579" s="1086"/>
      <c r="P579" s="1086"/>
      <c r="Q579" s="1086"/>
      <c r="R579" s="1086"/>
      <c r="T579" s="35"/>
      <c r="U579" s="12" t="s">
        <v>19</v>
      </c>
      <c r="Z579" s="1085" t="s">
        <v>1800</v>
      </c>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57" t="s">
        <v>1665</v>
      </c>
      <c r="H580" s="1120"/>
      <c r="I580" s="1120"/>
      <c r="J580" s="1120"/>
      <c r="K580" s="1120"/>
      <c r="L580" s="1120"/>
      <c r="O580" s="140" t="s">
        <v>220</v>
      </c>
      <c r="P580" s="1152"/>
      <c r="Q580" s="1152"/>
      <c r="R580" s="1152"/>
      <c r="T580" s="35"/>
      <c r="U580" s="12" t="s">
        <v>338</v>
      </c>
      <c r="Z580" s="1157" t="s">
        <v>1801</v>
      </c>
      <c r="AA580" s="1120"/>
      <c r="AB580" s="1120"/>
      <c r="AC580" s="1120"/>
      <c r="AD580" s="1120"/>
      <c r="AE580" s="1120"/>
      <c r="AH580" s="140" t="s">
        <v>220</v>
      </c>
      <c r="AI580" s="1152"/>
      <c r="AJ580" s="1152"/>
      <c r="AK580" s="1152"/>
    </row>
    <row r="581" spans="1:112" ht="13.2">
      <c r="A581" s="35"/>
      <c r="B581" s="12" t="s">
        <v>20</v>
      </c>
      <c r="H581" s="1086" t="s">
        <v>1790</v>
      </c>
      <c r="I581" s="1086"/>
      <c r="J581" s="1086"/>
      <c r="K581" s="1086"/>
      <c r="L581" s="1086"/>
      <c r="M581" s="1086"/>
      <c r="N581" s="1086"/>
      <c r="O581" s="1086"/>
      <c r="P581" s="1086"/>
      <c r="Q581" s="1086"/>
      <c r="R581" s="1086"/>
      <c r="T581" s="35"/>
      <c r="U581" s="12" t="s">
        <v>20</v>
      </c>
      <c r="AA581" s="1086" t="s">
        <v>1795</v>
      </c>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14" t="s">
        <v>591</v>
      </c>
      <c r="O582" s="1114"/>
      <c r="T582" s="35"/>
      <c r="U582" s="12" t="s">
        <v>22</v>
      </c>
      <c r="AG582" s="1114" t="s">
        <v>591</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t="str">
        <f>C551</f>
        <v>Deferred Developer Fees</v>
      </c>
      <c r="H584" s="1176"/>
      <c r="I584" s="1176"/>
      <c r="J584" s="1176"/>
      <c r="K584" s="1176"/>
      <c r="L584" s="1176"/>
      <c r="M584" s="1176"/>
      <c r="N584" s="1176"/>
      <c r="O584" s="1176"/>
      <c r="P584" s="1176"/>
      <c r="Q584" s="1176"/>
      <c r="R584" s="1176"/>
      <c r="T584" s="87" t="s">
        <v>501</v>
      </c>
      <c r="U584" s="12" t="s">
        <v>509</v>
      </c>
      <c r="Z584" s="1176" t="str">
        <f>C552</f>
        <v>GP Capital Contribution</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86" t="s">
        <v>1667</v>
      </c>
      <c r="H585" s="1086"/>
      <c r="I585" s="1086"/>
      <c r="J585" s="1086"/>
      <c r="K585" s="1086"/>
      <c r="L585" s="1086"/>
      <c r="M585" s="1086"/>
      <c r="N585" s="1086"/>
      <c r="O585" s="1086"/>
      <c r="P585" s="1086"/>
      <c r="Q585" s="1086"/>
      <c r="R585" s="1086"/>
      <c r="T585" s="35"/>
      <c r="U585" s="12" t="s">
        <v>92</v>
      </c>
      <c r="Z585" s="1086" t="s">
        <v>1667</v>
      </c>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t="s">
        <v>1669</v>
      </c>
      <c r="H586" s="1086"/>
      <c r="I586" s="1086"/>
      <c r="J586" s="1086"/>
      <c r="K586" s="1086"/>
      <c r="L586" s="1086"/>
      <c r="M586" s="1086"/>
      <c r="N586" s="1086"/>
      <c r="O586" s="1086"/>
      <c r="P586" s="1086"/>
      <c r="Q586" s="1086"/>
      <c r="R586" s="1086"/>
      <c r="S586" s="12"/>
      <c r="T586" s="35"/>
      <c r="U586" s="12" t="s">
        <v>630</v>
      </c>
      <c r="V586" s="12"/>
      <c r="W586" s="12"/>
      <c r="X586" s="12"/>
      <c r="Y586" s="12"/>
      <c r="Z586" s="1086" t="s">
        <v>1669</v>
      </c>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86" t="s">
        <v>1789</v>
      </c>
      <c r="H587" s="1086"/>
      <c r="I587" s="1086"/>
      <c r="J587" s="1086"/>
      <c r="K587" s="1086"/>
      <c r="L587" s="1086"/>
      <c r="M587" s="1086"/>
      <c r="N587" s="1086"/>
      <c r="O587" s="1086"/>
      <c r="P587" s="1086"/>
      <c r="Q587" s="1086"/>
      <c r="R587" s="1086"/>
      <c r="S587" s="12"/>
      <c r="T587" s="35"/>
      <c r="U587" s="12" t="s">
        <v>19</v>
      </c>
      <c r="V587" s="12"/>
      <c r="W587" s="12"/>
      <c r="X587" s="12"/>
      <c r="Y587" s="12"/>
      <c r="Z587" s="1086" t="s">
        <v>1789</v>
      </c>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57" t="s">
        <v>1665</v>
      </c>
      <c r="H588" s="1120"/>
      <c r="I588" s="1120"/>
      <c r="J588" s="1120"/>
      <c r="K588" s="1120"/>
      <c r="L588" s="1120"/>
      <c r="M588" s="12"/>
      <c r="N588" s="12"/>
      <c r="O588" s="140" t="s">
        <v>220</v>
      </c>
      <c r="P588" s="1152"/>
      <c r="Q588" s="1152"/>
      <c r="R588" s="1152"/>
      <c r="S588" s="12"/>
      <c r="T588" s="35"/>
      <c r="U588" s="12" t="s">
        <v>338</v>
      </c>
      <c r="V588" s="12"/>
      <c r="W588" s="12"/>
      <c r="X588" s="12"/>
      <c r="Y588" s="12"/>
      <c r="Z588" s="1157" t="s">
        <v>1665</v>
      </c>
      <c r="AA588" s="1120"/>
      <c r="AB588" s="1120"/>
      <c r="AC588" s="1120"/>
      <c r="AD588" s="1120"/>
      <c r="AE588" s="1120"/>
      <c r="AF588" s="12"/>
      <c r="AG588" s="12"/>
      <c r="AH588" s="140" t="s">
        <v>220</v>
      </c>
      <c r="AI588" s="1152"/>
      <c r="AJ588" s="1152"/>
      <c r="AK588" s="1152"/>
      <c r="AL588" s="12"/>
      <c r="AM588" s="7" t="s">
        <v>347</v>
      </c>
      <c r="AN588" s="58"/>
      <c r="AO588" s="58"/>
      <c r="AP588" s="58"/>
      <c r="AQ588" s="58"/>
      <c r="AR588" s="193" t="s">
        <v>520</v>
      </c>
      <c r="AS588" s="194"/>
      <c r="AT588" s="1288"/>
      <c r="AU588" s="1289"/>
      <c r="AV588" s="193" t="s">
        <v>521</v>
      </c>
      <c r="AW588" s="194"/>
      <c r="AX588" s="1288"/>
      <c r="AY588" s="1289"/>
      <c r="AZ588" s="58"/>
      <c r="BA588" s="1564" t="s">
        <v>683</v>
      </c>
      <c r="BB588" s="1565"/>
      <c r="BC588" s="1565"/>
      <c r="BD588" s="1565"/>
      <c r="BE588" s="1566"/>
      <c r="BF588" s="1294" t="s">
        <v>348</v>
      </c>
      <c r="BG588" s="1294"/>
      <c r="BH588" s="1294"/>
      <c r="BI588" s="1294"/>
      <c r="BJ588" s="1294"/>
      <c r="BK588" s="1294" t="s">
        <v>170</v>
      </c>
      <c r="BL588" s="1294"/>
      <c r="BM588" s="1294"/>
      <c r="BN588" s="1294"/>
      <c r="BO588" s="1294"/>
      <c r="BP588" s="1294" t="s">
        <v>171</v>
      </c>
      <c r="BQ588" s="1294"/>
      <c r="BR588" s="1294"/>
      <c r="BS588" s="1294"/>
      <c r="BT588" s="1294"/>
      <c r="BU588" s="1294" t="s">
        <v>506</v>
      </c>
      <c r="BV588" s="1294"/>
      <c r="BW588" s="1294"/>
      <c r="BX588" s="1294"/>
      <c r="BY588" s="1294"/>
      <c r="BZ588" s="1294" t="s">
        <v>33</v>
      </c>
      <c r="CA588" s="1294"/>
      <c r="CB588" s="1294"/>
      <c r="CC588" s="1294"/>
      <c r="CD588" s="1294"/>
      <c r="CE588" s="1294" t="s">
        <v>683</v>
      </c>
      <c r="CF588" s="1294"/>
      <c r="CG588" s="1294"/>
      <c r="CH588" s="1294"/>
      <c r="CI588" s="1294"/>
      <c r="CJ588" s="1294" t="s">
        <v>348</v>
      </c>
      <c r="CK588" s="1294"/>
      <c r="CL588" s="1294"/>
      <c r="CM588" s="1294"/>
      <c r="CN588" s="1294"/>
      <c r="CO588" s="1294" t="s">
        <v>170</v>
      </c>
      <c r="CP588" s="1294"/>
      <c r="CQ588" s="1294"/>
      <c r="CR588" s="1294"/>
      <c r="CS588" s="1294"/>
      <c r="CT588" s="1294" t="s">
        <v>171</v>
      </c>
      <c r="CU588" s="1294"/>
      <c r="CV588" s="1294"/>
      <c r="CW588" s="1294"/>
      <c r="CX588" s="1294"/>
      <c r="CY588" s="1294" t="s">
        <v>506</v>
      </c>
      <c r="CZ588" s="1294"/>
      <c r="DA588" s="1294"/>
      <c r="DB588" s="1294"/>
      <c r="DC588" s="1294"/>
      <c r="DD588" s="1294" t="s">
        <v>33</v>
      </c>
      <c r="DE588" s="1294"/>
      <c r="DF588" s="1294"/>
      <c r="DG588" s="1294"/>
      <c r="DH588" s="1294"/>
    </row>
    <row r="589" spans="1:112" s="7" customFormat="1" ht="13.2">
      <c r="A589" s="35"/>
      <c r="B589" s="12" t="s">
        <v>20</v>
      </c>
      <c r="C589" s="12"/>
      <c r="D589" s="12"/>
      <c r="E589" s="12"/>
      <c r="F589" s="12"/>
      <c r="G589" s="12"/>
      <c r="H589" s="1086" t="s">
        <v>1802</v>
      </c>
      <c r="I589" s="1086"/>
      <c r="J589" s="1086"/>
      <c r="K589" s="1086"/>
      <c r="L589" s="1086"/>
      <c r="M589" s="1086"/>
      <c r="N589" s="1086"/>
      <c r="O589" s="1086"/>
      <c r="P589" s="1086"/>
      <c r="Q589" s="1086"/>
      <c r="R589" s="1086"/>
      <c r="S589" s="12"/>
      <c r="T589" s="35"/>
      <c r="U589" s="12" t="s">
        <v>20</v>
      </c>
      <c r="V589" s="12"/>
      <c r="W589" s="12"/>
      <c r="X589" s="12"/>
      <c r="Y589" s="12"/>
      <c r="Z589" s="12"/>
      <c r="AA589" s="1086" t="s">
        <v>1802</v>
      </c>
      <c r="AB589" s="1086"/>
      <c r="AC589" s="1086"/>
      <c r="AD589" s="1086"/>
      <c r="AE589" s="1086"/>
      <c r="AF589" s="1086"/>
      <c r="AG589" s="1086"/>
      <c r="AH589" s="1086"/>
      <c r="AI589" s="1086"/>
      <c r="AJ589" s="1086"/>
      <c r="AK589" s="1086"/>
      <c r="AL589" s="12"/>
      <c r="AM589" s="7" t="s">
        <v>348</v>
      </c>
      <c r="AN589" s="58"/>
      <c r="AO589" s="58"/>
      <c r="AP589" s="58"/>
      <c r="AQ589" s="58"/>
      <c r="AR589" s="1251">
        <f t="shared" ref="AR589:AR613" si="0">IF(AND(AD709&lt;=0.5,AD709&gt;=0.36),1,0)</f>
        <v>0</v>
      </c>
      <c r="AS589" s="1252"/>
      <c r="AT589" s="1288">
        <f t="shared" ref="AT589:AT613" si="1">IF(AR589=1,G709,0)</f>
        <v>0</v>
      </c>
      <c r="AU589" s="1289"/>
      <c r="AV589" s="1251">
        <f t="shared" ref="AV589:AV613" si="2">IF(AND(AD709&lt;=0.35,AD709&gt;0),1,0)</f>
        <v>1</v>
      </c>
      <c r="AW589" s="1252"/>
      <c r="AX589" s="1288">
        <f t="shared" ref="AX589:AX613" si="3">IF(AV589=1,G709,0)</f>
        <v>32</v>
      </c>
      <c r="AY589" s="1289"/>
      <c r="AZ589" s="58"/>
      <c r="BA589" s="1288">
        <f t="shared" ref="BA589:BA613" si="4">IF(B709="SRO/Studio",G709,0)</f>
        <v>32</v>
      </c>
      <c r="BB589" s="1290"/>
      <c r="BC589" s="1290"/>
      <c r="BD589" s="1290"/>
      <c r="BE589" s="1289"/>
      <c r="BF589" s="1285">
        <f t="shared" ref="BF589:BF613" si="5">IF(B709="1 Bedroom",G709,0)</f>
        <v>0</v>
      </c>
      <c r="BG589" s="1285"/>
      <c r="BH589" s="1285"/>
      <c r="BI589" s="1285"/>
      <c r="BJ589" s="1285"/>
      <c r="BK589" s="1285">
        <f t="shared" ref="BK589:BK613" si="6">IF(B709="2 Bedrooms",G709,0)</f>
        <v>0</v>
      </c>
      <c r="BL589" s="1285"/>
      <c r="BM589" s="1285"/>
      <c r="BN589" s="1285"/>
      <c r="BO589" s="1285"/>
      <c r="BP589" s="1285">
        <f t="shared" ref="BP589:BP613" si="7">IF(B709="3 Bedrooms",G709,0)</f>
        <v>0</v>
      </c>
      <c r="BQ589" s="1285"/>
      <c r="BR589" s="1285"/>
      <c r="BS589" s="1285"/>
      <c r="BT589" s="1285"/>
      <c r="BU589" s="1285">
        <f t="shared" ref="BU589:BU613" si="8">IF(B709="4 Bedrooms",G709,0)</f>
        <v>0</v>
      </c>
      <c r="BV589" s="1285"/>
      <c r="BW589" s="1285"/>
      <c r="BX589" s="1285"/>
      <c r="BY589" s="1285"/>
      <c r="BZ589" s="1285">
        <f t="shared" ref="BZ589:BZ613" si="9">IF(B709="5 Bedrooms",G709,0)</f>
        <v>0</v>
      </c>
      <c r="CA589" s="1285"/>
      <c r="CB589" s="1285"/>
      <c r="CC589" s="1285"/>
      <c r="CD589" s="1285"/>
      <c r="CE589" s="1567">
        <f t="shared" ref="CE589:CE613" si="10">IF(AND(B709="SRO/Studio",AD709&lt;=0.3),G709,0)</f>
        <v>32</v>
      </c>
      <c r="CF589" s="1567"/>
      <c r="CG589" s="1567"/>
      <c r="CH589" s="1567"/>
      <c r="CI589" s="1567"/>
      <c r="CJ589" s="1567">
        <f t="shared" ref="CJ589:CJ613" si="11">IF(AND(B709="1 Bedroom",AD709&lt;=0.3),G709,0)</f>
        <v>0</v>
      </c>
      <c r="CK589" s="1567"/>
      <c r="CL589" s="1567"/>
      <c r="CM589" s="1567"/>
      <c r="CN589" s="1567"/>
      <c r="CO589" s="1567">
        <f t="shared" ref="CO589:CO613" si="12">IF(AND(B709="2 Bedrooms",AD709&lt;=0.3),G709,0)</f>
        <v>0</v>
      </c>
      <c r="CP589" s="1567"/>
      <c r="CQ589" s="1567"/>
      <c r="CR589" s="1567"/>
      <c r="CS589" s="1567"/>
      <c r="CT589" s="1567">
        <f t="shared" ref="CT589:CT613" si="13">IF(AND(B709="3 Bedrooms",AD709&lt;=0.3),G709,0)</f>
        <v>0</v>
      </c>
      <c r="CU589" s="1567"/>
      <c r="CV589" s="1567"/>
      <c r="CW589" s="1567"/>
      <c r="CX589" s="1567"/>
      <c r="CY589" s="1567">
        <f t="shared" ref="CY589:CY613" si="14">IF(AND(B709="4 Bedrooms",AD709&lt;=0.3),G709,0)</f>
        <v>0</v>
      </c>
      <c r="CZ589" s="1567"/>
      <c r="DA589" s="1567"/>
      <c r="DB589" s="1567"/>
      <c r="DC589" s="1567"/>
      <c r="DD589" s="1567">
        <f t="shared" ref="DD589:DD613" si="15">IF(AND(B709="5 Bedrooms",AD709&lt;=0.3),G709,0)</f>
        <v>0</v>
      </c>
      <c r="DE589" s="1567"/>
      <c r="DF589" s="1567"/>
      <c r="DG589" s="1567"/>
      <c r="DH589" s="1567"/>
    </row>
    <row r="590" spans="1:112" s="7" customFormat="1" ht="13.2">
      <c r="A590" s="35"/>
      <c r="B590" s="12" t="s">
        <v>22</v>
      </c>
      <c r="C590" s="12"/>
      <c r="D590" s="12"/>
      <c r="E590" s="12"/>
      <c r="F590" s="12"/>
      <c r="G590" s="12"/>
      <c r="H590" s="12"/>
      <c r="I590" s="12"/>
      <c r="J590" s="12"/>
      <c r="K590" s="12"/>
      <c r="L590" s="12"/>
      <c r="M590" s="12"/>
      <c r="N590" s="1114" t="s">
        <v>591</v>
      </c>
      <c r="O590" s="1114"/>
      <c r="P590" s="12"/>
      <c r="Q590" s="12"/>
      <c r="R590" s="12"/>
      <c r="S590" s="12"/>
      <c r="T590" s="35"/>
      <c r="U590" s="12" t="s">
        <v>22</v>
      </c>
      <c r="V590" s="12"/>
      <c r="W590" s="12"/>
      <c r="X590" s="12"/>
      <c r="Y590" s="12"/>
      <c r="Z590" s="12"/>
      <c r="AA590" s="12"/>
      <c r="AB590" s="12"/>
      <c r="AC590" s="12"/>
      <c r="AD590" s="12"/>
      <c r="AE590" s="12"/>
      <c r="AF590" s="12"/>
      <c r="AG590" s="1114" t="s">
        <v>591</v>
      </c>
      <c r="AH590" s="1114"/>
      <c r="AI590" s="12"/>
      <c r="AJ590" s="12"/>
      <c r="AK590" s="12"/>
      <c r="AL590" s="12"/>
      <c r="AM590" s="7" t="s">
        <v>170</v>
      </c>
      <c r="AN590" s="58"/>
      <c r="AO590" s="58"/>
      <c r="AP590" s="58"/>
      <c r="AQ590" s="58"/>
      <c r="AR590" s="1251">
        <f t="shared" si="0"/>
        <v>1</v>
      </c>
      <c r="AS590" s="1252"/>
      <c r="AT590" s="1288">
        <f t="shared" si="1"/>
        <v>10</v>
      </c>
      <c r="AU590" s="1289"/>
      <c r="AV590" s="1251">
        <f t="shared" si="2"/>
        <v>0</v>
      </c>
      <c r="AW590" s="1252"/>
      <c r="AX590" s="1288">
        <f t="shared" si="3"/>
        <v>0</v>
      </c>
      <c r="AY590" s="1289"/>
      <c r="AZ590" s="58"/>
      <c r="BA590" s="1288">
        <f t="shared" si="4"/>
        <v>10</v>
      </c>
      <c r="BB590" s="1290"/>
      <c r="BC590" s="1290"/>
      <c r="BD590" s="1290"/>
      <c r="BE590" s="1289"/>
      <c r="BF590" s="1285">
        <f t="shared" si="5"/>
        <v>0</v>
      </c>
      <c r="BG590" s="1285"/>
      <c r="BH590" s="1285"/>
      <c r="BI590" s="1285"/>
      <c r="BJ590" s="1285"/>
      <c r="BK590" s="1285">
        <f t="shared" si="6"/>
        <v>0</v>
      </c>
      <c r="BL590" s="1285"/>
      <c r="BM590" s="1285"/>
      <c r="BN590" s="1285"/>
      <c r="BO590" s="1285"/>
      <c r="BP590" s="1285">
        <f t="shared" si="7"/>
        <v>0</v>
      </c>
      <c r="BQ590" s="1285"/>
      <c r="BR590" s="1285"/>
      <c r="BS590" s="1285"/>
      <c r="BT590" s="1285"/>
      <c r="BU590" s="1285">
        <f t="shared" si="8"/>
        <v>0</v>
      </c>
      <c r="BV590" s="1285"/>
      <c r="BW590" s="1285"/>
      <c r="BX590" s="1285"/>
      <c r="BY590" s="1285"/>
      <c r="BZ590" s="1285">
        <f t="shared" si="9"/>
        <v>0</v>
      </c>
      <c r="CA590" s="1285"/>
      <c r="CB590" s="1285"/>
      <c r="CC590" s="1285"/>
      <c r="CD590" s="1285"/>
      <c r="CE590" s="1567">
        <f t="shared" si="10"/>
        <v>0</v>
      </c>
      <c r="CF590" s="1567"/>
      <c r="CG590" s="1567"/>
      <c r="CH590" s="1567"/>
      <c r="CI590" s="1567"/>
      <c r="CJ590" s="1567">
        <f t="shared" si="11"/>
        <v>0</v>
      </c>
      <c r="CK590" s="1567"/>
      <c r="CL590" s="1567"/>
      <c r="CM590" s="1567"/>
      <c r="CN590" s="1567"/>
      <c r="CO590" s="1567">
        <f t="shared" si="12"/>
        <v>0</v>
      </c>
      <c r="CP590" s="1567"/>
      <c r="CQ590" s="1567"/>
      <c r="CR590" s="1567"/>
      <c r="CS590" s="1567"/>
      <c r="CT590" s="1567">
        <f t="shared" si="13"/>
        <v>0</v>
      </c>
      <c r="CU590" s="1567"/>
      <c r="CV590" s="1567"/>
      <c r="CW590" s="1567"/>
      <c r="CX590" s="1567"/>
      <c r="CY590" s="1567">
        <f t="shared" si="14"/>
        <v>0</v>
      </c>
      <c r="CZ590" s="1567"/>
      <c r="DA590" s="1567"/>
      <c r="DB590" s="1567"/>
      <c r="DC590" s="1567"/>
      <c r="DD590" s="1567">
        <f t="shared" si="15"/>
        <v>0</v>
      </c>
      <c r="DE590" s="1567"/>
      <c r="DF590" s="1567"/>
      <c r="DG590" s="1567"/>
      <c r="DH590" s="1567"/>
    </row>
    <row r="591" spans="1:112" ht="13.2">
      <c r="A591" s="35"/>
      <c r="T591" s="35"/>
      <c r="AM591" s="7" t="s">
        <v>171</v>
      </c>
      <c r="AN591" s="58"/>
      <c r="AO591" s="58"/>
      <c r="AP591" s="58"/>
      <c r="AQ591" s="58"/>
      <c r="AR591" s="1251">
        <f t="shared" si="0"/>
        <v>1</v>
      </c>
      <c r="AS591" s="1252"/>
      <c r="AT591" s="1288">
        <f t="shared" si="1"/>
        <v>16</v>
      </c>
      <c r="AU591" s="1289"/>
      <c r="AV591" s="1251">
        <f t="shared" si="2"/>
        <v>0</v>
      </c>
      <c r="AW591" s="1252"/>
      <c r="AX591" s="1288">
        <f t="shared" si="3"/>
        <v>0</v>
      </c>
      <c r="AY591" s="1289"/>
      <c r="AZ591" s="58"/>
      <c r="BA591" s="1288">
        <f t="shared" si="4"/>
        <v>16</v>
      </c>
      <c r="BB591" s="1290"/>
      <c r="BC591" s="1290"/>
      <c r="BD591" s="1290"/>
      <c r="BE591" s="1289"/>
      <c r="BF591" s="1285">
        <f t="shared" si="5"/>
        <v>0</v>
      </c>
      <c r="BG591" s="1285"/>
      <c r="BH591" s="1285"/>
      <c r="BI591" s="1285"/>
      <c r="BJ591" s="1285"/>
      <c r="BK591" s="1285">
        <f t="shared" si="6"/>
        <v>0</v>
      </c>
      <c r="BL591" s="1285"/>
      <c r="BM591" s="1285"/>
      <c r="BN591" s="1285"/>
      <c r="BO591" s="1285"/>
      <c r="BP591" s="1285">
        <f t="shared" si="7"/>
        <v>0</v>
      </c>
      <c r="BQ591" s="1285"/>
      <c r="BR591" s="1285"/>
      <c r="BS591" s="1285"/>
      <c r="BT591" s="1285"/>
      <c r="BU591" s="1285">
        <f t="shared" si="8"/>
        <v>0</v>
      </c>
      <c r="BV591" s="1285"/>
      <c r="BW591" s="1285"/>
      <c r="BX591" s="1285"/>
      <c r="BY591" s="1285"/>
      <c r="BZ591" s="1285">
        <f t="shared" si="9"/>
        <v>0</v>
      </c>
      <c r="CA591" s="1285"/>
      <c r="CB591" s="1285"/>
      <c r="CC591" s="1285"/>
      <c r="CD591" s="1285"/>
      <c r="CE591" s="1567">
        <f t="shared" si="10"/>
        <v>0</v>
      </c>
      <c r="CF591" s="1567"/>
      <c r="CG591" s="1567"/>
      <c r="CH591" s="1567"/>
      <c r="CI591" s="1567"/>
      <c r="CJ591" s="1567">
        <f t="shared" si="11"/>
        <v>0</v>
      </c>
      <c r="CK591" s="1567"/>
      <c r="CL591" s="1567"/>
      <c r="CM591" s="1567"/>
      <c r="CN591" s="1567"/>
      <c r="CO591" s="1567">
        <f t="shared" si="12"/>
        <v>0</v>
      </c>
      <c r="CP591" s="1567"/>
      <c r="CQ591" s="1567"/>
      <c r="CR591" s="1567"/>
      <c r="CS591" s="1567"/>
      <c r="CT591" s="1567">
        <f t="shared" si="13"/>
        <v>0</v>
      </c>
      <c r="CU591" s="1567"/>
      <c r="CV591" s="1567"/>
      <c r="CW591" s="1567"/>
      <c r="CX591" s="1567"/>
      <c r="CY591" s="1567">
        <f t="shared" si="14"/>
        <v>0</v>
      </c>
      <c r="CZ591" s="1567"/>
      <c r="DA591" s="1567"/>
      <c r="DB591" s="1567"/>
      <c r="DC591" s="1567"/>
      <c r="DD591" s="1567">
        <f t="shared" si="15"/>
        <v>0</v>
      </c>
      <c r="DE591" s="1567"/>
      <c r="DF591" s="1567"/>
      <c r="DG591" s="1567"/>
      <c r="DH591" s="1567"/>
    </row>
    <row r="592" spans="1:112" ht="13.2">
      <c r="A592" s="87" t="s">
        <v>507</v>
      </c>
      <c r="B592" s="12" t="s">
        <v>509</v>
      </c>
      <c r="G592" s="1176" t="str">
        <f>C553</f>
        <v>LP Investor Equity</v>
      </c>
      <c r="H592" s="1176"/>
      <c r="I592" s="1176"/>
      <c r="J592" s="1176"/>
      <c r="K592" s="1176"/>
      <c r="L592" s="1176"/>
      <c r="M592" s="1176"/>
      <c r="N592" s="1176"/>
      <c r="O592" s="1176"/>
      <c r="P592" s="1176"/>
      <c r="Q592" s="1176"/>
      <c r="R592" s="1176"/>
      <c r="T592" s="87" t="s">
        <v>696</v>
      </c>
      <c r="U592" s="12" t="s">
        <v>509</v>
      </c>
      <c r="Z592" s="1176" t="str">
        <f>C554</f>
        <v>Accrued Interest on Soft Loans</v>
      </c>
      <c r="AA592" s="1176"/>
      <c r="AB592" s="1176"/>
      <c r="AC592" s="1176"/>
      <c r="AD592" s="1176"/>
      <c r="AE592" s="1176"/>
      <c r="AF592" s="1176"/>
      <c r="AG592" s="1176"/>
      <c r="AH592" s="1176"/>
      <c r="AI592" s="1176"/>
      <c r="AJ592" s="1176"/>
      <c r="AK592" s="1176"/>
      <c r="AM592" s="7" t="s">
        <v>172</v>
      </c>
      <c r="AN592" s="58"/>
      <c r="AO592" s="58"/>
      <c r="AP592" s="58"/>
      <c r="AQ592" s="58"/>
      <c r="AR592" s="1251">
        <f t="shared" si="0"/>
        <v>0</v>
      </c>
      <c r="AS592" s="1252"/>
      <c r="AT592" s="1288">
        <f t="shared" si="1"/>
        <v>0</v>
      </c>
      <c r="AU592" s="1289"/>
      <c r="AV592" s="1251">
        <f t="shared" si="2"/>
        <v>0</v>
      </c>
      <c r="AW592" s="1252"/>
      <c r="AX592" s="1288">
        <f t="shared" si="3"/>
        <v>0</v>
      </c>
      <c r="AY592" s="1289"/>
      <c r="AZ592" s="58"/>
      <c r="BA592" s="1288">
        <f t="shared" si="4"/>
        <v>0</v>
      </c>
      <c r="BB592" s="1290"/>
      <c r="BC592" s="1290"/>
      <c r="BD592" s="1290"/>
      <c r="BE592" s="1289"/>
      <c r="BF592" s="1285">
        <f t="shared" si="5"/>
        <v>0</v>
      </c>
      <c r="BG592" s="1285"/>
      <c r="BH592" s="1285"/>
      <c r="BI592" s="1285"/>
      <c r="BJ592" s="1285"/>
      <c r="BK592" s="1285">
        <f t="shared" si="6"/>
        <v>0</v>
      </c>
      <c r="BL592" s="1285"/>
      <c r="BM592" s="1285"/>
      <c r="BN592" s="1285"/>
      <c r="BO592" s="1285"/>
      <c r="BP592" s="1285">
        <f t="shared" si="7"/>
        <v>0</v>
      </c>
      <c r="BQ592" s="1285"/>
      <c r="BR592" s="1285"/>
      <c r="BS592" s="1285"/>
      <c r="BT592" s="1285"/>
      <c r="BU592" s="1285">
        <f t="shared" si="8"/>
        <v>0</v>
      </c>
      <c r="BV592" s="1285"/>
      <c r="BW592" s="1285"/>
      <c r="BX592" s="1285"/>
      <c r="BY592" s="1285"/>
      <c r="BZ592" s="1285">
        <f t="shared" si="9"/>
        <v>0</v>
      </c>
      <c r="CA592" s="1285"/>
      <c r="CB592" s="1285"/>
      <c r="CC592" s="1285"/>
      <c r="CD592" s="1285"/>
      <c r="CE592" s="1567">
        <f t="shared" si="10"/>
        <v>0</v>
      </c>
      <c r="CF592" s="1567"/>
      <c r="CG592" s="1567"/>
      <c r="CH592" s="1567"/>
      <c r="CI592" s="1567"/>
      <c r="CJ592" s="1567">
        <f t="shared" si="11"/>
        <v>0</v>
      </c>
      <c r="CK592" s="1567"/>
      <c r="CL592" s="1567"/>
      <c r="CM592" s="1567"/>
      <c r="CN592" s="1567"/>
      <c r="CO592" s="1567">
        <f t="shared" si="12"/>
        <v>0</v>
      </c>
      <c r="CP592" s="1567"/>
      <c r="CQ592" s="1567"/>
      <c r="CR592" s="1567"/>
      <c r="CS592" s="1567"/>
      <c r="CT592" s="1567">
        <f t="shared" si="13"/>
        <v>0</v>
      </c>
      <c r="CU592" s="1567"/>
      <c r="CV592" s="1567"/>
      <c r="CW592" s="1567"/>
      <c r="CX592" s="1567"/>
      <c r="CY592" s="1567">
        <f t="shared" si="14"/>
        <v>0</v>
      </c>
      <c r="CZ592" s="1567"/>
      <c r="DA592" s="1567"/>
      <c r="DB592" s="1567"/>
      <c r="DC592" s="1567"/>
      <c r="DD592" s="1567">
        <f t="shared" si="15"/>
        <v>0</v>
      </c>
      <c r="DE592" s="1567"/>
      <c r="DF592" s="1567"/>
      <c r="DG592" s="1567"/>
      <c r="DH592" s="1567"/>
    </row>
    <row r="593" spans="1:112" ht="13.2">
      <c r="A593" s="35"/>
      <c r="B593" s="12" t="s">
        <v>92</v>
      </c>
      <c r="G593" s="1086"/>
      <c r="H593" s="1086"/>
      <c r="I593" s="1086"/>
      <c r="J593" s="1086"/>
      <c r="K593" s="1086"/>
      <c r="L593" s="1086"/>
      <c r="M593" s="1086"/>
      <c r="N593" s="1086"/>
      <c r="O593" s="1086"/>
      <c r="P593" s="1086"/>
      <c r="Q593" s="1086"/>
      <c r="R593" s="1086"/>
      <c r="T593" s="35"/>
      <c r="U593" s="12" t="s">
        <v>92</v>
      </c>
      <c r="Z593" s="1086" t="s">
        <v>1667</v>
      </c>
      <c r="AA593" s="1086"/>
      <c r="AB593" s="1086"/>
      <c r="AC593" s="1086"/>
      <c r="AD593" s="1086"/>
      <c r="AE593" s="1086"/>
      <c r="AF593" s="1086"/>
      <c r="AG593" s="1086"/>
      <c r="AH593" s="1086"/>
      <c r="AI593" s="1086"/>
      <c r="AJ593" s="1086"/>
      <c r="AK593" s="1086"/>
      <c r="AM593" s="7" t="s">
        <v>33</v>
      </c>
      <c r="AN593" s="58"/>
      <c r="AO593" s="58"/>
      <c r="AP593" s="58"/>
      <c r="AQ593" s="58"/>
      <c r="AR593" s="1251">
        <f t="shared" si="0"/>
        <v>0</v>
      </c>
      <c r="AS593" s="1252"/>
      <c r="AT593" s="1288">
        <f t="shared" si="1"/>
        <v>0</v>
      </c>
      <c r="AU593" s="1289"/>
      <c r="AV593" s="1251">
        <f t="shared" si="2"/>
        <v>0</v>
      </c>
      <c r="AW593" s="1252"/>
      <c r="AX593" s="1288">
        <f t="shared" si="3"/>
        <v>0</v>
      </c>
      <c r="AY593" s="1289"/>
      <c r="AZ593" s="58"/>
      <c r="BA593" s="1288">
        <f t="shared" si="4"/>
        <v>0</v>
      </c>
      <c r="BB593" s="1290"/>
      <c r="BC593" s="1290"/>
      <c r="BD593" s="1290"/>
      <c r="BE593" s="1289"/>
      <c r="BF593" s="1285">
        <f t="shared" si="5"/>
        <v>0</v>
      </c>
      <c r="BG593" s="1285"/>
      <c r="BH593" s="1285"/>
      <c r="BI593" s="1285"/>
      <c r="BJ593" s="1285"/>
      <c r="BK593" s="1285">
        <f t="shared" si="6"/>
        <v>0</v>
      </c>
      <c r="BL593" s="1285"/>
      <c r="BM593" s="1285"/>
      <c r="BN593" s="1285"/>
      <c r="BO593" s="1285"/>
      <c r="BP593" s="1285">
        <f t="shared" si="7"/>
        <v>0</v>
      </c>
      <c r="BQ593" s="1285"/>
      <c r="BR593" s="1285"/>
      <c r="BS593" s="1285"/>
      <c r="BT593" s="1285"/>
      <c r="BU593" s="1285">
        <f t="shared" si="8"/>
        <v>0</v>
      </c>
      <c r="BV593" s="1285"/>
      <c r="BW593" s="1285"/>
      <c r="BX593" s="1285"/>
      <c r="BY593" s="1285"/>
      <c r="BZ593" s="1285">
        <f t="shared" si="9"/>
        <v>0</v>
      </c>
      <c r="CA593" s="1285"/>
      <c r="CB593" s="1285"/>
      <c r="CC593" s="1285"/>
      <c r="CD593" s="1285"/>
      <c r="CE593" s="1567">
        <f t="shared" si="10"/>
        <v>0</v>
      </c>
      <c r="CF593" s="1567"/>
      <c r="CG593" s="1567"/>
      <c r="CH593" s="1567"/>
      <c r="CI593" s="1567"/>
      <c r="CJ593" s="1567">
        <f t="shared" si="11"/>
        <v>0</v>
      </c>
      <c r="CK593" s="1567"/>
      <c r="CL593" s="1567"/>
      <c r="CM593" s="1567"/>
      <c r="CN593" s="1567"/>
      <c r="CO593" s="1567">
        <f t="shared" si="12"/>
        <v>0</v>
      </c>
      <c r="CP593" s="1567"/>
      <c r="CQ593" s="1567"/>
      <c r="CR593" s="1567"/>
      <c r="CS593" s="1567"/>
      <c r="CT593" s="1567">
        <f t="shared" si="13"/>
        <v>0</v>
      </c>
      <c r="CU593" s="1567"/>
      <c r="CV593" s="1567"/>
      <c r="CW593" s="1567"/>
      <c r="CX593" s="1567"/>
      <c r="CY593" s="1567">
        <f t="shared" si="14"/>
        <v>0</v>
      </c>
      <c r="CZ593" s="1567"/>
      <c r="DA593" s="1567"/>
      <c r="DB593" s="1567"/>
      <c r="DC593" s="1567"/>
      <c r="DD593" s="1567">
        <f t="shared" si="15"/>
        <v>0</v>
      </c>
      <c r="DE593" s="1567"/>
      <c r="DF593" s="1567"/>
      <c r="DG593" s="1567"/>
      <c r="DH593" s="1567"/>
    </row>
    <row r="594" spans="1:112" ht="13.2">
      <c r="A594" s="35"/>
      <c r="B594" s="12" t="s">
        <v>630</v>
      </c>
      <c r="G594" s="1086"/>
      <c r="H594" s="1086"/>
      <c r="I594" s="1086"/>
      <c r="J594" s="1086"/>
      <c r="K594" s="1086"/>
      <c r="L594" s="1086"/>
      <c r="M594" s="1086"/>
      <c r="N594" s="1086"/>
      <c r="O594" s="1086"/>
      <c r="P594" s="1086"/>
      <c r="Q594" s="1086"/>
      <c r="R594" s="1086"/>
      <c r="T594" s="35"/>
      <c r="U594" s="12" t="s">
        <v>630</v>
      </c>
      <c r="Z594" s="1086" t="s">
        <v>1669</v>
      </c>
      <c r="AA594" s="1086"/>
      <c r="AB594" s="1086"/>
      <c r="AC594" s="1086"/>
      <c r="AD594" s="1086"/>
      <c r="AE594" s="1086"/>
      <c r="AF594" s="1086"/>
      <c r="AG594" s="1086"/>
      <c r="AH594" s="1086"/>
      <c r="AI594" s="1086"/>
      <c r="AJ594" s="1086"/>
      <c r="AK594" s="1086"/>
      <c r="AM594" s="58"/>
      <c r="AN594" s="58"/>
      <c r="AO594" s="58"/>
      <c r="AP594" s="58"/>
      <c r="AQ594" s="58"/>
      <c r="AR594" s="1251">
        <f t="shared" si="0"/>
        <v>0</v>
      </c>
      <c r="AS594" s="1252"/>
      <c r="AT594" s="1288">
        <f t="shared" si="1"/>
        <v>0</v>
      </c>
      <c r="AU594" s="1289"/>
      <c r="AV594" s="1251">
        <f t="shared" si="2"/>
        <v>0</v>
      </c>
      <c r="AW594" s="1252"/>
      <c r="AX594" s="1288">
        <f t="shared" si="3"/>
        <v>0</v>
      </c>
      <c r="AY594" s="1289"/>
      <c r="AZ594" s="58"/>
      <c r="BA594" s="1288">
        <f t="shared" si="4"/>
        <v>0</v>
      </c>
      <c r="BB594" s="1290"/>
      <c r="BC594" s="1290"/>
      <c r="BD594" s="1290"/>
      <c r="BE594" s="1289"/>
      <c r="BF594" s="1285">
        <f t="shared" si="5"/>
        <v>0</v>
      </c>
      <c r="BG594" s="1285"/>
      <c r="BH594" s="1285"/>
      <c r="BI594" s="1285"/>
      <c r="BJ594" s="1285"/>
      <c r="BK594" s="1285">
        <f t="shared" si="6"/>
        <v>0</v>
      </c>
      <c r="BL594" s="1285"/>
      <c r="BM594" s="1285"/>
      <c r="BN594" s="1285"/>
      <c r="BO594" s="1285"/>
      <c r="BP594" s="1285">
        <f t="shared" si="7"/>
        <v>0</v>
      </c>
      <c r="BQ594" s="1285"/>
      <c r="BR594" s="1285"/>
      <c r="BS594" s="1285"/>
      <c r="BT594" s="1285"/>
      <c r="BU594" s="1285">
        <f t="shared" si="8"/>
        <v>0</v>
      </c>
      <c r="BV594" s="1285"/>
      <c r="BW594" s="1285"/>
      <c r="BX594" s="1285"/>
      <c r="BY594" s="1285"/>
      <c r="BZ594" s="1285">
        <f t="shared" si="9"/>
        <v>0</v>
      </c>
      <c r="CA594" s="1285"/>
      <c r="CB594" s="1285"/>
      <c r="CC594" s="1285"/>
      <c r="CD594" s="1285"/>
      <c r="CE594" s="1567">
        <f t="shared" si="10"/>
        <v>0</v>
      </c>
      <c r="CF594" s="1567"/>
      <c r="CG594" s="1567"/>
      <c r="CH594" s="1567"/>
      <c r="CI594" s="1567"/>
      <c r="CJ594" s="1567">
        <f t="shared" si="11"/>
        <v>0</v>
      </c>
      <c r="CK594" s="1567"/>
      <c r="CL594" s="1567"/>
      <c r="CM594" s="1567"/>
      <c r="CN594" s="1567"/>
      <c r="CO594" s="1567">
        <f t="shared" si="12"/>
        <v>0</v>
      </c>
      <c r="CP594" s="1567"/>
      <c r="CQ594" s="1567"/>
      <c r="CR594" s="1567"/>
      <c r="CS594" s="1567"/>
      <c r="CT594" s="1567">
        <f t="shared" si="13"/>
        <v>0</v>
      </c>
      <c r="CU594" s="1567"/>
      <c r="CV594" s="1567"/>
      <c r="CW594" s="1567"/>
      <c r="CX594" s="1567"/>
      <c r="CY594" s="1567">
        <f t="shared" si="14"/>
        <v>0</v>
      </c>
      <c r="CZ594" s="1567"/>
      <c r="DA594" s="1567"/>
      <c r="DB594" s="1567"/>
      <c r="DC594" s="1567"/>
      <c r="DD594" s="1567">
        <f t="shared" si="15"/>
        <v>0</v>
      </c>
      <c r="DE594" s="1567"/>
      <c r="DF594" s="1567"/>
      <c r="DG594" s="1567"/>
      <c r="DH594" s="1567"/>
    </row>
    <row r="595" spans="1:112" ht="13.2">
      <c r="A595" s="35"/>
      <c r="B595" s="12" t="s">
        <v>19</v>
      </c>
      <c r="G595" s="1086"/>
      <c r="H595" s="1086"/>
      <c r="I595" s="1086"/>
      <c r="J595" s="1086"/>
      <c r="K595" s="1086"/>
      <c r="L595" s="1086"/>
      <c r="M595" s="1086"/>
      <c r="N595" s="1086"/>
      <c r="O595" s="1086"/>
      <c r="P595" s="1086"/>
      <c r="Q595" s="1086"/>
      <c r="R595" s="1086"/>
      <c r="T595" s="35"/>
      <c r="U595" s="12" t="s">
        <v>19</v>
      </c>
      <c r="Z595" s="1086" t="s">
        <v>1789</v>
      </c>
      <c r="AA595" s="1086"/>
      <c r="AB595" s="1086"/>
      <c r="AC595" s="1086"/>
      <c r="AD595" s="1086"/>
      <c r="AE595" s="1086"/>
      <c r="AF595" s="1086"/>
      <c r="AG595" s="1086"/>
      <c r="AH595" s="1086"/>
      <c r="AI595" s="1086"/>
      <c r="AJ595" s="1086"/>
      <c r="AK595" s="1086"/>
      <c r="AM595" s="58"/>
      <c r="AN595" s="58"/>
      <c r="AO595" s="58"/>
      <c r="AP595" s="58"/>
      <c r="AQ595" s="58"/>
      <c r="AR595" s="1251">
        <f t="shared" si="0"/>
        <v>0</v>
      </c>
      <c r="AS595" s="1252"/>
      <c r="AT595" s="1288">
        <f t="shared" si="1"/>
        <v>0</v>
      </c>
      <c r="AU595" s="1289"/>
      <c r="AV595" s="1251">
        <f t="shared" si="2"/>
        <v>0</v>
      </c>
      <c r="AW595" s="1252"/>
      <c r="AX595" s="1288">
        <f t="shared" si="3"/>
        <v>0</v>
      </c>
      <c r="AY595" s="1289"/>
      <c r="AZ595" s="58"/>
      <c r="BA595" s="1288">
        <f t="shared" si="4"/>
        <v>0</v>
      </c>
      <c r="BB595" s="1290"/>
      <c r="BC595" s="1290"/>
      <c r="BD595" s="1290"/>
      <c r="BE595" s="1289"/>
      <c r="BF595" s="1285">
        <f t="shared" si="5"/>
        <v>0</v>
      </c>
      <c r="BG595" s="1285"/>
      <c r="BH595" s="1285"/>
      <c r="BI595" s="1285"/>
      <c r="BJ595" s="1285"/>
      <c r="BK595" s="1285">
        <f t="shared" si="6"/>
        <v>0</v>
      </c>
      <c r="BL595" s="1285"/>
      <c r="BM595" s="1285"/>
      <c r="BN595" s="1285"/>
      <c r="BO595" s="1285"/>
      <c r="BP595" s="1285">
        <f t="shared" si="7"/>
        <v>0</v>
      </c>
      <c r="BQ595" s="1285"/>
      <c r="BR595" s="1285"/>
      <c r="BS595" s="1285"/>
      <c r="BT595" s="1285"/>
      <c r="BU595" s="1285">
        <f t="shared" si="8"/>
        <v>0</v>
      </c>
      <c r="BV595" s="1285"/>
      <c r="BW595" s="1285"/>
      <c r="BX595" s="1285"/>
      <c r="BY595" s="1285"/>
      <c r="BZ595" s="1285">
        <f t="shared" si="9"/>
        <v>0</v>
      </c>
      <c r="CA595" s="1285"/>
      <c r="CB595" s="1285"/>
      <c r="CC595" s="1285"/>
      <c r="CD595" s="1285"/>
      <c r="CE595" s="1567">
        <f t="shared" si="10"/>
        <v>0</v>
      </c>
      <c r="CF595" s="1567"/>
      <c r="CG595" s="1567"/>
      <c r="CH595" s="1567"/>
      <c r="CI595" s="1567"/>
      <c r="CJ595" s="1567">
        <f t="shared" si="11"/>
        <v>0</v>
      </c>
      <c r="CK595" s="1567"/>
      <c r="CL595" s="1567"/>
      <c r="CM595" s="1567"/>
      <c r="CN595" s="1567"/>
      <c r="CO595" s="1567">
        <f t="shared" si="12"/>
        <v>0</v>
      </c>
      <c r="CP595" s="1567"/>
      <c r="CQ595" s="1567"/>
      <c r="CR595" s="1567"/>
      <c r="CS595" s="1567"/>
      <c r="CT595" s="1567">
        <f t="shared" si="13"/>
        <v>0</v>
      </c>
      <c r="CU595" s="1567"/>
      <c r="CV595" s="1567"/>
      <c r="CW595" s="1567"/>
      <c r="CX595" s="1567"/>
      <c r="CY595" s="1567">
        <f t="shared" si="14"/>
        <v>0</v>
      </c>
      <c r="CZ595" s="1567"/>
      <c r="DA595" s="1567"/>
      <c r="DB595" s="1567"/>
      <c r="DC595" s="1567"/>
      <c r="DD595" s="1567">
        <f t="shared" si="15"/>
        <v>0</v>
      </c>
      <c r="DE595" s="1567"/>
      <c r="DF595" s="1567"/>
      <c r="DG595" s="1567"/>
      <c r="DH595" s="1567"/>
    </row>
    <row r="596" spans="1:112" ht="13.2">
      <c r="A596" s="35"/>
      <c r="B596" s="12" t="s">
        <v>338</v>
      </c>
      <c r="G596" s="1157"/>
      <c r="H596" s="1120"/>
      <c r="I596" s="1120"/>
      <c r="J596" s="1120"/>
      <c r="K596" s="1120"/>
      <c r="L596" s="1120"/>
      <c r="O596" s="140" t="s">
        <v>220</v>
      </c>
      <c r="P596" s="1152"/>
      <c r="Q596" s="1152"/>
      <c r="R596" s="1152"/>
      <c r="T596" s="35"/>
      <c r="U596" s="12" t="s">
        <v>338</v>
      </c>
      <c r="Z596" s="1157" t="s">
        <v>1665</v>
      </c>
      <c r="AA596" s="1120"/>
      <c r="AB596" s="1120"/>
      <c r="AC596" s="1120"/>
      <c r="AD596" s="1120"/>
      <c r="AE596" s="1120"/>
      <c r="AH596" s="140" t="s">
        <v>220</v>
      </c>
      <c r="AI596" s="1152"/>
      <c r="AJ596" s="1152"/>
      <c r="AK596" s="1152"/>
      <c r="AM596" s="58"/>
      <c r="AN596" s="58"/>
      <c r="AO596" s="58"/>
      <c r="AP596" s="58"/>
      <c r="AQ596" s="58"/>
      <c r="AR596" s="1251">
        <f t="shared" si="0"/>
        <v>0</v>
      </c>
      <c r="AS596" s="1252"/>
      <c r="AT596" s="1288">
        <f t="shared" si="1"/>
        <v>0</v>
      </c>
      <c r="AU596" s="1289"/>
      <c r="AV596" s="1251">
        <f t="shared" si="2"/>
        <v>0</v>
      </c>
      <c r="AW596" s="1252"/>
      <c r="AX596" s="1288">
        <f t="shared" si="3"/>
        <v>0</v>
      </c>
      <c r="AY596" s="1289"/>
      <c r="AZ596" s="58"/>
      <c r="BA596" s="1288">
        <f t="shared" si="4"/>
        <v>0</v>
      </c>
      <c r="BB596" s="1290"/>
      <c r="BC596" s="1290"/>
      <c r="BD596" s="1290"/>
      <c r="BE596" s="1289"/>
      <c r="BF596" s="1285">
        <f t="shared" si="5"/>
        <v>0</v>
      </c>
      <c r="BG596" s="1285"/>
      <c r="BH596" s="1285"/>
      <c r="BI596" s="1285"/>
      <c r="BJ596" s="1285"/>
      <c r="BK596" s="1285">
        <f t="shared" si="6"/>
        <v>0</v>
      </c>
      <c r="BL596" s="1285"/>
      <c r="BM596" s="1285"/>
      <c r="BN596" s="1285"/>
      <c r="BO596" s="1285"/>
      <c r="BP596" s="1285">
        <f t="shared" si="7"/>
        <v>0</v>
      </c>
      <c r="BQ596" s="1285"/>
      <c r="BR596" s="1285"/>
      <c r="BS596" s="1285"/>
      <c r="BT596" s="1285"/>
      <c r="BU596" s="1285">
        <f t="shared" si="8"/>
        <v>0</v>
      </c>
      <c r="BV596" s="1285"/>
      <c r="BW596" s="1285"/>
      <c r="BX596" s="1285"/>
      <c r="BY596" s="1285"/>
      <c r="BZ596" s="1285">
        <f t="shared" si="9"/>
        <v>0</v>
      </c>
      <c r="CA596" s="1285"/>
      <c r="CB596" s="1285"/>
      <c r="CC596" s="1285"/>
      <c r="CD596" s="1285"/>
      <c r="CE596" s="1567">
        <f t="shared" si="10"/>
        <v>0</v>
      </c>
      <c r="CF596" s="1567"/>
      <c r="CG596" s="1567"/>
      <c r="CH596" s="1567"/>
      <c r="CI596" s="1567"/>
      <c r="CJ596" s="1567">
        <f t="shared" si="11"/>
        <v>0</v>
      </c>
      <c r="CK596" s="1567"/>
      <c r="CL596" s="1567"/>
      <c r="CM596" s="1567"/>
      <c r="CN596" s="1567"/>
      <c r="CO596" s="1567">
        <f t="shared" si="12"/>
        <v>0</v>
      </c>
      <c r="CP596" s="1567"/>
      <c r="CQ596" s="1567"/>
      <c r="CR596" s="1567"/>
      <c r="CS596" s="1567"/>
      <c r="CT596" s="1567">
        <f t="shared" si="13"/>
        <v>0</v>
      </c>
      <c r="CU596" s="1567"/>
      <c r="CV596" s="1567"/>
      <c r="CW596" s="1567"/>
      <c r="CX596" s="1567"/>
      <c r="CY596" s="1567">
        <f t="shared" si="14"/>
        <v>0</v>
      </c>
      <c r="CZ596" s="1567"/>
      <c r="DA596" s="1567"/>
      <c r="DB596" s="1567"/>
      <c r="DC596" s="1567"/>
      <c r="DD596" s="1567">
        <f t="shared" si="15"/>
        <v>0</v>
      </c>
      <c r="DE596" s="1567"/>
      <c r="DF596" s="1567"/>
      <c r="DG596" s="1567"/>
      <c r="DH596" s="1567"/>
    </row>
    <row r="597" spans="1:112" s="7" customFormat="1" ht="13.2">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t="s">
        <v>1795</v>
      </c>
      <c r="AB597" s="1086"/>
      <c r="AC597" s="1086"/>
      <c r="AD597" s="1086"/>
      <c r="AE597" s="1086"/>
      <c r="AF597" s="1086"/>
      <c r="AG597" s="1086"/>
      <c r="AH597" s="1086"/>
      <c r="AI597" s="1086"/>
      <c r="AJ597" s="1086"/>
      <c r="AK597" s="1086"/>
      <c r="AL597" s="12"/>
      <c r="AM597" s="58"/>
      <c r="AN597" s="58"/>
      <c r="AO597" s="58"/>
      <c r="AP597" s="58"/>
      <c r="AQ597" s="58"/>
      <c r="AR597" s="1251">
        <f t="shared" si="0"/>
        <v>0</v>
      </c>
      <c r="AS597" s="1252"/>
      <c r="AT597" s="1288">
        <f t="shared" si="1"/>
        <v>0</v>
      </c>
      <c r="AU597" s="1289"/>
      <c r="AV597" s="1251">
        <f t="shared" si="2"/>
        <v>0</v>
      </c>
      <c r="AW597" s="1252"/>
      <c r="AX597" s="1288">
        <f t="shared" si="3"/>
        <v>0</v>
      </c>
      <c r="AY597" s="1289"/>
      <c r="AZ597" s="58"/>
      <c r="BA597" s="1288">
        <f t="shared" si="4"/>
        <v>0</v>
      </c>
      <c r="BB597" s="1290"/>
      <c r="BC597" s="1290"/>
      <c r="BD597" s="1290"/>
      <c r="BE597" s="1289"/>
      <c r="BF597" s="1285">
        <f t="shared" si="5"/>
        <v>0</v>
      </c>
      <c r="BG597" s="1285"/>
      <c r="BH597" s="1285"/>
      <c r="BI597" s="1285"/>
      <c r="BJ597" s="1285"/>
      <c r="BK597" s="1285">
        <f t="shared" si="6"/>
        <v>0</v>
      </c>
      <c r="BL597" s="1285"/>
      <c r="BM597" s="1285"/>
      <c r="BN597" s="1285"/>
      <c r="BO597" s="1285"/>
      <c r="BP597" s="1285">
        <f t="shared" si="7"/>
        <v>0</v>
      </c>
      <c r="BQ597" s="1285"/>
      <c r="BR597" s="1285"/>
      <c r="BS597" s="1285"/>
      <c r="BT597" s="1285"/>
      <c r="BU597" s="1285">
        <f t="shared" si="8"/>
        <v>0</v>
      </c>
      <c r="BV597" s="1285"/>
      <c r="BW597" s="1285"/>
      <c r="BX597" s="1285"/>
      <c r="BY597" s="1285"/>
      <c r="BZ597" s="1285">
        <f t="shared" si="9"/>
        <v>0</v>
      </c>
      <c r="CA597" s="1285"/>
      <c r="CB597" s="1285"/>
      <c r="CC597" s="1285"/>
      <c r="CD597" s="1285"/>
      <c r="CE597" s="1567">
        <f t="shared" si="10"/>
        <v>0</v>
      </c>
      <c r="CF597" s="1567"/>
      <c r="CG597" s="1567"/>
      <c r="CH597" s="1567"/>
      <c r="CI597" s="1567"/>
      <c r="CJ597" s="1567">
        <f t="shared" si="11"/>
        <v>0</v>
      </c>
      <c r="CK597" s="1567"/>
      <c r="CL597" s="1567"/>
      <c r="CM597" s="1567"/>
      <c r="CN597" s="1567"/>
      <c r="CO597" s="1567">
        <f t="shared" si="12"/>
        <v>0</v>
      </c>
      <c r="CP597" s="1567"/>
      <c r="CQ597" s="1567"/>
      <c r="CR597" s="1567"/>
      <c r="CS597" s="1567"/>
      <c r="CT597" s="1567">
        <f t="shared" si="13"/>
        <v>0</v>
      </c>
      <c r="CU597" s="1567"/>
      <c r="CV597" s="1567"/>
      <c r="CW597" s="1567"/>
      <c r="CX597" s="1567"/>
      <c r="CY597" s="1567">
        <f t="shared" si="14"/>
        <v>0</v>
      </c>
      <c r="CZ597" s="1567"/>
      <c r="DA597" s="1567"/>
      <c r="DB597" s="1567"/>
      <c r="DC597" s="1567"/>
      <c r="DD597" s="1567">
        <f t="shared" si="15"/>
        <v>0</v>
      </c>
      <c r="DE597" s="1567"/>
      <c r="DF597" s="1567"/>
      <c r="DG597" s="1567"/>
      <c r="DH597" s="1567"/>
    </row>
    <row r="598" spans="1:112" s="7" customFormat="1" ht="13.2">
      <c r="A598" s="35"/>
      <c r="B598" s="12" t="s">
        <v>22</v>
      </c>
      <c r="C598" s="12"/>
      <c r="D598" s="12"/>
      <c r="E598" s="12"/>
      <c r="F598" s="12"/>
      <c r="G598" s="12"/>
      <c r="H598" s="12"/>
      <c r="I598" s="12"/>
      <c r="J598" s="12"/>
      <c r="K598" s="12"/>
      <c r="L598" s="12"/>
      <c r="M598" s="12"/>
      <c r="N598" s="1114" t="s">
        <v>722</v>
      </c>
      <c r="O598" s="1114"/>
      <c r="P598" s="12"/>
      <c r="Q598" s="12"/>
      <c r="R598" s="12"/>
      <c r="S598" s="12"/>
      <c r="T598" s="35"/>
      <c r="U598" s="12" t="s">
        <v>22</v>
      </c>
      <c r="V598" s="12"/>
      <c r="W598" s="12"/>
      <c r="X598" s="12"/>
      <c r="Y598" s="12"/>
      <c r="Z598" s="12"/>
      <c r="AA598" s="12"/>
      <c r="AB598" s="12"/>
      <c r="AC598" s="12"/>
      <c r="AD598" s="12"/>
      <c r="AE598" s="12"/>
      <c r="AF598" s="12"/>
      <c r="AG598" s="1114" t="s">
        <v>591</v>
      </c>
      <c r="AH598" s="1114"/>
      <c r="AI598" s="12"/>
      <c r="AJ598" s="12"/>
      <c r="AK598" s="12"/>
      <c r="AL598" s="12"/>
      <c r="AM598" s="58"/>
      <c r="AN598" s="58"/>
      <c r="AO598" s="58"/>
      <c r="AP598" s="58"/>
      <c r="AQ598" s="58"/>
      <c r="AR598" s="1251">
        <f t="shared" si="0"/>
        <v>0</v>
      </c>
      <c r="AS598" s="1252"/>
      <c r="AT598" s="1288">
        <f t="shared" si="1"/>
        <v>0</v>
      </c>
      <c r="AU598" s="1289"/>
      <c r="AV598" s="1251">
        <f t="shared" si="2"/>
        <v>0</v>
      </c>
      <c r="AW598" s="1252"/>
      <c r="AX598" s="1288">
        <f t="shared" si="3"/>
        <v>0</v>
      </c>
      <c r="AY598" s="1289"/>
      <c r="AZ598" s="58"/>
      <c r="BA598" s="1288">
        <f t="shared" si="4"/>
        <v>0</v>
      </c>
      <c r="BB598" s="1290"/>
      <c r="BC598" s="1290"/>
      <c r="BD598" s="1290"/>
      <c r="BE598" s="1289"/>
      <c r="BF598" s="1285">
        <f t="shared" si="5"/>
        <v>0</v>
      </c>
      <c r="BG598" s="1285"/>
      <c r="BH598" s="1285"/>
      <c r="BI598" s="1285"/>
      <c r="BJ598" s="1285"/>
      <c r="BK598" s="1285">
        <f t="shared" si="6"/>
        <v>0</v>
      </c>
      <c r="BL598" s="1285"/>
      <c r="BM598" s="1285"/>
      <c r="BN598" s="1285"/>
      <c r="BO598" s="1285"/>
      <c r="BP598" s="1285">
        <f t="shared" si="7"/>
        <v>0</v>
      </c>
      <c r="BQ598" s="1285"/>
      <c r="BR598" s="1285"/>
      <c r="BS598" s="1285"/>
      <c r="BT598" s="1285"/>
      <c r="BU598" s="1285">
        <f t="shared" si="8"/>
        <v>0</v>
      </c>
      <c r="BV598" s="1285"/>
      <c r="BW598" s="1285"/>
      <c r="BX598" s="1285"/>
      <c r="BY598" s="1285"/>
      <c r="BZ598" s="1285">
        <f t="shared" si="9"/>
        <v>0</v>
      </c>
      <c r="CA598" s="1285"/>
      <c r="CB598" s="1285"/>
      <c r="CC598" s="1285"/>
      <c r="CD598" s="1285"/>
      <c r="CE598" s="1567">
        <f t="shared" si="10"/>
        <v>0</v>
      </c>
      <c r="CF598" s="1567"/>
      <c r="CG598" s="1567"/>
      <c r="CH598" s="1567"/>
      <c r="CI598" s="1567"/>
      <c r="CJ598" s="1567">
        <f t="shared" si="11"/>
        <v>0</v>
      </c>
      <c r="CK598" s="1567"/>
      <c r="CL598" s="1567"/>
      <c r="CM598" s="1567"/>
      <c r="CN598" s="1567"/>
      <c r="CO598" s="1567">
        <f t="shared" si="12"/>
        <v>0</v>
      </c>
      <c r="CP598" s="1567"/>
      <c r="CQ598" s="1567"/>
      <c r="CR598" s="1567"/>
      <c r="CS598" s="1567"/>
      <c r="CT598" s="1567">
        <f t="shared" si="13"/>
        <v>0</v>
      </c>
      <c r="CU598" s="1567"/>
      <c r="CV598" s="1567"/>
      <c r="CW598" s="1567"/>
      <c r="CX598" s="1567"/>
      <c r="CY598" s="1567">
        <f t="shared" si="14"/>
        <v>0</v>
      </c>
      <c r="CZ598" s="1567"/>
      <c r="DA598" s="1567"/>
      <c r="DB598" s="1567"/>
      <c r="DC598" s="1567"/>
      <c r="DD598" s="1567">
        <f t="shared" si="15"/>
        <v>0</v>
      </c>
      <c r="DE598" s="1567"/>
      <c r="DF598" s="1567"/>
      <c r="DG598" s="1567"/>
      <c r="DH598" s="1567"/>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0"/>
        <v>0</v>
      </c>
      <c r="AS599" s="1252"/>
      <c r="AT599" s="1288">
        <f t="shared" si="1"/>
        <v>0</v>
      </c>
      <c r="AU599" s="1289"/>
      <c r="AV599" s="1251">
        <f t="shared" si="2"/>
        <v>0</v>
      </c>
      <c r="AW599" s="1252"/>
      <c r="AX599" s="1288">
        <f t="shared" si="3"/>
        <v>0</v>
      </c>
      <c r="AY599" s="1289"/>
      <c r="AZ599" s="58"/>
      <c r="BA599" s="1288">
        <f t="shared" si="4"/>
        <v>0</v>
      </c>
      <c r="BB599" s="1290"/>
      <c r="BC599" s="1290"/>
      <c r="BD599" s="1290"/>
      <c r="BE599" s="1289"/>
      <c r="BF599" s="1285">
        <f t="shared" si="5"/>
        <v>0</v>
      </c>
      <c r="BG599" s="1285"/>
      <c r="BH599" s="1285"/>
      <c r="BI599" s="1285"/>
      <c r="BJ599" s="1285"/>
      <c r="BK599" s="1285">
        <f t="shared" si="6"/>
        <v>0</v>
      </c>
      <c r="BL599" s="1285"/>
      <c r="BM599" s="1285"/>
      <c r="BN599" s="1285"/>
      <c r="BO599" s="1285"/>
      <c r="BP599" s="1285">
        <f t="shared" si="7"/>
        <v>0</v>
      </c>
      <c r="BQ599" s="1285"/>
      <c r="BR599" s="1285"/>
      <c r="BS599" s="1285"/>
      <c r="BT599" s="1285"/>
      <c r="BU599" s="1285">
        <f t="shared" si="8"/>
        <v>0</v>
      </c>
      <c r="BV599" s="1285"/>
      <c r="BW599" s="1285"/>
      <c r="BX599" s="1285"/>
      <c r="BY599" s="1285"/>
      <c r="BZ599" s="1285">
        <f t="shared" si="9"/>
        <v>0</v>
      </c>
      <c r="CA599" s="1285"/>
      <c r="CB599" s="1285"/>
      <c r="CC599" s="1285"/>
      <c r="CD599" s="1285"/>
      <c r="CE599" s="1567">
        <f t="shared" si="10"/>
        <v>0</v>
      </c>
      <c r="CF599" s="1567"/>
      <c r="CG599" s="1567"/>
      <c r="CH599" s="1567"/>
      <c r="CI599" s="1567"/>
      <c r="CJ599" s="1567">
        <f t="shared" si="11"/>
        <v>0</v>
      </c>
      <c r="CK599" s="1567"/>
      <c r="CL599" s="1567"/>
      <c r="CM599" s="1567"/>
      <c r="CN599" s="1567"/>
      <c r="CO599" s="1567">
        <f t="shared" si="12"/>
        <v>0</v>
      </c>
      <c r="CP599" s="1567"/>
      <c r="CQ599" s="1567"/>
      <c r="CR599" s="1567"/>
      <c r="CS599" s="1567"/>
      <c r="CT599" s="1567">
        <f t="shared" si="13"/>
        <v>0</v>
      </c>
      <c r="CU599" s="1567"/>
      <c r="CV599" s="1567"/>
      <c r="CW599" s="1567"/>
      <c r="CX599" s="1567"/>
      <c r="CY599" s="1567">
        <f t="shared" si="14"/>
        <v>0</v>
      </c>
      <c r="CZ599" s="1567"/>
      <c r="DA599" s="1567"/>
      <c r="DB599" s="1567"/>
      <c r="DC599" s="1567"/>
      <c r="DD599" s="1567">
        <f t="shared" si="15"/>
        <v>0</v>
      </c>
      <c r="DE599" s="1567"/>
      <c r="DF599" s="1567"/>
      <c r="DG599" s="1567"/>
      <c r="DH599" s="1567"/>
    </row>
    <row r="600" spans="1:112" ht="13.2">
      <c r="A600" s="87" t="s">
        <v>386</v>
      </c>
      <c r="B600" s="12" t="s">
        <v>509</v>
      </c>
      <c r="G600" s="1176" t="str">
        <f>C555</f>
        <v>Costs Deferred Until Perm Conversion</v>
      </c>
      <c r="H600" s="1176"/>
      <c r="I600" s="1176"/>
      <c r="J600" s="1176"/>
      <c r="K600" s="1176"/>
      <c r="L600" s="1176"/>
      <c r="M600" s="1176"/>
      <c r="N600" s="1176"/>
      <c r="O600" s="1176"/>
      <c r="P600" s="1176"/>
      <c r="Q600" s="1176"/>
      <c r="R600" s="1176"/>
      <c r="T600" s="87" t="s">
        <v>387</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0"/>
        <v>0</v>
      </c>
      <c r="AS600" s="1252"/>
      <c r="AT600" s="1288">
        <f t="shared" si="1"/>
        <v>0</v>
      </c>
      <c r="AU600" s="1289"/>
      <c r="AV600" s="1251">
        <f t="shared" si="2"/>
        <v>0</v>
      </c>
      <c r="AW600" s="1252"/>
      <c r="AX600" s="1288">
        <f t="shared" si="3"/>
        <v>0</v>
      </c>
      <c r="AY600" s="1289"/>
      <c r="AZ600" s="58"/>
      <c r="BA600" s="1288">
        <f t="shared" si="4"/>
        <v>0</v>
      </c>
      <c r="BB600" s="1290"/>
      <c r="BC600" s="1290"/>
      <c r="BD600" s="1290"/>
      <c r="BE600" s="1289"/>
      <c r="BF600" s="1285">
        <f t="shared" si="5"/>
        <v>0</v>
      </c>
      <c r="BG600" s="1285"/>
      <c r="BH600" s="1285"/>
      <c r="BI600" s="1285"/>
      <c r="BJ600" s="1285"/>
      <c r="BK600" s="1285">
        <f t="shared" si="6"/>
        <v>0</v>
      </c>
      <c r="BL600" s="1285"/>
      <c r="BM600" s="1285"/>
      <c r="BN600" s="1285"/>
      <c r="BO600" s="1285"/>
      <c r="BP600" s="1285">
        <f t="shared" si="7"/>
        <v>0</v>
      </c>
      <c r="BQ600" s="1285"/>
      <c r="BR600" s="1285"/>
      <c r="BS600" s="1285"/>
      <c r="BT600" s="1285"/>
      <c r="BU600" s="1285">
        <f t="shared" si="8"/>
        <v>0</v>
      </c>
      <c r="BV600" s="1285"/>
      <c r="BW600" s="1285"/>
      <c r="BX600" s="1285"/>
      <c r="BY600" s="1285"/>
      <c r="BZ600" s="1285">
        <f t="shared" si="9"/>
        <v>0</v>
      </c>
      <c r="CA600" s="1285"/>
      <c r="CB600" s="1285"/>
      <c r="CC600" s="1285"/>
      <c r="CD600" s="1285"/>
      <c r="CE600" s="1567">
        <f t="shared" si="10"/>
        <v>0</v>
      </c>
      <c r="CF600" s="1567"/>
      <c r="CG600" s="1567"/>
      <c r="CH600" s="1567"/>
      <c r="CI600" s="1567"/>
      <c r="CJ600" s="1567">
        <f t="shared" si="11"/>
        <v>0</v>
      </c>
      <c r="CK600" s="1567"/>
      <c r="CL600" s="1567"/>
      <c r="CM600" s="1567"/>
      <c r="CN600" s="1567"/>
      <c r="CO600" s="1567">
        <f t="shared" si="12"/>
        <v>0</v>
      </c>
      <c r="CP600" s="1567"/>
      <c r="CQ600" s="1567"/>
      <c r="CR600" s="1567"/>
      <c r="CS600" s="1567"/>
      <c r="CT600" s="1567">
        <f t="shared" si="13"/>
        <v>0</v>
      </c>
      <c r="CU600" s="1567"/>
      <c r="CV600" s="1567"/>
      <c r="CW600" s="1567"/>
      <c r="CX600" s="1567"/>
      <c r="CY600" s="1567">
        <f t="shared" si="14"/>
        <v>0</v>
      </c>
      <c r="CZ600" s="1567"/>
      <c r="DA600" s="1567"/>
      <c r="DB600" s="1567"/>
      <c r="DC600" s="1567"/>
      <c r="DD600" s="1567">
        <f t="shared" si="15"/>
        <v>0</v>
      </c>
      <c r="DE600" s="1567"/>
      <c r="DF600" s="1567"/>
      <c r="DG600" s="1567"/>
      <c r="DH600" s="1567"/>
    </row>
    <row r="601" spans="1:112" ht="13.2">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1">
        <f t="shared" si="0"/>
        <v>0</v>
      </c>
      <c r="AS601" s="1252"/>
      <c r="AT601" s="1288">
        <f t="shared" si="1"/>
        <v>0</v>
      </c>
      <c r="AU601" s="1289"/>
      <c r="AV601" s="1251">
        <f t="shared" si="2"/>
        <v>0</v>
      </c>
      <c r="AW601" s="1252"/>
      <c r="AX601" s="1288">
        <f t="shared" si="3"/>
        <v>0</v>
      </c>
      <c r="AY601" s="1289"/>
      <c r="AZ601" s="58"/>
      <c r="BA601" s="1288">
        <f t="shared" si="4"/>
        <v>0</v>
      </c>
      <c r="BB601" s="1290"/>
      <c r="BC601" s="1290"/>
      <c r="BD601" s="1290"/>
      <c r="BE601" s="1289"/>
      <c r="BF601" s="1285">
        <f t="shared" si="5"/>
        <v>0</v>
      </c>
      <c r="BG601" s="1285"/>
      <c r="BH601" s="1285"/>
      <c r="BI601" s="1285"/>
      <c r="BJ601" s="1285"/>
      <c r="BK601" s="1285">
        <f t="shared" si="6"/>
        <v>0</v>
      </c>
      <c r="BL601" s="1285"/>
      <c r="BM601" s="1285"/>
      <c r="BN601" s="1285"/>
      <c r="BO601" s="1285"/>
      <c r="BP601" s="1285">
        <f t="shared" si="7"/>
        <v>0</v>
      </c>
      <c r="BQ601" s="1285"/>
      <c r="BR601" s="1285"/>
      <c r="BS601" s="1285"/>
      <c r="BT601" s="1285"/>
      <c r="BU601" s="1285">
        <f t="shared" si="8"/>
        <v>0</v>
      </c>
      <c r="BV601" s="1285"/>
      <c r="BW601" s="1285"/>
      <c r="BX601" s="1285"/>
      <c r="BY601" s="1285"/>
      <c r="BZ601" s="1285">
        <f t="shared" si="9"/>
        <v>0</v>
      </c>
      <c r="CA601" s="1285"/>
      <c r="CB601" s="1285"/>
      <c r="CC601" s="1285"/>
      <c r="CD601" s="1285"/>
      <c r="CE601" s="1567">
        <f t="shared" si="10"/>
        <v>0</v>
      </c>
      <c r="CF601" s="1567"/>
      <c r="CG601" s="1567"/>
      <c r="CH601" s="1567"/>
      <c r="CI601" s="1567"/>
      <c r="CJ601" s="1567">
        <f t="shared" si="11"/>
        <v>0</v>
      </c>
      <c r="CK601" s="1567"/>
      <c r="CL601" s="1567"/>
      <c r="CM601" s="1567"/>
      <c r="CN601" s="1567"/>
      <c r="CO601" s="1567">
        <f t="shared" si="12"/>
        <v>0</v>
      </c>
      <c r="CP601" s="1567"/>
      <c r="CQ601" s="1567"/>
      <c r="CR601" s="1567"/>
      <c r="CS601" s="1567"/>
      <c r="CT601" s="1567">
        <f t="shared" si="13"/>
        <v>0</v>
      </c>
      <c r="CU601" s="1567"/>
      <c r="CV601" s="1567"/>
      <c r="CW601" s="1567"/>
      <c r="CX601" s="1567"/>
      <c r="CY601" s="1567">
        <f t="shared" si="14"/>
        <v>0</v>
      </c>
      <c r="CZ601" s="1567"/>
      <c r="DA601" s="1567"/>
      <c r="DB601" s="1567"/>
      <c r="DC601" s="1567"/>
      <c r="DD601" s="1567">
        <f t="shared" si="15"/>
        <v>0</v>
      </c>
      <c r="DE601" s="1567"/>
      <c r="DF601" s="1567"/>
      <c r="DG601" s="1567"/>
      <c r="DH601" s="1567"/>
    </row>
    <row r="602" spans="1:112" ht="13.2">
      <c r="B602" s="12" t="s">
        <v>630</v>
      </c>
      <c r="G602" s="1086"/>
      <c r="H602" s="1086"/>
      <c r="I602" s="1086"/>
      <c r="J602" s="1086"/>
      <c r="K602" s="1086"/>
      <c r="L602" s="1086"/>
      <c r="M602" s="1086"/>
      <c r="N602" s="1086"/>
      <c r="O602" s="1086"/>
      <c r="P602" s="1086"/>
      <c r="Q602" s="1086"/>
      <c r="R602" s="1086"/>
      <c r="U602" s="12" t="s">
        <v>630</v>
      </c>
      <c r="Z602" s="1086"/>
      <c r="AA602" s="1086"/>
      <c r="AB602" s="1086"/>
      <c r="AC602" s="1086"/>
      <c r="AD602" s="1086"/>
      <c r="AE602" s="1086"/>
      <c r="AF602" s="1086"/>
      <c r="AG602" s="1086"/>
      <c r="AH602" s="1086"/>
      <c r="AI602" s="1086"/>
      <c r="AJ602" s="1086"/>
      <c r="AK602" s="1086"/>
      <c r="AM602" s="58"/>
      <c r="AN602" s="58"/>
      <c r="AO602" s="58"/>
      <c r="AP602" s="58"/>
      <c r="AQ602" s="58"/>
      <c r="AR602" s="1251">
        <f t="shared" si="0"/>
        <v>0</v>
      </c>
      <c r="AS602" s="1252"/>
      <c r="AT602" s="1288">
        <f t="shared" si="1"/>
        <v>0</v>
      </c>
      <c r="AU602" s="1289"/>
      <c r="AV602" s="1251">
        <f t="shared" si="2"/>
        <v>0</v>
      </c>
      <c r="AW602" s="1252"/>
      <c r="AX602" s="1288">
        <f t="shared" si="3"/>
        <v>0</v>
      </c>
      <c r="AY602" s="1289"/>
      <c r="AZ602" s="58"/>
      <c r="BA602" s="1288">
        <f t="shared" si="4"/>
        <v>0</v>
      </c>
      <c r="BB602" s="1290"/>
      <c r="BC602" s="1290"/>
      <c r="BD602" s="1290"/>
      <c r="BE602" s="1289"/>
      <c r="BF602" s="1285">
        <f t="shared" si="5"/>
        <v>0</v>
      </c>
      <c r="BG602" s="1285"/>
      <c r="BH602" s="1285"/>
      <c r="BI602" s="1285"/>
      <c r="BJ602" s="1285"/>
      <c r="BK602" s="1285">
        <f t="shared" si="6"/>
        <v>0</v>
      </c>
      <c r="BL602" s="1285"/>
      <c r="BM602" s="1285"/>
      <c r="BN602" s="1285"/>
      <c r="BO602" s="1285"/>
      <c r="BP602" s="1285">
        <f t="shared" si="7"/>
        <v>0</v>
      </c>
      <c r="BQ602" s="1285"/>
      <c r="BR602" s="1285"/>
      <c r="BS602" s="1285"/>
      <c r="BT602" s="1285"/>
      <c r="BU602" s="1285">
        <f t="shared" si="8"/>
        <v>0</v>
      </c>
      <c r="BV602" s="1285"/>
      <c r="BW602" s="1285"/>
      <c r="BX602" s="1285"/>
      <c r="BY602" s="1285"/>
      <c r="BZ602" s="1285">
        <f t="shared" si="9"/>
        <v>0</v>
      </c>
      <c r="CA602" s="1285"/>
      <c r="CB602" s="1285"/>
      <c r="CC602" s="1285"/>
      <c r="CD602" s="1285"/>
      <c r="CE602" s="1567">
        <f t="shared" si="10"/>
        <v>0</v>
      </c>
      <c r="CF602" s="1567"/>
      <c r="CG602" s="1567"/>
      <c r="CH602" s="1567"/>
      <c r="CI602" s="1567"/>
      <c r="CJ602" s="1567">
        <f t="shared" si="11"/>
        <v>0</v>
      </c>
      <c r="CK602" s="1567"/>
      <c r="CL602" s="1567"/>
      <c r="CM602" s="1567"/>
      <c r="CN602" s="1567"/>
      <c r="CO602" s="1567">
        <f t="shared" si="12"/>
        <v>0</v>
      </c>
      <c r="CP602" s="1567"/>
      <c r="CQ602" s="1567"/>
      <c r="CR602" s="1567"/>
      <c r="CS602" s="1567"/>
      <c r="CT602" s="1567">
        <f t="shared" si="13"/>
        <v>0</v>
      </c>
      <c r="CU602" s="1567"/>
      <c r="CV602" s="1567"/>
      <c r="CW602" s="1567"/>
      <c r="CX602" s="1567"/>
      <c r="CY602" s="1567">
        <f t="shared" si="14"/>
        <v>0</v>
      </c>
      <c r="CZ602" s="1567"/>
      <c r="DA602" s="1567"/>
      <c r="DB602" s="1567"/>
      <c r="DC602" s="1567"/>
      <c r="DD602" s="1567">
        <f t="shared" si="15"/>
        <v>0</v>
      </c>
      <c r="DE602" s="1567"/>
      <c r="DF602" s="1567"/>
      <c r="DG602" s="1567"/>
      <c r="DH602" s="1567"/>
    </row>
    <row r="603" spans="1:112" ht="13.2">
      <c r="B603" s="12" t="s">
        <v>19</v>
      </c>
      <c r="G603" s="1086"/>
      <c r="H603" s="1086"/>
      <c r="I603" s="1086"/>
      <c r="J603" s="1086"/>
      <c r="K603" s="1086"/>
      <c r="L603" s="1086"/>
      <c r="M603" s="1086"/>
      <c r="N603" s="1086"/>
      <c r="O603" s="1086"/>
      <c r="P603" s="1086"/>
      <c r="Q603" s="1086"/>
      <c r="R603" s="1086"/>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1">
        <f t="shared" si="0"/>
        <v>0</v>
      </c>
      <c r="AS603" s="1252"/>
      <c r="AT603" s="1288">
        <f t="shared" si="1"/>
        <v>0</v>
      </c>
      <c r="AU603" s="1289"/>
      <c r="AV603" s="1251">
        <f t="shared" si="2"/>
        <v>0</v>
      </c>
      <c r="AW603" s="1252"/>
      <c r="AX603" s="1288">
        <f t="shared" si="3"/>
        <v>0</v>
      </c>
      <c r="AY603" s="1289"/>
      <c r="AZ603" s="58"/>
      <c r="BA603" s="1288">
        <f t="shared" si="4"/>
        <v>0</v>
      </c>
      <c r="BB603" s="1290"/>
      <c r="BC603" s="1290"/>
      <c r="BD603" s="1290"/>
      <c r="BE603" s="1289"/>
      <c r="BF603" s="1285">
        <f t="shared" si="5"/>
        <v>0</v>
      </c>
      <c r="BG603" s="1285"/>
      <c r="BH603" s="1285"/>
      <c r="BI603" s="1285"/>
      <c r="BJ603" s="1285"/>
      <c r="BK603" s="1285">
        <f t="shared" si="6"/>
        <v>0</v>
      </c>
      <c r="BL603" s="1285"/>
      <c r="BM603" s="1285"/>
      <c r="BN603" s="1285"/>
      <c r="BO603" s="1285"/>
      <c r="BP603" s="1285">
        <f t="shared" si="7"/>
        <v>0</v>
      </c>
      <c r="BQ603" s="1285"/>
      <c r="BR603" s="1285"/>
      <c r="BS603" s="1285"/>
      <c r="BT603" s="1285"/>
      <c r="BU603" s="1285">
        <f t="shared" si="8"/>
        <v>0</v>
      </c>
      <c r="BV603" s="1285"/>
      <c r="BW603" s="1285"/>
      <c r="BX603" s="1285"/>
      <c r="BY603" s="1285"/>
      <c r="BZ603" s="1285">
        <f t="shared" si="9"/>
        <v>0</v>
      </c>
      <c r="CA603" s="1285"/>
      <c r="CB603" s="1285"/>
      <c r="CC603" s="1285"/>
      <c r="CD603" s="1285"/>
      <c r="CE603" s="1567">
        <f t="shared" si="10"/>
        <v>0</v>
      </c>
      <c r="CF603" s="1567"/>
      <c r="CG603" s="1567"/>
      <c r="CH603" s="1567"/>
      <c r="CI603" s="1567"/>
      <c r="CJ603" s="1567">
        <f t="shared" si="11"/>
        <v>0</v>
      </c>
      <c r="CK603" s="1567"/>
      <c r="CL603" s="1567"/>
      <c r="CM603" s="1567"/>
      <c r="CN603" s="1567"/>
      <c r="CO603" s="1567">
        <f t="shared" si="12"/>
        <v>0</v>
      </c>
      <c r="CP603" s="1567"/>
      <c r="CQ603" s="1567"/>
      <c r="CR603" s="1567"/>
      <c r="CS603" s="1567"/>
      <c r="CT603" s="1567">
        <f t="shared" si="13"/>
        <v>0</v>
      </c>
      <c r="CU603" s="1567"/>
      <c r="CV603" s="1567"/>
      <c r="CW603" s="1567"/>
      <c r="CX603" s="1567"/>
      <c r="CY603" s="1567">
        <f t="shared" si="14"/>
        <v>0</v>
      </c>
      <c r="CZ603" s="1567"/>
      <c r="DA603" s="1567"/>
      <c r="DB603" s="1567"/>
      <c r="DC603" s="1567"/>
      <c r="DD603" s="1567">
        <f t="shared" si="15"/>
        <v>0</v>
      </c>
      <c r="DE603" s="1567"/>
      <c r="DF603" s="1567"/>
      <c r="DG603" s="1567"/>
      <c r="DH603" s="1567"/>
    </row>
    <row r="604" spans="1:112" ht="13.2">
      <c r="B604" s="12" t="s">
        <v>338</v>
      </c>
      <c r="G604" s="1157"/>
      <c r="H604" s="1120"/>
      <c r="I604" s="1120"/>
      <c r="J604" s="1120"/>
      <c r="K604" s="1120"/>
      <c r="L604" s="1120"/>
      <c r="O604" s="140" t="s">
        <v>220</v>
      </c>
      <c r="P604" s="1152"/>
      <c r="Q604" s="1152"/>
      <c r="R604" s="1152"/>
      <c r="U604" s="12" t="s">
        <v>338</v>
      </c>
      <c r="Z604" s="1157"/>
      <c r="AA604" s="1120"/>
      <c r="AB604" s="1120"/>
      <c r="AC604" s="1120"/>
      <c r="AD604" s="1120"/>
      <c r="AE604" s="1120"/>
      <c r="AH604" s="140" t="s">
        <v>220</v>
      </c>
      <c r="AI604" s="1152"/>
      <c r="AJ604" s="1152"/>
      <c r="AK604" s="1152"/>
      <c r="AM604" s="58"/>
      <c r="AN604" s="58"/>
      <c r="AO604" s="58"/>
      <c r="AP604" s="58"/>
      <c r="AQ604" s="58"/>
      <c r="AR604" s="1251">
        <f t="shared" si="0"/>
        <v>0</v>
      </c>
      <c r="AS604" s="1252"/>
      <c r="AT604" s="1288">
        <f t="shared" si="1"/>
        <v>0</v>
      </c>
      <c r="AU604" s="1289"/>
      <c r="AV604" s="1251">
        <f t="shared" si="2"/>
        <v>0</v>
      </c>
      <c r="AW604" s="1252"/>
      <c r="AX604" s="1288">
        <f t="shared" si="3"/>
        <v>0</v>
      </c>
      <c r="AY604" s="1289"/>
      <c r="AZ604" s="58"/>
      <c r="BA604" s="1288">
        <f t="shared" si="4"/>
        <v>0</v>
      </c>
      <c r="BB604" s="1290"/>
      <c r="BC604" s="1290"/>
      <c r="BD604" s="1290"/>
      <c r="BE604" s="1289"/>
      <c r="BF604" s="1285">
        <f t="shared" si="5"/>
        <v>0</v>
      </c>
      <c r="BG604" s="1285"/>
      <c r="BH604" s="1285"/>
      <c r="BI604" s="1285"/>
      <c r="BJ604" s="1285"/>
      <c r="BK604" s="1285">
        <f t="shared" si="6"/>
        <v>0</v>
      </c>
      <c r="BL604" s="1285"/>
      <c r="BM604" s="1285"/>
      <c r="BN604" s="1285"/>
      <c r="BO604" s="1285"/>
      <c r="BP604" s="1285">
        <f t="shared" si="7"/>
        <v>0</v>
      </c>
      <c r="BQ604" s="1285"/>
      <c r="BR604" s="1285"/>
      <c r="BS604" s="1285"/>
      <c r="BT604" s="1285"/>
      <c r="BU604" s="1285">
        <f t="shared" si="8"/>
        <v>0</v>
      </c>
      <c r="BV604" s="1285"/>
      <c r="BW604" s="1285"/>
      <c r="BX604" s="1285"/>
      <c r="BY604" s="1285"/>
      <c r="BZ604" s="1285">
        <f t="shared" si="9"/>
        <v>0</v>
      </c>
      <c r="CA604" s="1285"/>
      <c r="CB604" s="1285"/>
      <c r="CC604" s="1285"/>
      <c r="CD604" s="1285"/>
      <c r="CE604" s="1567">
        <f t="shared" si="10"/>
        <v>0</v>
      </c>
      <c r="CF604" s="1567"/>
      <c r="CG604" s="1567"/>
      <c r="CH604" s="1567"/>
      <c r="CI604" s="1567"/>
      <c r="CJ604" s="1567">
        <f t="shared" si="11"/>
        <v>0</v>
      </c>
      <c r="CK604" s="1567"/>
      <c r="CL604" s="1567"/>
      <c r="CM604" s="1567"/>
      <c r="CN604" s="1567"/>
      <c r="CO604" s="1567">
        <f t="shared" si="12"/>
        <v>0</v>
      </c>
      <c r="CP604" s="1567"/>
      <c r="CQ604" s="1567"/>
      <c r="CR604" s="1567"/>
      <c r="CS604" s="1567"/>
      <c r="CT604" s="1567">
        <f t="shared" si="13"/>
        <v>0</v>
      </c>
      <c r="CU604" s="1567"/>
      <c r="CV604" s="1567"/>
      <c r="CW604" s="1567"/>
      <c r="CX604" s="1567"/>
      <c r="CY604" s="1567">
        <f t="shared" si="14"/>
        <v>0</v>
      </c>
      <c r="CZ604" s="1567"/>
      <c r="DA604" s="1567"/>
      <c r="DB604" s="1567"/>
      <c r="DC604" s="1567"/>
      <c r="DD604" s="1567">
        <f t="shared" si="15"/>
        <v>0</v>
      </c>
      <c r="DE604" s="1567"/>
      <c r="DF604" s="1567"/>
      <c r="DG604" s="1567"/>
      <c r="DH604" s="1567"/>
    </row>
    <row r="605" spans="1:112" ht="13.2">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1">
        <f t="shared" si="0"/>
        <v>0</v>
      </c>
      <c r="AS605" s="1252"/>
      <c r="AT605" s="1288">
        <f t="shared" si="1"/>
        <v>0</v>
      </c>
      <c r="AU605" s="1289"/>
      <c r="AV605" s="1251">
        <f t="shared" si="2"/>
        <v>0</v>
      </c>
      <c r="AW605" s="1252"/>
      <c r="AX605" s="1288">
        <f t="shared" si="3"/>
        <v>0</v>
      </c>
      <c r="AY605" s="1289"/>
      <c r="AZ605" s="58"/>
      <c r="BA605" s="1288">
        <f t="shared" si="4"/>
        <v>0</v>
      </c>
      <c r="BB605" s="1290"/>
      <c r="BC605" s="1290"/>
      <c r="BD605" s="1290"/>
      <c r="BE605" s="1289"/>
      <c r="BF605" s="1285">
        <f t="shared" si="5"/>
        <v>0</v>
      </c>
      <c r="BG605" s="1285"/>
      <c r="BH605" s="1285"/>
      <c r="BI605" s="1285"/>
      <c r="BJ605" s="1285"/>
      <c r="BK605" s="1285">
        <f t="shared" si="6"/>
        <v>0</v>
      </c>
      <c r="BL605" s="1285"/>
      <c r="BM605" s="1285"/>
      <c r="BN605" s="1285"/>
      <c r="BO605" s="1285"/>
      <c r="BP605" s="1285">
        <f t="shared" si="7"/>
        <v>0</v>
      </c>
      <c r="BQ605" s="1285"/>
      <c r="BR605" s="1285"/>
      <c r="BS605" s="1285"/>
      <c r="BT605" s="1285"/>
      <c r="BU605" s="1285">
        <f t="shared" si="8"/>
        <v>0</v>
      </c>
      <c r="BV605" s="1285"/>
      <c r="BW605" s="1285"/>
      <c r="BX605" s="1285"/>
      <c r="BY605" s="1285"/>
      <c r="BZ605" s="1285">
        <f t="shared" si="9"/>
        <v>0</v>
      </c>
      <c r="CA605" s="1285"/>
      <c r="CB605" s="1285"/>
      <c r="CC605" s="1285"/>
      <c r="CD605" s="1285"/>
      <c r="CE605" s="1567">
        <f t="shared" si="10"/>
        <v>0</v>
      </c>
      <c r="CF605" s="1567"/>
      <c r="CG605" s="1567"/>
      <c r="CH605" s="1567"/>
      <c r="CI605" s="1567"/>
      <c r="CJ605" s="1567">
        <f t="shared" si="11"/>
        <v>0</v>
      </c>
      <c r="CK605" s="1567"/>
      <c r="CL605" s="1567"/>
      <c r="CM605" s="1567"/>
      <c r="CN605" s="1567"/>
      <c r="CO605" s="1567">
        <f t="shared" si="12"/>
        <v>0</v>
      </c>
      <c r="CP605" s="1567"/>
      <c r="CQ605" s="1567"/>
      <c r="CR605" s="1567"/>
      <c r="CS605" s="1567"/>
      <c r="CT605" s="1567">
        <f t="shared" si="13"/>
        <v>0</v>
      </c>
      <c r="CU605" s="1567"/>
      <c r="CV605" s="1567"/>
      <c r="CW605" s="1567"/>
      <c r="CX605" s="1567"/>
      <c r="CY605" s="1567">
        <f t="shared" si="14"/>
        <v>0</v>
      </c>
      <c r="CZ605" s="1567"/>
      <c r="DA605" s="1567"/>
      <c r="DB605" s="1567"/>
      <c r="DC605" s="1567"/>
      <c r="DD605" s="1567">
        <f t="shared" si="15"/>
        <v>0</v>
      </c>
      <c r="DE605" s="1567"/>
      <c r="DF605" s="1567"/>
      <c r="DG605" s="1567"/>
      <c r="DH605" s="1567"/>
    </row>
    <row r="606" spans="1:112" ht="13.2">
      <c r="B606" s="12" t="s">
        <v>22</v>
      </c>
      <c r="N606" s="1114" t="s">
        <v>722</v>
      </c>
      <c r="O606" s="1114"/>
      <c r="U606" s="12" t="s">
        <v>22</v>
      </c>
      <c r="AG606" s="1114" t="s">
        <v>722</v>
      </c>
      <c r="AH606" s="1114"/>
      <c r="AM606" s="58"/>
      <c r="AN606" s="58"/>
      <c r="AO606" s="58"/>
      <c r="AP606" s="58"/>
      <c r="AQ606" s="58"/>
      <c r="AR606" s="1251">
        <f t="shared" si="0"/>
        <v>0</v>
      </c>
      <c r="AS606" s="1252"/>
      <c r="AT606" s="1288">
        <f t="shared" si="1"/>
        <v>0</v>
      </c>
      <c r="AU606" s="1289"/>
      <c r="AV606" s="1251">
        <f t="shared" si="2"/>
        <v>0</v>
      </c>
      <c r="AW606" s="1252"/>
      <c r="AX606" s="1288">
        <f t="shared" si="3"/>
        <v>0</v>
      </c>
      <c r="AY606" s="1289"/>
      <c r="AZ606" s="58"/>
      <c r="BA606" s="1288">
        <f t="shared" si="4"/>
        <v>0</v>
      </c>
      <c r="BB606" s="1290"/>
      <c r="BC606" s="1290"/>
      <c r="BD606" s="1290"/>
      <c r="BE606" s="1289"/>
      <c r="BF606" s="1285">
        <f t="shared" si="5"/>
        <v>0</v>
      </c>
      <c r="BG606" s="1285"/>
      <c r="BH606" s="1285"/>
      <c r="BI606" s="1285"/>
      <c r="BJ606" s="1285"/>
      <c r="BK606" s="1285">
        <f t="shared" si="6"/>
        <v>0</v>
      </c>
      <c r="BL606" s="1285"/>
      <c r="BM606" s="1285"/>
      <c r="BN606" s="1285"/>
      <c r="BO606" s="1285"/>
      <c r="BP606" s="1285">
        <f t="shared" si="7"/>
        <v>0</v>
      </c>
      <c r="BQ606" s="1285"/>
      <c r="BR606" s="1285"/>
      <c r="BS606" s="1285"/>
      <c r="BT606" s="1285"/>
      <c r="BU606" s="1285">
        <f t="shared" si="8"/>
        <v>0</v>
      </c>
      <c r="BV606" s="1285"/>
      <c r="BW606" s="1285"/>
      <c r="BX606" s="1285"/>
      <c r="BY606" s="1285"/>
      <c r="BZ606" s="1285">
        <f t="shared" si="9"/>
        <v>0</v>
      </c>
      <c r="CA606" s="1285"/>
      <c r="CB606" s="1285"/>
      <c r="CC606" s="1285"/>
      <c r="CD606" s="1285"/>
      <c r="CE606" s="1567">
        <f t="shared" si="10"/>
        <v>0</v>
      </c>
      <c r="CF606" s="1567"/>
      <c r="CG606" s="1567"/>
      <c r="CH606" s="1567"/>
      <c r="CI606" s="1567"/>
      <c r="CJ606" s="1567">
        <f t="shared" si="11"/>
        <v>0</v>
      </c>
      <c r="CK606" s="1567"/>
      <c r="CL606" s="1567"/>
      <c r="CM606" s="1567"/>
      <c r="CN606" s="1567"/>
      <c r="CO606" s="1567">
        <f t="shared" si="12"/>
        <v>0</v>
      </c>
      <c r="CP606" s="1567"/>
      <c r="CQ606" s="1567"/>
      <c r="CR606" s="1567"/>
      <c r="CS606" s="1567"/>
      <c r="CT606" s="1567">
        <f t="shared" si="13"/>
        <v>0</v>
      </c>
      <c r="CU606" s="1567"/>
      <c r="CV606" s="1567"/>
      <c r="CW606" s="1567"/>
      <c r="CX606" s="1567"/>
      <c r="CY606" s="1567">
        <f t="shared" si="14"/>
        <v>0</v>
      </c>
      <c r="CZ606" s="1567"/>
      <c r="DA606" s="1567"/>
      <c r="DB606" s="1567"/>
      <c r="DC606" s="1567"/>
      <c r="DD606" s="1567">
        <f t="shared" si="15"/>
        <v>0</v>
      </c>
      <c r="DE606" s="1567"/>
      <c r="DF606" s="1567"/>
      <c r="DG606" s="1567"/>
      <c r="DH606" s="1567"/>
    </row>
    <row r="607" spans="1:112" ht="13.2">
      <c r="AM607" s="58"/>
      <c r="AN607" s="58"/>
      <c r="AO607" s="58"/>
      <c r="AP607" s="58"/>
      <c r="AQ607" s="58"/>
      <c r="AR607" s="1251">
        <f t="shared" si="0"/>
        <v>0</v>
      </c>
      <c r="AS607" s="1252"/>
      <c r="AT607" s="1288">
        <f t="shared" si="1"/>
        <v>0</v>
      </c>
      <c r="AU607" s="1289"/>
      <c r="AV607" s="1251">
        <f t="shared" si="2"/>
        <v>0</v>
      </c>
      <c r="AW607" s="1252"/>
      <c r="AX607" s="1288">
        <f t="shared" si="3"/>
        <v>0</v>
      </c>
      <c r="AY607" s="1289"/>
      <c r="AZ607" s="58"/>
      <c r="BA607" s="1288">
        <f t="shared" si="4"/>
        <v>0</v>
      </c>
      <c r="BB607" s="1290"/>
      <c r="BC607" s="1290"/>
      <c r="BD607" s="1290"/>
      <c r="BE607" s="1289"/>
      <c r="BF607" s="1285">
        <f t="shared" si="5"/>
        <v>0</v>
      </c>
      <c r="BG607" s="1285"/>
      <c r="BH607" s="1285"/>
      <c r="BI607" s="1285"/>
      <c r="BJ607" s="1285"/>
      <c r="BK607" s="1285">
        <f t="shared" si="6"/>
        <v>0</v>
      </c>
      <c r="BL607" s="1285"/>
      <c r="BM607" s="1285"/>
      <c r="BN607" s="1285"/>
      <c r="BO607" s="1285"/>
      <c r="BP607" s="1285">
        <f t="shared" si="7"/>
        <v>0</v>
      </c>
      <c r="BQ607" s="1285"/>
      <c r="BR607" s="1285"/>
      <c r="BS607" s="1285"/>
      <c r="BT607" s="1285"/>
      <c r="BU607" s="1285">
        <f t="shared" si="8"/>
        <v>0</v>
      </c>
      <c r="BV607" s="1285"/>
      <c r="BW607" s="1285"/>
      <c r="BX607" s="1285"/>
      <c r="BY607" s="1285"/>
      <c r="BZ607" s="1285">
        <f t="shared" si="9"/>
        <v>0</v>
      </c>
      <c r="CA607" s="1285"/>
      <c r="CB607" s="1285"/>
      <c r="CC607" s="1285"/>
      <c r="CD607" s="1285"/>
      <c r="CE607" s="1567">
        <f t="shared" si="10"/>
        <v>0</v>
      </c>
      <c r="CF607" s="1567"/>
      <c r="CG607" s="1567"/>
      <c r="CH607" s="1567"/>
      <c r="CI607" s="1567"/>
      <c r="CJ607" s="1567">
        <f t="shared" si="11"/>
        <v>0</v>
      </c>
      <c r="CK607" s="1567"/>
      <c r="CL607" s="1567"/>
      <c r="CM607" s="1567"/>
      <c r="CN607" s="1567"/>
      <c r="CO607" s="1567">
        <f t="shared" si="12"/>
        <v>0</v>
      </c>
      <c r="CP607" s="1567"/>
      <c r="CQ607" s="1567"/>
      <c r="CR607" s="1567"/>
      <c r="CS607" s="1567"/>
      <c r="CT607" s="1567">
        <f t="shared" si="13"/>
        <v>0</v>
      </c>
      <c r="CU607" s="1567"/>
      <c r="CV607" s="1567"/>
      <c r="CW607" s="1567"/>
      <c r="CX607" s="1567"/>
      <c r="CY607" s="1567">
        <f t="shared" si="14"/>
        <v>0</v>
      </c>
      <c r="CZ607" s="1567"/>
      <c r="DA607" s="1567"/>
      <c r="DB607" s="1567"/>
      <c r="DC607" s="1567"/>
      <c r="DD607" s="1567">
        <f t="shared" si="15"/>
        <v>0</v>
      </c>
      <c r="DE607" s="1567"/>
      <c r="DF607" s="1567"/>
      <c r="DG607" s="1567"/>
      <c r="DH607" s="1567"/>
    </row>
    <row r="608" spans="1:112" ht="13.2">
      <c r="A608" s="1300" t="s">
        <v>590</v>
      </c>
      <c r="B608" s="1300"/>
      <c r="C608" s="1300"/>
      <c r="D608" s="1300"/>
      <c r="E608" s="1300"/>
      <c r="F608" s="1300"/>
      <c r="G608" s="1300"/>
      <c r="H608" s="1300"/>
      <c r="I608" s="1300"/>
      <c r="J608" s="1300"/>
      <c r="K608" s="1300"/>
      <c r="L608" s="1300"/>
      <c r="M608" s="1300"/>
      <c r="N608" s="1300"/>
      <c r="O608" s="1300"/>
      <c r="P608" s="1300"/>
      <c r="Q608" s="1300"/>
      <c r="R608" s="1300"/>
      <c r="S608" s="1300"/>
      <c r="T608" s="1300"/>
      <c r="U608" s="1300"/>
      <c r="V608" s="1300"/>
      <c r="W608" s="1300"/>
      <c r="X608" s="1300"/>
      <c r="Y608" s="1300"/>
      <c r="Z608" s="1300"/>
      <c r="AA608" s="1300"/>
      <c r="AB608" s="1300"/>
      <c r="AC608" s="1300"/>
      <c r="AD608" s="1300"/>
      <c r="AE608" s="1300"/>
      <c r="AF608" s="1300"/>
      <c r="AG608" s="1300"/>
      <c r="AH608" s="1300"/>
      <c r="AI608" s="1300"/>
      <c r="AJ608" s="1300"/>
      <c r="AK608" s="1300"/>
      <c r="AL608" s="1300"/>
      <c r="AM608" s="58"/>
      <c r="AN608" s="58"/>
      <c r="AO608" s="58"/>
      <c r="AP608" s="58"/>
      <c r="AQ608" s="58"/>
      <c r="AR608" s="1251">
        <f t="shared" si="0"/>
        <v>0</v>
      </c>
      <c r="AS608" s="1252"/>
      <c r="AT608" s="1288">
        <f t="shared" si="1"/>
        <v>0</v>
      </c>
      <c r="AU608" s="1289"/>
      <c r="AV608" s="1251">
        <f t="shared" si="2"/>
        <v>0</v>
      </c>
      <c r="AW608" s="1252"/>
      <c r="AX608" s="1288">
        <f t="shared" si="3"/>
        <v>0</v>
      </c>
      <c r="AY608" s="1289"/>
      <c r="AZ608" s="58"/>
      <c r="BA608" s="1288">
        <f t="shared" si="4"/>
        <v>0</v>
      </c>
      <c r="BB608" s="1290"/>
      <c r="BC608" s="1290"/>
      <c r="BD608" s="1290"/>
      <c r="BE608" s="1289"/>
      <c r="BF608" s="1285">
        <f t="shared" si="5"/>
        <v>0</v>
      </c>
      <c r="BG608" s="1285"/>
      <c r="BH608" s="1285"/>
      <c r="BI608" s="1285"/>
      <c r="BJ608" s="1285"/>
      <c r="BK608" s="1285">
        <f t="shared" si="6"/>
        <v>0</v>
      </c>
      <c r="BL608" s="1285"/>
      <c r="BM608" s="1285"/>
      <c r="BN608" s="1285"/>
      <c r="BO608" s="1285"/>
      <c r="BP608" s="1285">
        <f t="shared" si="7"/>
        <v>0</v>
      </c>
      <c r="BQ608" s="1285"/>
      <c r="BR608" s="1285"/>
      <c r="BS608" s="1285"/>
      <c r="BT608" s="1285"/>
      <c r="BU608" s="1285">
        <f t="shared" si="8"/>
        <v>0</v>
      </c>
      <c r="BV608" s="1285"/>
      <c r="BW608" s="1285"/>
      <c r="BX608" s="1285"/>
      <c r="BY608" s="1285"/>
      <c r="BZ608" s="1285">
        <f t="shared" si="9"/>
        <v>0</v>
      </c>
      <c r="CA608" s="1285"/>
      <c r="CB608" s="1285"/>
      <c r="CC608" s="1285"/>
      <c r="CD608" s="1285"/>
      <c r="CE608" s="1567">
        <f t="shared" si="10"/>
        <v>0</v>
      </c>
      <c r="CF608" s="1567"/>
      <c r="CG608" s="1567"/>
      <c r="CH608" s="1567"/>
      <c r="CI608" s="1567"/>
      <c r="CJ608" s="1567">
        <f t="shared" si="11"/>
        <v>0</v>
      </c>
      <c r="CK608" s="1567"/>
      <c r="CL608" s="1567"/>
      <c r="CM608" s="1567"/>
      <c r="CN608" s="1567"/>
      <c r="CO608" s="1567">
        <f t="shared" si="12"/>
        <v>0</v>
      </c>
      <c r="CP608" s="1567"/>
      <c r="CQ608" s="1567"/>
      <c r="CR608" s="1567"/>
      <c r="CS608" s="1567"/>
      <c r="CT608" s="1567">
        <f t="shared" si="13"/>
        <v>0</v>
      </c>
      <c r="CU608" s="1567"/>
      <c r="CV608" s="1567"/>
      <c r="CW608" s="1567"/>
      <c r="CX608" s="1567"/>
      <c r="CY608" s="1567">
        <f t="shared" si="14"/>
        <v>0</v>
      </c>
      <c r="CZ608" s="1567"/>
      <c r="DA608" s="1567"/>
      <c r="DB608" s="1567"/>
      <c r="DC608" s="1567"/>
      <c r="DD608" s="1567">
        <f t="shared" si="15"/>
        <v>0</v>
      </c>
      <c r="DE608" s="1567"/>
      <c r="DF608" s="1567"/>
      <c r="DG608" s="1567"/>
      <c r="DH608" s="1567"/>
    </row>
    <row r="609" spans="1:112" ht="13.8"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1">
        <f t="shared" si="0"/>
        <v>0</v>
      </c>
      <c r="AS609" s="1252"/>
      <c r="AT609" s="1288">
        <f t="shared" si="1"/>
        <v>0</v>
      </c>
      <c r="AU609" s="1289"/>
      <c r="AV609" s="1251">
        <f t="shared" si="2"/>
        <v>0</v>
      </c>
      <c r="AW609" s="1252"/>
      <c r="AX609" s="1288">
        <f t="shared" si="3"/>
        <v>0</v>
      </c>
      <c r="AY609" s="1289"/>
      <c r="AZ609" s="58"/>
      <c r="BA609" s="1288">
        <f t="shared" si="4"/>
        <v>0</v>
      </c>
      <c r="BB609" s="1290"/>
      <c r="BC609" s="1290"/>
      <c r="BD609" s="1290"/>
      <c r="BE609" s="1289"/>
      <c r="BF609" s="1285">
        <f t="shared" si="5"/>
        <v>0</v>
      </c>
      <c r="BG609" s="1285"/>
      <c r="BH609" s="1285"/>
      <c r="BI609" s="1285"/>
      <c r="BJ609" s="1285"/>
      <c r="BK609" s="1285">
        <f t="shared" si="6"/>
        <v>0</v>
      </c>
      <c r="BL609" s="1285"/>
      <c r="BM609" s="1285"/>
      <c r="BN609" s="1285"/>
      <c r="BO609" s="1285"/>
      <c r="BP609" s="1285">
        <f t="shared" si="7"/>
        <v>0</v>
      </c>
      <c r="BQ609" s="1285"/>
      <c r="BR609" s="1285"/>
      <c r="BS609" s="1285"/>
      <c r="BT609" s="1285"/>
      <c r="BU609" s="1285">
        <f t="shared" si="8"/>
        <v>0</v>
      </c>
      <c r="BV609" s="1285"/>
      <c r="BW609" s="1285"/>
      <c r="BX609" s="1285"/>
      <c r="BY609" s="1285"/>
      <c r="BZ609" s="1285">
        <f t="shared" si="9"/>
        <v>0</v>
      </c>
      <c r="CA609" s="1285"/>
      <c r="CB609" s="1285"/>
      <c r="CC609" s="1285"/>
      <c r="CD609" s="1285"/>
      <c r="CE609" s="1567">
        <f t="shared" si="10"/>
        <v>0</v>
      </c>
      <c r="CF609" s="1567"/>
      <c r="CG609" s="1567"/>
      <c r="CH609" s="1567"/>
      <c r="CI609" s="1567"/>
      <c r="CJ609" s="1567">
        <f t="shared" si="11"/>
        <v>0</v>
      </c>
      <c r="CK609" s="1567"/>
      <c r="CL609" s="1567"/>
      <c r="CM609" s="1567"/>
      <c r="CN609" s="1567"/>
      <c r="CO609" s="1567">
        <f t="shared" si="12"/>
        <v>0</v>
      </c>
      <c r="CP609" s="1567"/>
      <c r="CQ609" s="1567"/>
      <c r="CR609" s="1567"/>
      <c r="CS609" s="1567"/>
      <c r="CT609" s="1567">
        <f t="shared" si="13"/>
        <v>0</v>
      </c>
      <c r="CU609" s="1567"/>
      <c r="CV609" s="1567"/>
      <c r="CW609" s="1567"/>
      <c r="CX609" s="1567"/>
      <c r="CY609" s="1567">
        <f t="shared" si="14"/>
        <v>0</v>
      </c>
      <c r="CZ609" s="1567"/>
      <c r="DA609" s="1567"/>
      <c r="DB609" s="1567"/>
      <c r="DC609" s="1567"/>
      <c r="DD609" s="1567">
        <f t="shared" si="15"/>
        <v>0</v>
      </c>
      <c r="DE609" s="1567"/>
      <c r="DF609" s="1567"/>
      <c r="DG609" s="1567"/>
      <c r="DH609" s="1567"/>
    </row>
    <row r="610" spans="1:112" ht="13.8" thickTop="1">
      <c r="A610" s="25"/>
      <c r="B610" s="25"/>
      <c r="C610" s="25"/>
      <c r="D610" s="25"/>
      <c r="E610" s="25"/>
      <c r="F610" s="25"/>
      <c r="G610" s="3"/>
      <c r="H610" s="25"/>
      <c r="AM610" s="58"/>
      <c r="AN610" s="58"/>
      <c r="AO610" s="58"/>
      <c r="AP610" s="58"/>
      <c r="AQ610" s="58"/>
      <c r="AR610" s="1251">
        <f t="shared" si="0"/>
        <v>0</v>
      </c>
      <c r="AS610" s="1252"/>
      <c r="AT610" s="1288">
        <f t="shared" si="1"/>
        <v>0</v>
      </c>
      <c r="AU610" s="1289"/>
      <c r="AV610" s="1251">
        <f t="shared" si="2"/>
        <v>0</v>
      </c>
      <c r="AW610" s="1252"/>
      <c r="AX610" s="1288">
        <f t="shared" si="3"/>
        <v>0</v>
      </c>
      <c r="AY610" s="1289"/>
      <c r="AZ610" s="58"/>
      <c r="BA610" s="1288">
        <f t="shared" si="4"/>
        <v>0</v>
      </c>
      <c r="BB610" s="1290"/>
      <c r="BC610" s="1290"/>
      <c r="BD610" s="1290"/>
      <c r="BE610" s="1289"/>
      <c r="BF610" s="1285">
        <f t="shared" si="5"/>
        <v>0</v>
      </c>
      <c r="BG610" s="1285"/>
      <c r="BH610" s="1285"/>
      <c r="BI610" s="1285"/>
      <c r="BJ610" s="1285"/>
      <c r="BK610" s="1285">
        <f t="shared" si="6"/>
        <v>0</v>
      </c>
      <c r="BL610" s="1285"/>
      <c r="BM610" s="1285"/>
      <c r="BN610" s="1285"/>
      <c r="BO610" s="1285"/>
      <c r="BP610" s="1285">
        <f t="shared" si="7"/>
        <v>0</v>
      </c>
      <c r="BQ610" s="1285"/>
      <c r="BR610" s="1285"/>
      <c r="BS610" s="1285"/>
      <c r="BT610" s="1285"/>
      <c r="BU610" s="1285">
        <f t="shared" si="8"/>
        <v>0</v>
      </c>
      <c r="BV610" s="1285"/>
      <c r="BW610" s="1285"/>
      <c r="BX610" s="1285"/>
      <c r="BY610" s="1285"/>
      <c r="BZ610" s="1285">
        <f t="shared" si="9"/>
        <v>0</v>
      </c>
      <c r="CA610" s="1285"/>
      <c r="CB610" s="1285"/>
      <c r="CC610" s="1285"/>
      <c r="CD610" s="1285"/>
      <c r="CE610" s="1567">
        <f t="shared" si="10"/>
        <v>0</v>
      </c>
      <c r="CF610" s="1567"/>
      <c r="CG610" s="1567"/>
      <c r="CH610" s="1567"/>
      <c r="CI610" s="1567"/>
      <c r="CJ610" s="1567">
        <f t="shared" si="11"/>
        <v>0</v>
      </c>
      <c r="CK610" s="1567"/>
      <c r="CL610" s="1567"/>
      <c r="CM610" s="1567"/>
      <c r="CN610" s="1567"/>
      <c r="CO610" s="1567">
        <f t="shared" si="12"/>
        <v>0</v>
      </c>
      <c r="CP610" s="1567"/>
      <c r="CQ610" s="1567"/>
      <c r="CR610" s="1567"/>
      <c r="CS610" s="1567"/>
      <c r="CT610" s="1567">
        <f t="shared" si="13"/>
        <v>0</v>
      </c>
      <c r="CU610" s="1567"/>
      <c r="CV610" s="1567"/>
      <c r="CW610" s="1567"/>
      <c r="CX610" s="1567"/>
      <c r="CY610" s="1567">
        <f t="shared" si="14"/>
        <v>0</v>
      </c>
      <c r="CZ610" s="1567"/>
      <c r="DA610" s="1567"/>
      <c r="DB610" s="1567"/>
      <c r="DC610" s="1567"/>
      <c r="DD610" s="1567">
        <f t="shared" si="15"/>
        <v>0</v>
      </c>
      <c r="DE610" s="1567"/>
      <c r="DF610" s="1567"/>
      <c r="DG610" s="1567"/>
      <c r="DH610" s="1567"/>
    </row>
    <row r="611" spans="1:112" ht="13.2">
      <c r="A611" s="50" t="s">
        <v>341</v>
      </c>
      <c r="B611" s="50"/>
      <c r="C611" s="50" t="s">
        <v>23</v>
      </c>
      <c r="AM611" s="58"/>
      <c r="AN611" s="58"/>
      <c r="AO611" s="58"/>
      <c r="AP611" s="58"/>
      <c r="AQ611" s="58"/>
      <c r="AR611" s="1251">
        <f t="shared" si="0"/>
        <v>0</v>
      </c>
      <c r="AS611" s="1252"/>
      <c r="AT611" s="1288">
        <f t="shared" si="1"/>
        <v>0</v>
      </c>
      <c r="AU611" s="1289"/>
      <c r="AV611" s="1251">
        <f t="shared" si="2"/>
        <v>0</v>
      </c>
      <c r="AW611" s="1252"/>
      <c r="AX611" s="1288">
        <f t="shared" si="3"/>
        <v>0</v>
      </c>
      <c r="AY611" s="1289"/>
      <c r="AZ611" s="58"/>
      <c r="BA611" s="1288">
        <f t="shared" si="4"/>
        <v>0</v>
      </c>
      <c r="BB611" s="1290"/>
      <c r="BC611" s="1290"/>
      <c r="BD611" s="1290"/>
      <c r="BE611" s="1289"/>
      <c r="BF611" s="1285">
        <f t="shared" si="5"/>
        <v>0</v>
      </c>
      <c r="BG611" s="1285"/>
      <c r="BH611" s="1285"/>
      <c r="BI611" s="1285"/>
      <c r="BJ611" s="1285"/>
      <c r="BK611" s="1285">
        <f t="shared" si="6"/>
        <v>0</v>
      </c>
      <c r="BL611" s="1285"/>
      <c r="BM611" s="1285"/>
      <c r="BN611" s="1285"/>
      <c r="BO611" s="1285"/>
      <c r="BP611" s="1285">
        <f t="shared" si="7"/>
        <v>0</v>
      </c>
      <c r="BQ611" s="1285"/>
      <c r="BR611" s="1285"/>
      <c r="BS611" s="1285"/>
      <c r="BT611" s="1285"/>
      <c r="BU611" s="1285">
        <f t="shared" si="8"/>
        <v>0</v>
      </c>
      <c r="BV611" s="1285"/>
      <c r="BW611" s="1285"/>
      <c r="BX611" s="1285"/>
      <c r="BY611" s="1285"/>
      <c r="BZ611" s="1285">
        <f t="shared" si="9"/>
        <v>0</v>
      </c>
      <c r="CA611" s="1285"/>
      <c r="CB611" s="1285"/>
      <c r="CC611" s="1285"/>
      <c r="CD611" s="1285"/>
      <c r="CE611" s="1567">
        <f t="shared" si="10"/>
        <v>0</v>
      </c>
      <c r="CF611" s="1567"/>
      <c r="CG611" s="1567"/>
      <c r="CH611" s="1567"/>
      <c r="CI611" s="1567"/>
      <c r="CJ611" s="1567">
        <f t="shared" si="11"/>
        <v>0</v>
      </c>
      <c r="CK611" s="1567"/>
      <c r="CL611" s="1567"/>
      <c r="CM611" s="1567"/>
      <c r="CN611" s="1567"/>
      <c r="CO611" s="1567">
        <f t="shared" si="12"/>
        <v>0</v>
      </c>
      <c r="CP611" s="1567"/>
      <c r="CQ611" s="1567"/>
      <c r="CR611" s="1567"/>
      <c r="CS611" s="1567"/>
      <c r="CT611" s="1567">
        <f t="shared" si="13"/>
        <v>0</v>
      </c>
      <c r="CU611" s="1567"/>
      <c r="CV611" s="1567"/>
      <c r="CW611" s="1567"/>
      <c r="CX611" s="1567"/>
      <c r="CY611" s="1567">
        <f t="shared" si="14"/>
        <v>0</v>
      </c>
      <c r="CZ611" s="1567"/>
      <c r="DA611" s="1567"/>
      <c r="DB611" s="1567"/>
      <c r="DC611" s="1567"/>
      <c r="DD611" s="1567">
        <f t="shared" si="15"/>
        <v>0</v>
      </c>
      <c r="DE611" s="1567"/>
      <c r="DF611" s="1567"/>
      <c r="DG611" s="1567"/>
      <c r="DH611" s="1567"/>
    </row>
    <row r="612" spans="1:112" ht="13.2">
      <c r="A612" s="50"/>
      <c r="B612" s="50"/>
      <c r="C612" s="50"/>
      <c r="AM612" s="58"/>
      <c r="AN612" s="58"/>
      <c r="AO612" s="58"/>
      <c r="AP612" s="58"/>
      <c r="AQ612" s="58"/>
      <c r="AR612" s="1251">
        <f t="shared" si="0"/>
        <v>0</v>
      </c>
      <c r="AS612" s="1252"/>
      <c r="AT612" s="1288">
        <f t="shared" si="1"/>
        <v>0</v>
      </c>
      <c r="AU612" s="1289"/>
      <c r="AV612" s="1251">
        <f t="shared" si="2"/>
        <v>0</v>
      </c>
      <c r="AW612" s="1252"/>
      <c r="AX612" s="1288">
        <f t="shared" si="3"/>
        <v>0</v>
      </c>
      <c r="AY612" s="1289"/>
      <c r="AZ612" s="58"/>
      <c r="BA612" s="1288">
        <f t="shared" si="4"/>
        <v>0</v>
      </c>
      <c r="BB612" s="1290"/>
      <c r="BC612" s="1290"/>
      <c r="BD612" s="1290"/>
      <c r="BE612" s="1289"/>
      <c r="BF612" s="1285">
        <f t="shared" si="5"/>
        <v>0</v>
      </c>
      <c r="BG612" s="1285"/>
      <c r="BH612" s="1285"/>
      <c r="BI612" s="1285"/>
      <c r="BJ612" s="1285"/>
      <c r="BK612" s="1285">
        <f t="shared" si="6"/>
        <v>0</v>
      </c>
      <c r="BL612" s="1285"/>
      <c r="BM612" s="1285"/>
      <c r="BN612" s="1285"/>
      <c r="BO612" s="1285"/>
      <c r="BP612" s="1285">
        <f t="shared" si="7"/>
        <v>0</v>
      </c>
      <c r="BQ612" s="1285"/>
      <c r="BR612" s="1285"/>
      <c r="BS612" s="1285"/>
      <c r="BT612" s="1285"/>
      <c r="BU612" s="1285">
        <f t="shared" si="8"/>
        <v>0</v>
      </c>
      <c r="BV612" s="1285"/>
      <c r="BW612" s="1285"/>
      <c r="BX612" s="1285"/>
      <c r="BY612" s="1285"/>
      <c r="BZ612" s="1285">
        <f t="shared" si="9"/>
        <v>0</v>
      </c>
      <c r="CA612" s="1285"/>
      <c r="CB612" s="1285"/>
      <c r="CC612" s="1285"/>
      <c r="CD612" s="1285"/>
      <c r="CE612" s="1567">
        <f t="shared" si="10"/>
        <v>0</v>
      </c>
      <c r="CF612" s="1567"/>
      <c r="CG612" s="1567"/>
      <c r="CH612" s="1567"/>
      <c r="CI612" s="1567"/>
      <c r="CJ612" s="1567">
        <f t="shared" si="11"/>
        <v>0</v>
      </c>
      <c r="CK612" s="1567"/>
      <c r="CL612" s="1567"/>
      <c r="CM612" s="1567"/>
      <c r="CN612" s="1567"/>
      <c r="CO612" s="1567">
        <f t="shared" si="12"/>
        <v>0</v>
      </c>
      <c r="CP612" s="1567"/>
      <c r="CQ612" s="1567"/>
      <c r="CR612" s="1567"/>
      <c r="CS612" s="1567"/>
      <c r="CT612" s="1567">
        <f t="shared" si="13"/>
        <v>0</v>
      </c>
      <c r="CU612" s="1567"/>
      <c r="CV612" s="1567"/>
      <c r="CW612" s="1567"/>
      <c r="CX612" s="1567"/>
      <c r="CY612" s="1567">
        <f t="shared" si="14"/>
        <v>0</v>
      </c>
      <c r="CZ612" s="1567"/>
      <c r="DA612" s="1567"/>
      <c r="DB612" s="1567"/>
      <c r="DC612" s="1567"/>
      <c r="DD612" s="1567">
        <f t="shared" si="15"/>
        <v>0</v>
      </c>
      <c r="DE612" s="1567"/>
      <c r="DF612" s="1567"/>
      <c r="DG612" s="1567"/>
      <c r="DH612" s="1567"/>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0"/>
        <v>0</v>
      </c>
      <c r="AS613" s="1252"/>
      <c r="AT613" s="1288">
        <f t="shared" si="1"/>
        <v>0</v>
      </c>
      <c r="AU613" s="1289"/>
      <c r="AV613" s="1251">
        <f t="shared" si="2"/>
        <v>0</v>
      </c>
      <c r="AW613" s="1252"/>
      <c r="AX613" s="1288">
        <f t="shared" si="3"/>
        <v>0</v>
      </c>
      <c r="AY613" s="1289"/>
      <c r="AZ613" s="58"/>
      <c r="BA613" s="1288">
        <f t="shared" si="4"/>
        <v>0</v>
      </c>
      <c r="BB613" s="1290"/>
      <c r="BC613" s="1290"/>
      <c r="BD613" s="1290"/>
      <c r="BE613" s="1289"/>
      <c r="BF613" s="1285">
        <f t="shared" si="5"/>
        <v>0</v>
      </c>
      <c r="BG613" s="1285"/>
      <c r="BH613" s="1285"/>
      <c r="BI613" s="1285"/>
      <c r="BJ613" s="1285"/>
      <c r="BK613" s="1285">
        <f t="shared" si="6"/>
        <v>0</v>
      </c>
      <c r="BL613" s="1285"/>
      <c r="BM613" s="1285"/>
      <c r="BN613" s="1285"/>
      <c r="BO613" s="1285"/>
      <c r="BP613" s="1285">
        <f t="shared" si="7"/>
        <v>0</v>
      </c>
      <c r="BQ613" s="1285"/>
      <c r="BR613" s="1285"/>
      <c r="BS613" s="1285"/>
      <c r="BT613" s="1285"/>
      <c r="BU613" s="1285">
        <f t="shared" si="8"/>
        <v>0</v>
      </c>
      <c r="BV613" s="1285"/>
      <c r="BW613" s="1285"/>
      <c r="BX613" s="1285"/>
      <c r="BY613" s="1285"/>
      <c r="BZ613" s="1285">
        <f t="shared" si="9"/>
        <v>0</v>
      </c>
      <c r="CA613" s="1285"/>
      <c r="CB613" s="1285"/>
      <c r="CC613" s="1285"/>
      <c r="CD613" s="1285"/>
      <c r="CE613" s="1567">
        <f t="shared" si="10"/>
        <v>0</v>
      </c>
      <c r="CF613" s="1567"/>
      <c r="CG613" s="1567"/>
      <c r="CH613" s="1567"/>
      <c r="CI613" s="1567"/>
      <c r="CJ613" s="1567">
        <f t="shared" si="11"/>
        <v>0</v>
      </c>
      <c r="CK613" s="1567"/>
      <c r="CL613" s="1567"/>
      <c r="CM613" s="1567"/>
      <c r="CN613" s="1567"/>
      <c r="CO613" s="1567">
        <f t="shared" si="12"/>
        <v>0</v>
      </c>
      <c r="CP613" s="1567"/>
      <c r="CQ613" s="1567"/>
      <c r="CR613" s="1567"/>
      <c r="CS613" s="1567"/>
      <c r="CT613" s="1567">
        <f t="shared" si="13"/>
        <v>0</v>
      </c>
      <c r="CU613" s="1567"/>
      <c r="CV613" s="1567"/>
      <c r="CW613" s="1567"/>
      <c r="CX613" s="1567"/>
      <c r="CY613" s="1567">
        <f t="shared" si="14"/>
        <v>0</v>
      </c>
      <c r="CZ613" s="1567"/>
      <c r="DA613" s="1567"/>
      <c r="DB613" s="1567"/>
      <c r="DC613" s="1567"/>
      <c r="DD613" s="1567">
        <f t="shared" si="15"/>
        <v>0</v>
      </c>
      <c r="DE613" s="1567"/>
      <c r="DF613" s="1567"/>
      <c r="DG613" s="1567"/>
      <c r="DH613" s="1567"/>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26</v>
      </c>
      <c r="AU614" s="1252"/>
      <c r="AV614" s="58"/>
      <c r="AW614" s="58"/>
      <c r="AX614" s="1251">
        <f>SUM(AX589:AY613)</f>
        <v>32</v>
      </c>
      <c r="AY614" s="1252"/>
      <c r="AZ614" s="58"/>
      <c r="BA614" s="1251">
        <f>SUM(BA589:BE613)</f>
        <v>58</v>
      </c>
      <c r="BB614" s="1286"/>
      <c r="BC614" s="1286"/>
      <c r="BD614" s="1286"/>
      <c r="BE614" s="1252"/>
      <c r="BF614" s="1287">
        <f>SUM(BF589:BJ613)</f>
        <v>0</v>
      </c>
      <c r="BG614" s="1287"/>
      <c r="BH614" s="1287"/>
      <c r="BI614" s="1287"/>
      <c r="BJ614" s="1287"/>
      <c r="BK614" s="1287">
        <f>SUM(BK589:BO613)</f>
        <v>0</v>
      </c>
      <c r="BL614" s="1287"/>
      <c r="BM614" s="1287"/>
      <c r="BN614" s="1287"/>
      <c r="BO614" s="1287"/>
      <c r="BP614" s="1287">
        <f>SUM(BP589:BT613)</f>
        <v>0</v>
      </c>
      <c r="BQ614" s="1287"/>
      <c r="BR614" s="1287"/>
      <c r="BS614" s="1287"/>
      <c r="BT614" s="1287"/>
      <c r="BU614" s="1287">
        <f>SUM(BU589:BY613)</f>
        <v>0</v>
      </c>
      <c r="BV614" s="1287"/>
      <c r="BW614" s="1287"/>
      <c r="BX614" s="1287"/>
      <c r="BY614" s="1287"/>
      <c r="BZ614" s="1287">
        <f>SUM(BZ589:CD613)</f>
        <v>0</v>
      </c>
      <c r="CA614" s="1287"/>
      <c r="CB614" s="1287"/>
      <c r="CC614" s="1287"/>
      <c r="CD614" s="1287"/>
      <c r="CE614" s="1287">
        <f>SUM(CE589:CI613)</f>
        <v>32</v>
      </c>
      <c r="CF614" s="1287"/>
      <c r="CG614" s="1287"/>
      <c r="CH614" s="1287"/>
      <c r="CI614" s="1287"/>
      <c r="CJ614" s="1287">
        <f>SUM(CJ589:CN613)</f>
        <v>0</v>
      </c>
      <c r="CK614" s="1287"/>
      <c r="CL614" s="1287"/>
      <c r="CM614" s="1287"/>
      <c r="CN614" s="1287"/>
      <c r="CO614" s="1287">
        <f>SUM(CO589:CS613)</f>
        <v>0</v>
      </c>
      <c r="CP614" s="1287"/>
      <c r="CQ614" s="1287"/>
      <c r="CR614" s="1287"/>
      <c r="CS614" s="1287"/>
      <c r="CT614" s="1287">
        <f>SUM(CT589:CX613)</f>
        <v>0</v>
      </c>
      <c r="CU614" s="1287"/>
      <c r="CV614" s="1287"/>
      <c r="CW614" s="1287"/>
      <c r="CX614" s="1287"/>
      <c r="CY614" s="1287">
        <f>SUM(CY589:DC613)</f>
        <v>0</v>
      </c>
      <c r="CZ614" s="1287"/>
      <c r="DA614" s="1287"/>
      <c r="DB614" s="1287"/>
      <c r="DC614" s="1287"/>
      <c r="DD614" s="1287">
        <f>SUM(DD589:DH613)</f>
        <v>0</v>
      </c>
      <c r="DE614" s="1287"/>
      <c r="DF614" s="1287"/>
      <c r="DG614" s="1287"/>
      <c r="DH614" s="1287"/>
    </row>
    <row r="615" spans="1:112" ht="13.2">
      <c r="B615" s="1358" t="s">
        <v>497</v>
      </c>
      <c r="C615" s="1359"/>
      <c r="D615" s="1359"/>
      <c r="E615" s="1359"/>
      <c r="F615" s="1359"/>
      <c r="G615" s="1359"/>
      <c r="H615" s="1359"/>
      <c r="I615" s="1359"/>
      <c r="J615" s="1359"/>
      <c r="K615" s="1359"/>
      <c r="L615" s="1359"/>
      <c r="M615" s="1359"/>
      <c r="N615" s="1359"/>
      <c r="O615" s="1360"/>
      <c r="P615" s="1367" t="s">
        <v>346</v>
      </c>
      <c r="Q615" s="1368"/>
      <c r="R615" s="1369"/>
      <c r="S615" s="1276" t="s">
        <v>498</v>
      </c>
      <c r="T615" s="1277"/>
      <c r="U615" s="1278"/>
      <c r="V615" s="1143" t="s">
        <v>18</v>
      </c>
      <c r="W615" s="1143"/>
      <c r="X615" s="1143"/>
      <c r="Y615" s="1143"/>
      <c r="Z615" s="1143"/>
      <c r="AA615" s="1143"/>
      <c r="AB615" s="1143" t="s">
        <v>17</v>
      </c>
      <c r="AC615" s="1143"/>
      <c r="AD615" s="1143"/>
      <c r="AE615" s="1143"/>
      <c r="AF615" s="1143"/>
      <c r="AG615" s="1143" t="s">
        <v>499</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361"/>
      <c r="C616" s="1362"/>
      <c r="D616" s="1362"/>
      <c r="E616" s="1362"/>
      <c r="F616" s="1362"/>
      <c r="G616" s="1362"/>
      <c r="H616" s="1362"/>
      <c r="I616" s="1362"/>
      <c r="J616" s="1362"/>
      <c r="K616" s="1362"/>
      <c r="L616" s="1362"/>
      <c r="M616" s="1362"/>
      <c r="N616" s="1362"/>
      <c r="O616" s="1363"/>
      <c r="P616" s="1370"/>
      <c r="Q616" s="1371"/>
      <c r="R616" s="1372"/>
      <c r="S616" s="1279"/>
      <c r="T616" s="1280"/>
      <c r="U616" s="1281"/>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2"/>
      <c r="T617" s="1283"/>
      <c r="U617" s="1284"/>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88">
        <f>IF(J754="SRO/Studio",O754,0)</f>
        <v>0</v>
      </c>
      <c r="BB617" s="1290"/>
      <c r="BC617" s="1290"/>
      <c r="BD617" s="1290"/>
      <c r="BE617" s="1289"/>
      <c r="BF617" s="1285">
        <f>IF(J754="1 Bedroom",O754,0)</f>
        <v>0</v>
      </c>
      <c r="BG617" s="1285"/>
      <c r="BH617" s="1285"/>
      <c r="BI617" s="1285"/>
      <c r="BJ617" s="1285"/>
      <c r="BK617" s="1285">
        <f>IF(J754="2 Bedrooms",O754,0)</f>
        <v>0</v>
      </c>
      <c r="BL617" s="1285"/>
      <c r="BM617" s="1285"/>
      <c r="BN617" s="1285"/>
      <c r="BO617" s="1285"/>
      <c r="BP617" s="1285">
        <f>IF(J754="3 Bedrooms",O754,0)</f>
        <v>0</v>
      </c>
      <c r="BQ617" s="1285"/>
      <c r="BR617" s="1285"/>
      <c r="BS617" s="1285"/>
      <c r="BT617" s="1285"/>
      <c r="BU617" s="1285">
        <f>IF(J754="4 Bedrooms",O754,0)</f>
        <v>0</v>
      </c>
      <c r="BV617" s="1285"/>
      <c r="BW617" s="1285"/>
      <c r="BX617" s="1285"/>
      <c r="BY617" s="1285"/>
      <c r="BZ617" s="1285">
        <f>IF(J754="5 Bedrooms",O754,0)</f>
        <v>0</v>
      </c>
      <c r="CA617" s="1285"/>
      <c r="CB617" s="1285"/>
      <c r="CC617" s="1285"/>
      <c r="CD617" s="1285"/>
      <c r="CE617" s="58"/>
      <c r="CF617" s="58"/>
      <c r="CG617" s="58"/>
      <c r="CH617" s="58"/>
      <c r="CI617" s="58"/>
      <c r="CJ617" s="58"/>
      <c r="CK617" s="58"/>
      <c r="CL617" s="58"/>
      <c r="CM617" s="58"/>
      <c r="CN617" s="58"/>
      <c r="CO617" s="58"/>
      <c r="CP617" s="58"/>
      <c r="CQ617" s="58"/>
      <c r="CR617" s="58"/>
    </row>
    <row r="618" spans="1:112" ht="12.75" customHeight="1">
      <c r="B618" s="83" t="s">
        <v>119</v>
      </c>
      <c r="C618" s="1177" t="s">
        <v>1746</v>
      </c>
      <c r="D618" s="1307"/>
      <c r="E618" s="1307"/>
      <c r="F618" s="1307"/>
      <c r="G618" s="1307"/>
      <c r="H618" s="1307"/>
      <c r="I618" s="1307"/>
      <c r="J618" s="1307"/>
      <c r="K618" s="1307"/>
      <c r="L618" s="1307"/>
      <c r="M618" s="1307"/>
      <c r="N618" s="1307"/>
      <c r="O618" s="1308"/>
      <c r="P618" s="1116">
        <f>40*12</f>
        <v>480</v>
      </c>
      <c r="Q618" s="1117"/>
      <c r="R618" s="1118"/>
      <c r="S618" s="1266">
        <v>5.3999999999999999E-2</v>
      </c>
      <c r="T618" s="1129"/>
      <c r="U618" s="1130"/>
      <c r="V618" s="1116"/>
      <c r="W618" s="1117"/>
      <c r="X618" s="1117"/>
      <c r="Y618" s="1117"/>
      <c r="Z618" s="1117"/>
      <c r="AA618" s="1118"/>
      <c r="AB618" s="1142">
        <f>-PMT(S618/12,P618,AG618)*12</f>
        <v>236168.46728014105</v>
      </c>
      <c r="AC618" s="1142"/>
      <c r="AD618" s="1142"/>
      <c r="AE618" s="1142"/>
      <c r="AF618" s="1142"/>
      <c r="AG618" s="1142">
        <v>3866667</v>
      </c>
      <c r="AH618" s="1142"/>
      <c r="AI618" s="1142"/>
      <c r="AJ618" s="1142"/>
      <c r="AK618" s="1142"/>
      <c r="AL618" s="58"/>
      <c r="AM618" s="61"/>
      <c r="AN618" s="61"/>
      <c r="AO618" s="61"/>
      <c r="AP618" s="61"/>
      <c r="AQ618" s="61"/>
      <c r="AR618" s="61"/>
      <c r="AS618" s="61"/>
      <c r="AT618" s="61"/>
      <c r="AU618" s="61"/>
      <c r="AV618" s="61"/>
      <c r="AW618" s="61"/>
      <c r="AX618" s="61"/>
      <c r="AY618" s="61"/>
      <c r="AZ618" s="61"/>
      <c r="BA618" s="1288">
        <f>IF(J755="SRO/Studio",O755,0)</f>
        <v>0</v>
      </c>
      <c r="BB618" s="1290"/>
      <c r="BC618" s="1290"/>
      <c r="BD618" s="1290"/>
      <c r="BE618" s="1289"/>
      <c r="BF618" s="1285">
        <f>IF(J755="1 Bedroom",O755,0)</f>
        <v>0</v>
      </c>
      <c r="BG618" s="1285"/>
      <c r="BH618" s="1285"/>
      <c r="BI618" s="1285"/>
      <c r="BJ618" s="1285"/>
      <c r="BK618" s="1285">
        <f>IF(J755="2 Bedrooms",O755,0)</f>
        <v>0</v>
      </c>
      <c r="BL618" s="1285"/>
      <c r="BM618" s="1285"/>
      <c r="BN618" s="1285"/>
      <c r="BO618" s="1285"/>
      <c r="BP618" s="1285">
        <f>IF(J755="3 Bedrooms",O755,0)</f>
        <v>0</v>
      </c>
      <c r="BQ618" s="1285"/>
      <c r="BR618" s="1285"/>
      <c r="BS618" s="1285"/>
      <c r="BT618" s="1285"/>
      <c r="BU618" s="1285">
        <f>IF(J755="4 Bedrooms",O755,0)</f>
        <v>0</v>
      </c>
      <c r="BV618" s="1285"/>
      <c r="BW618" s="1285"/>
      <c r="BX618" s="1285"/>
      <c r="BY618" s="1285"/>
      <c r="BZ618" s="1285">
        <f>IF(J755="5 Bedrooms",O755,0)</f>
        <v>0</v>
      </c>
      <c r="CA618" s="1285"/>
      <c r="CB618" s="1285"/>
      <c r="CC618" s="1285"/>
      <c r="CD618" s="1285"/>
      <c r="CE618" s="58"/>
      <c r="CF618" s="58"/>
      <c r="CG618" s="58"/>
      <c r="CH618" s="58"/>
      <c r="CI618" s="58"/>
      <c r="CJ618" s="58"/>
      <c r="CK618" s="58"/>
      <c r="CL618" s="58"/>
      <c r="CM618" s="58"/>
      <c r="CN618" s="58"/>
      <c r="CO618" s="58"/>
      <c r="CP618" s="58"/>
      <c r="CQ618" s="58"/>
      <c r="CR618" s="58"/>
    </row>
    <row r="619" spans="1:112" ht="13.2">
      <c r="B619" s="84" t="s">
        <v>120</v>
      </c>
      <c r="C619" s="1177" t="s">
        <v>1747</v>
      </c>
      <c r="D619" s="1307"/>
      <c r="E619" s="1307"/>
      <c r="F619" s="1307"/>
      <c r="G619" s="1307"/>
      <c r="H619" s="1307"/>
      <c r="I619" s="1307"/>
      <c r="J619" s="1307"/>
      <c r="K619" s="1307"/>
      <c r="L619" s="1307"/>
      <c r="M619" s="1307"/>
      <c r="N619" s="1307"/>
      <c r="O619" s="1308"/>
      <c r="P619" s="1116">
        <v>480</v>
      </c>
      <c r="Q619" s="1117"/>
      <c r="R619" s="1118"/>
      <c r="S619" s="1266">
        <v>1.4666666700000001E-2</v>
      </c>
      <c r="T619" s="1129"/>
      <c r="U619" s="1130"/>
      <c r="V619" s="1116"/>
      <c r="W619" s="1117"/>
      <c r="X619" s="1117"/>
      <c r="Y619" s="1117"/>
      <c r="Z619" s="1117"/>
      <c r="AA619" s="1118"/>
      <c r="AB619" s="1142">
        <f>-PMT(S619/12,P619,AG619)*12</f>
        <v>70530.410174796722</v>
      </c>
      <c r="AC619" s="1142"/>
      <c r="AD619" s="1142"/>
      <c r="AE619" s="1142"/>
      <c r="AF619" s="1142"/>
      <c r="AG619" s="1142">
        <v>2133333</v>
      </c>
      <c r="AH619" s="1142"/>
      <c r="AI619" s="1142"/>
      <c r="AJ619" s="1142"/>
      <c r="AK619" s="1142"/>
      <c r="AL619" s="58"/>
      <c r="AM619" s="61"/>
      <c r="AN619" s="61"/>
      <c r="AO619" s="61"/>
      <c r="AP619" s="61"/>
      <c r="AQ619" s="61"/>
      <c r="AR619" s="61"/>
      <c r="AS619" s="61"/>
      <c r="AT619" s="61"/>
      <c r="AU619" s="61"/>
      <c r="AV619" s="61"/>
      <c r="AW619" s="61"/>
      <c r="AX619" s="61"/>
      <c r="AY619" s="61"/>
      <c r="AZ619" s="61"/>
      <c r="BA619" s="1288">
        <f>IF(J756="SRO/Studio",O756,0)</f>
        <v>0</v>
      </c>
      <c r="BB619" s="1290"/>
      <c r="BC619" s="1290"/>
      <c r="BD619" s="1290"/>
      <c r="BE619" s="1289"/>
      <c r="BF619" s="1285">
        <f>IF(J756="1 Bedroom",O756,0)</f>
        <v>0</v>
      </c>
      <c r="BG619" s="1285"/>
      <c r="BH619" s="1285"/>
      <c r="BI619" s="1285"/>
      <c r="BJ619" s="1285"/>
      <c r="BK619" s="1285">
        <f>IF(J756="2 Bedrooms",O756,0)</f>
        <v>0</v>
      </c>
      <c r="BL619" s="1285"/>
      <c r="BM619" s="1285"/>
      <c r="BN619" s="1285"/>
      <c r="BO619" s="1285"/>
      <c r="BP619" s="1285">
        <f>IF(J756="3 Bedrooms",O756,0)</f>
        <v>0</v>
      </c>
      <c r="BQ619" s="1285"/>
      <c r="BR619" s="1285"/>
      <c r="BS619" s="1285"/>
      <c r="BT619" s="1285"/>
      <c r="BU619" s="1285">
        <f>IF(J756="4 Bedrooms",O756,0)</f>
        <v>0</v>
      </c>
      <c r="BV619" s="1285"/>
      <c r="BW619" s="1285"/>
      <c r="BX619" s="1285"/>
      <c r="BY619" s="1285"/>
      <c r="BZ619" s="1285">
        <f>IF(J756="5 Bedrooms",O756,0)</f>
        <v>0</v>
      </c>
      <c r="CA619" s="1285"/>
      <c r="CB619" s="1285"/>
      <c r="CC619" s="1285"/>
      <c r="CD619" s="1285"/>
      <c r="CE619" s="58"/>
      <c r="CF619" s="58"/>
      <c r="CG619" s="58"/>
      <c r="CH619" s="58"/>
      <c r="CI619" s="58"/>
      <c r="CJ619" s="58"/>
      <c r="CK619" s="58"/>
      <c r="CL619" s="58"/>
      <c r="CM619" s="58"/>
      <c r="CN619" s="58"/>
      <c r="CO619" s="58"/>
      <c r="CP619" s="58"/>
      <c r="CQ619" s="58"/>
      <c r="CR619" s="58"/>
    </row>
    <row r="620" spans="1:112" ht="13.2">
      <c r="B620" s="84" t="s">
        <v>126</v>
      </c>
      <c r="C620" s="1177" t="s">
        <v>1767</v>
      </c>
      <c r="D620" s="1307"/>
      <c r="E620" s="1307"/>
      <c r="F620" s="1307"/>
      <c r="G620" s="1307"/>
      <c r="H620" s="1307"/>
      <c r="I620" s="1307"/>
      <c r="J620" s="1307"/>
      <c r="K620" s="1307"/>
      <c r="L620" s="1307"/>
      <c r="M620" s="1307"/>
      <c r="N620" s="1307"/>
      <c r="O620" s="1308"/>
      <c r="P620" s="1116">
        <v>480</v>
      </c>
      <c r="Q620" s="1117"/>
      <c r="R620" s="1118"/>
      <c r="S620" s="1266">
        <v>1.4666666700000001E-2</v>
      </c>
      <c r="T620" s="1129"/>
      <c r="U620" s="1130"/>
      <c r="V620" s="1116" t="s">
        <v>503</v>
      </c>
      <c r="W620" s="1117"/>
      <c r="X620" s="1117"/>
      <c r="Y620" s="1117"/>
      <c r="Z620" s="1117"/>
      <c r="AA620" s="1118"/>
      <c r="AB620" s="1142"/>
      <c r="AC620" s="1142"/>
      <c r="AD620" s="1142"/>
      <c r="AE620" s="1142"/>
      <c r="AF620" s="1142"/>
      <c r="AG620" s="1142">
        <v>350000</v>
      </c>
      <c r="AH620" s="1142"/>
      <c r="AI620" s="1142"/>
      <c r="AJ620" s="1142"/>
      <c r="AK620" s="1142"/>
      <c r="AL620" s="58"/>
      <c r="AM620" s="61"/>
      <c r="AN620" s="61"/>
      <c r="AO620" s="61"/>
      <c r="AP620" s="61"/>
      <c r="AQ620" s="61"/>
      <c r="AR620" s="61"/>
      <c r="AS620" s="61"/>
      <c r="AT620" s="61"/>
      <c r="AU620" s="61"/>
      <c r="AV620" s="61"/>
      <c r="AW620" s="61"/>
      <c r="AX620" s="61"/>
      <c r="AY620" s="61"/>
      <c r="AZ620" s="61"/>
      <c r="BA620" s="1288">
        <f>IF(J757="SRO/Studio",O757,0)</f>
        <v>0</v>
      </c>
      <c r="BB620" s="1290"/>
      <c r="BC620" s="1290"/>
      <c r="BD620" s="1290"/>
      <c r="BE620" s="1289"/>
      <c r="BF620" s="1285">
        <f>IF(J757="1 Bedroom",O757,0)</f>
        <v>0</v>
      </c>
      <c r="BG620" s="1285"/>
      <c r="BH620" s="1285"/>
      <c r="BI620" s="1285"/>
      <c r="BJ620" s="1285"/>
      <c r="BK620" s="1285">
        <f>IF(J757="2 Bedrooms",O757,0)</f>
        <v>0</v>
      </c>
      <c r="BL620" s="1285"/>
      <c r="BM620" s="1285"/>
      <c r="BN620" s="1285"/>
      <c r="BO620" s="1285"/>
      <c r="BP620" s="1285">
        <f>IF(J757="3 Bedrooms",O757,0)</f>
        <v>0</v>
      </c>
      <c r="BQ620" s="1285"/>
      <c r="BR620" s="1285"/>
      <c r="BS620" s="1285"/>
      <c r="BT620" s="1285"/>
      <c r="BU620" s="1285">
        <f>IF(J757="4 Bedrooms",O757,0)</f>
        <v>0</v>
      </c>
      <c r="BV620" s="1285"/>
      <c r="BW620" s="1285"/>
      <c r="BX620" s="1285"/>
      <c r="BY620" s="1285"/>
      <c r="BZ620" s="1285">
        <f>IF(J757="5 Bedrooms",O757,0)</f>
        <v>0</v>
      </c>
      <c r="CA620" s="1285"/>
      <c r="CB620" s="1285"/>
      <c r="CC620" s="1285"/>
      <c r="CD620" s="1285"/>
      <c r="CE620" s="58"/>
      <c r="CF620" s="58"/>
      <c r="CG620" s="58"/>
      <c r="CH620" s="58"/>
      <c r="CI620" s="58"/>
      <c r="CJ620" s="58"/>
      <c r="CK620" s="58"/>
      <c r="CL620" s="58"/>
      <c r="CM620" s="58"/>
      <c r="CN620" s="58"/>
      <c r="CO620" s="58"/>
      <c r="CP620" s="58"/>
      <c r="CQ620" s="58"/>
      <c r="CR620" s="58"/>
    </row>
    <row r="621" spans="1:112" ht="13.2">
      <c r="B621" s="84" t="s">
        <v>631</v>
      </c>
      <c r="C621" s="1152" t="str">
        <f>C546</f>
        <v>SF MOHCD Predev/Perm Loan</v>
      </c>
      <c r="D621" s="1152"/>
      <c r="E621" s="1152"/>
      <c r="F621" s="1152"/>
      <c r="G621" s="1152"/>
      <c r="H621" s="1152"/>
      <c r="I621" s="1152"/>
      <c r="J621" s="1152"/>
      <c r="K621" s="1152"/>
      <c r="L621" s="1152"/>
      <c r="M621" s="1152"/>
      <c r="N621" s="1152"/>
      <c r="O621" s="1178"/>
      <c r="P621" s="1116">
        <f>P546</f>
        <v>660</v>
      </c>
      <c r="Q621" s="1117"/>
      <c r="R621" s="1118"/>
      <c r="S621" s="1266">
        <f>U546</f>
        <v>1.12E-2</v>
      </c>
      <c r="T621" s="1129"/>
      <c r="U621" s="1130"/>
      <c r="V621" s="1116" t="s">
        <v>503</v>
      </c>
      <c r="W621" s="1117"/>
      <c r="X621" s="1117"/>
      <c r="Y621" s="1117"/>
      <c r="Z621" s="1117"/>
      <c r="AA621" s="1118"/>
      <c r="AB621" s="1142"/>
      <c r="AC621" s="1142"/>
      <c r="AD621" s="1142"/>
      <c r="AE621" s="1142"/>
      <c r="AF621" s="1142"/>
      <c r="AG621" s="1142">
        <f>AE546</f>
        <v>450000</v>
      </c>
      <c r="AH621" s="1142"/>
      <c r="AI621" s="1142"/>
      <c r="AJ621" s="1142"/>
      <c r="AK621" s="1142"/>
      <c r="AL621" s="58"/>
      <c r="AM621" s="61"/>
      <c r="AN621" s="61"/>
      <c r="AO621" s="61"/>
      <c r="AP621" s="61"/>
      <c r="AQ621" s="61"/>
      <c r="AR621" s="61"/>
      <c r="AS621" s="61"/>
      <c r="AT621" s="61"/>
      <c r="AU621" s="61"/>
      <c r="AV621" s="61"/>
      <c r="AW621" s="61"/>
      <c r="AX621" s="61"/>
      <c r="AY621" s="61"/>
      <c r="AZ621" s="61"/>
      <c r="BA621" s="1291">
        <f>SUM(BA617:BE620)</f>
        <v>0</v>
      </c>
      <c r="BB621" s="1292"/>
      <c r="BC621" s="1292"/>
      <c r="BD621" s="1292"/>
      <c r="BE621" s="1293"/>
      <c r="BF621" s="1291">
        <f>SUM(BF617:BJ620)</f>
        <v>0</v>
      </c>
      <c r="BG621" s="1292"/>
      <c r="BH621" s="1292"/>
      <c r="BI621" s="1292"/>
      <c r="BJ621" s="1293"/>
      <c r="BK621" s="1291">
        <f>SUM(BK617:BO620)</f>
        <v>0</v>
      </c>
      <c r="BL621" s="1292"/>
      <c r="BM621" s="1292"/>
      <c r="BN621" s="1292"/>
      <c r="BO621" s="1293"/>
      <c r="BP621" s="1291">
        <f>SUM(BP617:BT620)</f>
        <v>0</v>
      </c>
      <c r="BQ621" s="1292"/>
      <c r="BR621" s="1292"/>
      <c r="BS621" s="1292"/>
      <c r="BT621" s="1293"/>
      <c r="BU621" s="1291">
        <f>SUM(BU617:BY620)</f>
        <v>0</v>
      </c>
      <c r="BV621" s="1292"/>
      <c r="BW621" s="1292"/>
      <c r="BX621" s="1292"/>
      <c r="BY621" s="1293"/>
      <c r="BZ621" s="1291">
        <f>SUM(BZ617:CD620)</f>
        <v>0</v>
      </c>
      <c r="CA621" s="1292"/>
      <c r="CB621" s="1292"/>
      <c r="CC621" s="1292"/>
      <c r="CD621" s="1293"/>
      <c r="CE621" s="58"/>
      <c r="CF621" s="58"/>
      <c r="CG621" s="58"/>
      <c r="CH621" s="58"/>
      <c r="CI621" s="58"/>
      <c r="CJ621" s="58"/>
      <c r="CK621" s="58"/>
      <c r="CL621" s="58"/>
      <c r="CM621" s="58"/>
      <c r="CN621" s="58"/>
      <c r="CO621" s="58"/>
      <c r="CP621" s="58"/>
      <c r="CQ621" s="58"/>
      <c r="CR621" s="58"/>
    </row>
    <row r="622" spans="1:112" ht="13.2">
      <c r="B622" s="84" t="s">
        <v>841</v>
      </c>
      <c r="C622" s="1152" t="str">
        <f>C547</f>
        <v>Seller Carryback Loan</v>
      </c>
      <c r="D622" s="1152"/>
      <c r="E622" s="1152"/>
      <c r="F622" s="1152"/>
      <c r="G622" s="1152"/>
      <c r="H622" s="1152"/>
      <c r="I622" s="1152"/>
      <c r="J622" s="1152"/>
      <c r="K622" s="1152"/>
      <c r="L622" s="1152"/>
      <c r="M622" s="1152"/>
      <c r="N622" s="1152"/>
      <c r="O622" s="1178"/>
      <c r="P622" s="1116">
        <f>P547</f>
        <v>660</v>
      </c>
      <c r="Q622" s="1117"/>
      <c r="R622" s="1118"/>
      <c r="S622" s="1266">
        <f>U547</f>
        <v>1.12E-2</v>
      </c>
      <c r="T622" s="1129"/>
      <c r="U622" s="1130"/>
      <c r="V622" s="1116" t="s">
        <v>503</v>
      </c>
      <c r="W622" s="1117"/>
      <c r="X622" s="1117"/>
      <c r="Y622" s="1117"/>
      <c r="Z622" s="1117"/>
      <c r="AA622" s="1118"/>
      <c r="AB622" s="1142"/>
      <c r="AC622" s="1142"/>
      <c r="AD622" s="1142"/>
      <c r="AE622" s="1142"/>
      <c r="AF622" s="1142"/>
      <c r="AG622" s="1142">
        <f>AE547</f>
        <v>12570375</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634</v>
      </c>
      <c r="C623" s="1152" t="str">
        <f>C548</f>
        <v>SF MOHCD CDBG Loan</v>
      </c>
      <c r="D623" s="1152"/>
      <c r="E623" s="1152"/>
      <c r="F623" s="1152"/>
      <c r="G623" s="1152"/>
      <c r="H623" s="1152"/>
      <c r="I623" s="1152"/>
      <c r="J623" s="1152"/>
      <c r="K623" s="1152"/>
      <c r="L623" s="1152"/>
      <c r="M623" s="1152"/>
      <c r="N623" s="1152"/>
      <c r="O623" s="1178"/>
      <c r="P623" s="1116">
        <f>P548</f>
        <v>660</v>
      </c>
      <c r="Q623" s="1117"/>
      <c r="R623" s="1118"/>
      <c r="S623" s="1266">
        <f>U548</f>
        <v>1.12E-2</v>
      </c>
      <c r="T623" s="1129"/>
      <c r="U623" s="1130"/>
      <c r="V623" s="1116" t="s">
        <v>503</v>
      </c>
      <c r="W623" s="1117"/>
      <c r="X623" s="1117"/>
      <c r="Y623" s="1117"/>
      <c r="Z623" s="1117"/>
      <c r="AA623" s="1118"/>
      <c r="AB623" s="1142"/>
      <c r="AC623" s="1142"/>
      <c r="AD623" s="1142"/>
      <c r="AE623" s="1142"/>
      <c r="AF623" s="1142"/>
      <c r="AG623" s="1142">
        <f>AE548</f>
        <v>2116506</v>
      </c>
      <c r="AH623" s="1142"/>
      <c r="AI623" s="1142"/>
      <c r="AJ623" s="1142"/>
      <c r="AK623" s="1142"/>
      <c r="AL623" s="58"/>
      <c r="AM623" s="61"/>
      <c r="AN623" s="61"/>
      <c r="AO623" s="61"/>
      <c r="AP623" s="61"/>
      <c r="AQ623" s="61"/>
      <c r="AR623" s="61"/>
      <c r="AS623" s="61"/>
      <c r="AT623" s="61"/>
      <c r="AU623" s="61"/>
      <c r="AV623" s="61"/>
      <c r="AW623" s="61"/>
      <c r="AX623" s="61"/>
      <c r="AY623" s="61"/>
      <c r="AZ623" s="61"/>
      <c r="BA623" s="1288">
        <f t="shared" ref="BA623:BA632" si="16">IF(J768="SRO/Studio",O768,0)</f>
        <v>0</v>
      </c>
      <c r="BB623" s="1290"/>
      <c r="BC623" s="1290"/>
      <c r="BD623" s="1290"/>
      <c r="BE623" s="1289"/>
      <c r="BF623" s="1285">
        <f t="shared" ref="BF623:BF632" si="17">IF(J768="1 Bedroom",O768,0)</f>
        <v>0</v>
      </c>
      <c r="BG623" s="1285"/>
      <c r="BH623" s="1285"/>
      <c r="BI623" s="1285"/>
      <c r="BJ623" s="1285"/>
      <c r="BK623" s="1285">
        <f t="shared" ref="BK623:BK632" si="18">IF(J768="2 Bedrooms",O768,0)</f>
        <v>0</v>
      </c>
      <c r="BL623" s="1285"/>
      <c r="BM623" s="1285"/>
      <c r="BN623" s="1285"/>
      <c r="BO623" s="1285"/>
      <c r="BP623" s="1285">
        <f t="shared" ref="BP623:BP632" si="19">IF(J768="3 Bedrooms",O768,0)</f>
        <v>0</v>
      </c>
      <c r="BQ623" s="1285"/>
      <c r="BR623" s="1285"/>
      <c r="BS623" s="1285"/>
      <c r="BT623" s="1285"/>
      <c r="BU623" s="1285">
        <f t="shared" ref="BU623:BU632" si="20">IF(J768="4 Bedrooms",O768,0)</f>
        <v>0</v>
      </c>
      <c r="BV623" s="1285"/>
      <c r="BW623" s="1285"/>
      <c r="BX623" s="1285"/>
      <c r="BY623" s="1285"/>
      <c r="BZ623" s="1285">
        <f t="shared" ref="BZ623:BZ632" si="21">IF(J768="5 Bedrooms",O768,0)</f>
        <v>0</v>
      </c>
      <c r="CA623" s="1285"/>
      <c r="CB623" s="1285"/>
      <c r="CC623" s="1285"/>
      <c r="CD623" s="1285"/>
      <c r="CE623" s="58"/>
      <c r="CF623" s="58"/>
      <c r="CG623" s="58"/>
      <c r="CH623" s="58"/>
      <c r="CI623" s="58"/>
      <c r="CJ623" s="58"/>
      <c r="CK623" s="58"/>
      <c r="CL623" s="58"/>
      <c r="CM623" s="58"/>
      <c r="CN623" s="58"/>
      <c r="CO623" s="58"/>
      <c r="CP623" s="58"/>
      <c r="CQ623" s="58"/>
      <c r="CR623" s="58"/>
    </row>
    <row r="624" spans="1:112" ht="13.2">
      <c r="B624" s="84" t="s">
        <v>500</v>
      </c>
      <c r="C624" s="1177" t="s">
        <v>1768</v>
      </c>
      <c r="D624" s="1152"/>
      <c r="E624" s="1152"/>
      <c r="F624" s="1152"/>
      <c r="G624" s="1152"/>
      <c r="H624" s="1152"/>
      <c r="I624" s="1152"/>
      <c r="J624" s="1152"/>
      <c r="K624" s="1152"/>
      <c r="L624" s="1152"/>
      <c r="M624" s="1152"/>
      <c r="N624" s="1152"/>
      <c r="O624" s="1178"/>
      <c r="P624" s="1116"/>
      <c r="Q624" s="1117"/>
      <c r="R624" s="1118"/>
      <c r="S624" s="1266"/>
      <c r="T624" s="1129"/>
      <c r="U624" s="1130"/>
      <c r="V624" s="1116"/>
      <c r="W624" s="1117"/>
      <c r="X624" s="1117"/>
      <c r="Y624" s="1117"/>
      <c r="Z624" s="1117"/>
      <c r="AA624" s="1118"/>
      <c r="AB624" s="1142"/>
      <c r="AC624" s="1142"/>
      <c r="AD624" s="1142"/>
      <c r="AE624" s="1142"/>
      <c r="AF624" s="1142"/>
      <c r="AG624" s="1142">
        <f>589000+AE554</f>
        <v>1010351</v>
      </c>
      <c r="AH624" s="1142"/>
      <c r="AI624" s="1142"/>
      <c r="AJ624" s="1142"/>
      <c r="AK624" s="1142"/>
      <c r="AL624" s="58"/>
      <c r="AM624" s="61"/>
      <c r="AN624" s="61"/>
      <c r="AO624" s="61"/>
      <c r="AP624" s="61"/>
      <c r="AQ624" s="61"/>
      <c r="AR624" s="61"/>
      <c r="AS624" s="61"/>
      <c r="AT624" s="61"/>
      <c r="AU624" s="61"/>
      <c r="AV624" s="61"/>
      <c r="AW624" s="61"/>
      <c r="AX624" s="61"/>
      <c r="AY624" s="61"/>
      <c r="AZ624" s="61"/>
      <c r="BA624" s="1288">
        <f t="shared" si="16"/>
        <v>0</v>
      </c>
      <c r="BB624" s="1290"/>
      <c r="BC624" s="1290"/>
      <c r="BD624" s="1290"/>
      <c r="BE624" s="1289"/>
      <c r="BF624" s="1285">
        <f t="shared" si="17"/>
        <v>0</v>
      </c>
      <c r="BG624" s="1285"/>
      <c r="BH624" s="1285"/>
      <c r="BI624" s="1285"/>
      <c r="BJ624" s="1285"/>
      <c r="BK624" s="1285">
        <f t="shared" si="18"/>
        <v>0</v>
      </c>
      <c r="BL624" s="1285"/>
      <c r="BM624" s="1285"/>
      <c r="BN624" s="1285"/>
      <c r="BO624" s="1285"/>
      <c r="BP624" s="1285">
        <f t="shared" si="19"/>
        <v>0</v>
      </c>
      <c r="BQ624" s="1285"/>
      <c r="BR624" s="1285"/>
      <c r="BS624" s="1285"/>
      <c r="BT624" s="1285"/>
      <c r="BU624" s="1285">
        <f t="shared" si="20"/>
        <v>0</v>
      </c>
      <c r="BV624" s="1285"/>
      <c r="BW624" s="1285"/>
      <c r="BX624" s="1285"/>
      <c r="BY624" s="1285"/>
      <c r="BZ624" s="1285">
        <f t="shared" si="21"/>
        <v>0</v>
      </c>
      <c r="CA624" s="1285"/>
      <c r="CB624" s="1285"/>
      <c r="CC624" s="1285"/>
      <c r="CD624" s="1285"/>
      <c r="CE624" s="58"/>
      <c r="CF624" s="58"/>
      <c r="CG624" s="58"/>
      <c r="CH624" s="58"/>
      <c r="CI624" s="58"/>
      <c r="CJ624" s="58"/>
      <c r="CK624" s="58"/>
      <c r="CL624" s="58"/>
      <c r="CM624" s="58"/>
      <c r="CN624" s="58"/>
      <c r="CO624" s="58"/>
      <c r="CP624" s="58"/>
      <c r="CQ624" s="58"/>
      <c r="CR624" s="58"/>
    </row>
    <row r="625" spans="1:96" ht="13.2">
      <c r="B625" s="84" t="s">
        <v>501</v>
      </c>
      <c r="C625" s="1152" t="str">
        <f>C550</f>
        <v>HCD LPR CHRP Loan</v>
      </c>
      <c r="D625" s="1152"/>
      <c r="E625" s="1152"/>
      <c r="F625" s="1152"/>
      <c r="G625" s="1152"/>
      <c r="H625" s="1152"/>
      <c r="I625" s="1152"/>
      <c r="J625" s="1152"/>
      <c r="K625" s="1152"/>
      <c r="L625" s="1152"/>
      <c r="M625" s="1152"/>
      <c r="N625" s="1152"/>
      <c r="O625" s="1178"/>
      <c r="P625" s="1116">
        <f>P550</f>
        <v>660</v>
      </c>
      <c r="Q625" s="1117"/>
      <c r="R625" s="1118"/>
      <c r="S625" s="1266">
        <f>U550</f>
        <v>1.12E-2</v>
      </c>
      <c r="T625" s="1129"/>
      <c r="U625" s="1130"/>
      <c r="V625" s="1116" t="s">
        <v>503</v>
      </c>
      <c r="W625" s="1117"/>
      <c r="X625" s="1117"/>
      <c r="Y625" s="1117"/>
      <c r="Z625" s="1117"/>
      <c r="AA625" s="1118"/>
      <c r="AB625" s="1142">
        <f>0.0042*1750000</f>
        <v>7350</v>
      </c>
      <c r="AC625" s="1142"/>
      <c r="AD625" s="1142"/>
      <c r="AE625" s="1142"/>
      <c r="AF625" s="1142"/>
      <c r="AG625" s="1142">
        <f>AE550</f>
        <v>3047001</v>
      </c>
      <c r="AH625" s="1142"/>
      <c r="AI625" s="1142"/>
      <c r="AJ625" s="1142"/>
      <c r="AK625" s="1142"/>
      <c r="AL625" s="58"/>
      <c r="AM625" s="61"/>
      <c r="AN625" s="61"/>
      <c r="AO625" s="61"/>
      <c r="AP625" s="61"/>
      <c r="AQ625" s="61"/>
      <c r="AR625" s="61"/>
      <c r="AS625" s="61"/>
      <c r="AT625" s="61"/>
      <c r="AU625" s="61"/>
      <c r="AV625" s="61"/>
      <c r="AW625" s="61"/>
      <c r="AX625" s="61"/>
      <c r="AY625" s="61"/>
      <c r="AZ625" s="61"/>
      <c r="BA625" s="1288">
        <f t="shared" si="16"/>
        <v>0</v>
      </c>
      <c r="BB625" s="1290"/>
      <c r="BC625" s="1290"/>
      <c r="BD625" s="1290"/>
      <c r="BE625" s="1289"/>
      <c r="BF625" s="1285">
        <f t="shared" si="17"/>
        <v>0</v>
      </c>
      <c r="BG625" s="1285"/>
      <c r="BH625" s="1285"/>
      <c r="BI625" s="1285"/>
      <c r="BJ625" s="1285"/>
      <c r="BK625" s="1285">
        <f t="shared" si="18"/>
        <v>0</v>
      </c>
      <c r="BL625" s="1285"/>
      <c r="BM625" s="1285"/>
      <c r="BN625" s="1285"/>
      <c r="BO625" s="1285"/>
      <c r="BP625" s="1285">
        <f t="shared" si="19"/>
        <v>0</v>
      </c>
      <c r="BQ625" s="1285"/>
      <c r="BR625" s="1285"/>
      <c r="BS625" s="1285"/>
      <c r="BT625" s="1285"/>
      <c r="BU625" s="1285">
        <f t="shared" si="20"/>
        <v>0</v>
      </c>
      <c r="BV625" s="1285"/>
      <c r="BW625" s="1285"/>
      <c r="BX625" s="1285"/>
      <c r="BY625" s="1285"/>
      <c r="BZ625" s="1285">
        <f t="shared" si="21"/>
        <v>0</v>
      </c>
      <c r="CA625" s="1285"/>
      <c r="CB625" s="1285"/>
      <c r="CC625" s="1285"/>
      <c r="CD625" s="1285"/>
      <c r="CE625" s="58"/>
      <c r="CF625" s="58"/>
      <c r="CG625" s="58"/>
      <c r="CH625" s="58"/>
      <c r="CI625" s="58"/>
      <c r="CJ625" s="58"/>
      <c r="CK625" s="58"/>
      <c r="CL625" s="58"/>
      <c r="CM625" s="58"/>
      <c r="CN625" s="58"/>
      <c r="CO625" s="58"/>
      <c r="CP625" s="58"/>
      <c r="CQ625" s="58"/>
      <c r="CR625" s="58"/>
    </row>
    <row r="626" spans="1:96" ht="13.2">
      <c r="B626" s="84" t="s">
        <v>507</v>
      </c>
      <c r="C626" s="1177" t="s">
        <v>1749</v>
      </c>
      <c r="D626" s="1152"/>
      <c r="E626" s="1152"/>
      <c r="F626" s="1152"/>
      <c r="G626" s="1152"/>
      <c r="H626" s="1152"/>
      <c r="I626" s="1152"/>
      <c r="J626" s="1152"/>
      <c r="K626" s="1152"/>
      <c r="L626" s="1152"/>
      <c r="M626" s="1152"/>
      <c r="N626" s="1152"/>
      <c r="O626" s="1178"/>
      <c r="P626" s="1116"/>
      <c r="Q626" s="1117"/>
      <c r="R626" s="1118"/>
      <c r="S626" s="1266"/>
      <c r="T626" s="1129"/>
      <c r="U626" s="1130"/>
      <c r="V626" s="1116"/>
      <c r="W626" s="1117"/>
      <c r="X626" s="1117"/>
      <c r="Y626" s="1117"/>
      <c r="Z626" s="1117"/>
      <c r="AA626" s="1118"/>
      <c r="AB626" s="1142"/>
      <c r="AC626" s="1142"/>
      <c r="AD626" s="1142"/>
      <c r="AE626" s="1142"/>
      <c r="AF626" s="1142"/>
      <c r="AG626" s="1142">
        <f>AE551+AE552+AE549</f>
        <v>4211004</v>
      </c>
      <c r="AH626" s="1142"/>
      <c r="AI626" s="1142"/>
      <c r="AJ626" s="1142"/>
      <c r="AK626" s="1142"/>
      <c r="AL626" s="58"/>
      <c r="AM626" s="58"/>
      <c r="AN626" s="58"/>
      <c r="AO626" s="58"/>
      <c r="AP626" s="58"/>
      <c r="AQ626" s="58"/>
      <c r="AR626" s="58"/>
      <c r="AS626" s="58"/>
      <c r="AT626" s="58"/>
      <c r="AU626" s="58"/>
      <c r="AV626" s="58"/>
      <c r="AW626" s="58"/>
      <c r="AX626" s="58"/>
      <c r="AY626" s="58"/>
      <c r="AZ626" s="58"/>
      <c r="BA626" s="1288">
        <f t="shared" si="16"/>
        <v>0</v>
      </c>
      <c r="BB626" s="1290"/>
      <c r="BC626" s="1290"/>
      <c r="BD626" s="1290"/>
      <c r="BE626" s="1289"/>
      <c r="BF626" s="1285">
        <f t="shared" si="17"/>
        <v>0</v>
      </c>
      <c r="BG626" s="1285"/>
      <c r="BH626" s="1285"/>
      <c r="BI626" s="1285"/>
      <c r="BJ626" s="1285"/>
      <c r="BK626" s="1285">
        <f t="shared" si="18"/>
        <v>0</v>
      </c>
      <c r="BL626" s="1285"/>
      <c r="BM626" s="1285"/>
      <c r="BN626" s="1285"/>
      <c r="BO626" s="1285"/>
      <c r="BP626" s="1285">
        <f t="shared" si="19"/>
        <v>0</v>
      </c>
      <c r="BQ626" s="1285"/>
      <c r="BR626" s="1285"/>
      <c r="BS626" s="1285"/>
      <c r="BT626" s="1285"/>
      <c r="BU626" s="1285">
        <f t="shared" si="20"/>
        <v>0</v>
      </c>
      <c r="BV626" s="1285"/>
      <c r="BW626" s="1285"/>
      <c r="BX626" s="1285"/>
      <c r="BY626" s="1285"/>
      <c r="BZ626" s="1285">
        <f t="shared" si="21"/>
        <v>0</v>
      </c>
      <c r="CA626" s="1285"/>
      <c r="CB626" s="1285"/>
      <c r="CC626" s="1285"/>
      <c r="CD626" s="1285"/>
      <c r="CE626" s="58"/>
      <c r="CF626" s="58"/>
      <c r="CG626" s="58"/>
      <c r="CH626" s="58"/>
      <c r="CI626" s="58"/>
      <c r="CJ626" s="58"/>
      <c r="CK626" s="58"/>
      <c r="CL626" s="58"/>
      <c r="CM626" s="58"/>
      <c r="CN626" s="58"/>
      <c r="CO626" s="58"/>
      <c r="CP626" s="58"/>
      <c r="CQ626" s="58"/>
      <c r="CR626" s="58"/>
    </row>
    <row r="627" spans="1:96" ht="13.2">
      <c r="B627" s="84" t="s">
        <v>696</v>
      </c>
      <c r="C627" s="1177" t="s">
        <v>1748</v>
      </c>
      <c r="D627" s="1152"/>
      <c r="E627" s="1152"/>
      <c r="F627" s="1152"/>
      <c r="G627" s="1152"/>
      <c r="H627" s="1152"/>
      <c r="I627" s="1152"/>
      <c r="J627" s="1152"/>
      <c r="K627" s="1152"/>
      <c r="L627" s="1152"/>
      <c r="M627" s="1152"/>
      <c r="N627" s="1152"/>
      <c r="O627" s="1178"/>
      <c r="P627" s="1116">
        <v>660</v>
      </c>
      <c r="Q627" s="1117"/>
      <c r="R627" s="1118"/>
      <c r="S627" s="1266">
        <v>0.03</v>
      </c>
      <c r="T627" s="1129"/>
      <c r="U627" s="1130"/>
      <c r="V627" s="1116" t="s">
        <v>503</v>
      </c>
      <c r="W627" s="1117"/>
      <c r="X627" s="1117"/>
      <c r="Y627" s="1117"/>
      <c r="Z627" s="1117"/>
      <c r="AA627" s="1118"/>
      <c r="AB627" s="1142">
        <f>0.0042*AG627</f>
        <v>34204.602599999998</v>
      </c>
      <c r="AC627" s="1142"/>
      <c r="AD627" s="1142"/>
      <c r="AE627" s="1142"/>
      <c r="AF627" s="1142"/>
      <c r="AG627" s="1142">
        <v>8143953</v>
      </c>
      <c r="AH627" s="1142"/>
      <c r="AI627" s="1142"/>
      <c r="AJ627" s="1142"/>
      <c r="AK627" s="1142"/>
      <c r="AL627" s="58"/>
      <c r="AM627" s="58"/>
      <c r="AN627" s="58"/>
      <c r="AO627" s="58"/>
      <c r="AP627" s="58"/>
      <c r="AQ627" s="58"/>
      <c r="AR627" s="58"/>
      <c r="AS627" s="58"/>
      <c r="AT627" s="58"/>
      <c r="AU627" s="58"/>
      <c r="AV627" s="58"/>
      <c r="AW627" s="58"/>
      <c r="AX627" s="58"/>
      <c r="AY627" s="58"/>
      <c r="AZ627" s="58"/>
      <c r="BA627" s="1288">
        <f t="shared" si="16"/>
        <v>0</v>
      </c>
      <c r="BB627" s="1290"/>
      <c r="BC627" s="1290"/>
      <c r="BD627" s="1290"/>
      <c r="BE627" s="1289"/>
      <c r="BF627" s="1285">
        <f t="shared" si="17"/>
        <v>0</v>
      </c>
      <c r="BG627" s="1285"/>
      <c r="BH627" s="1285"/>
      <c r="BI627" s="1285"/>
      <c r="BJ627" s="1285"/>
      <c r="BK627" s="1285">
        <f t="shared" si="18"/>
        <v>0</v>
      </c>
      <c r="BL627" s="1285"/>
      <c r="BM627" s="1285"/>
      <c r="BN627" s="1285"/>
      <c r="BO627" s="1285"/>
      <c r="BP627" s="1285">
        <f t="shared" si="19"/>
        <v>0</v>
      </c>
      <c r="BQ627" s="1285"/>
      <c r="BR627" s="1285"/>
      <c r="BS627" s="1285"/>
      <c r="BT627" s="1285"/>
      <c r="BU627" s="1285">
        <f t="shared" si="20"/>
        <v>0</v>
      </c>
      <c r="BV627" s="1285"/>
      <c r="BW627" s="1285"/>
      <c r="BX627" s="1285"/>
      <c r="BY627" s="1285"/>
      <c r="BZ627" s="1285">
        <f t="shared" si="21"/>
        <v>0</v>
      </c>
      <c r="CA627" s="1285"/>
      <c r="CB627" s="1285"/>
      <c r="CC627" s="1285"/>
      <c r="CD627" s="1285"/>
      <c r="CE627" s="58"/>
      <c r="CF627" s="58"/>
      <c r="CG627" s="58"/>
      <c r="CH627" s="58"/>
      <c r="CI627" s="58"/>
      <c r="CJ627" s="58"/>
      <c r="CK627" s="58"/>
      <c r="CL627" s="58"/>
      <c r="CM627" s="58"/>
      <c r="CN627" s="58"/>
      <c r="CO627" s="58"/>
      <c r="CP627" s="58"/>
      <c r="CQ627" s="58"/>
      <c r="CR627" s="58"/>
    </row>
    <row r="628" spans="1:96" ht="13.2">
      <c r="B628" s="84" t="s">
        <v>386</v>
      </c>
      <c r="C628" s="1177" t="s">
        <v>1770</v>
      </c>
      <c r="D628" s="1152"/>
      <c r="E628" s="1152"/>
      <c r="F628" s="1152"/>
      <c r="G628" s="1152"/>
      <c r="H628" s="1152"/>
      <c r="I628" s="1152"/>
      <c r="J628" s="1152"/>
      <c r="K628" s="1152"/>
      <c r="L628" s="1152"/>
      <c r="M628" s="1152"/>
      <c r="N628" s="1152"/>
      <c r="O628" s="1178"/>
      <c r="P628" s="1116">
        <v>660</v>
      </c>
      <c r="Q628" s="1117"/>
      <c r="R628" s="1118"/>
      <c r="S628" s="1266">
        <v>0</v>
      </c>
      <c r="T628" s="1129"/>
      <c r="U628" s="1130"/>
      <c r="V628" s="1116" t="s">
        <v>503</v>
      </c>
      <c r="W628" s="1117"/>
      <c r="X628" s="1117"/>
      <c r="Y628" s="1117"/>
      <c r="Z628" s="1117"/>
      <c r="AA628" s="1118"/>
      <c r="AB628" s="1142"/>
      <c r="AC628" s="1142"/>
      <c r="AD628" s="1142"/>
      <c r="AE628" s="1142"/>
      <c r="AF628" s="1142"/>
      <c r="AG628" s="1142">
        <f>2000000</f>
        <v>2000000</v>
      </c>
      <c r="AH628" s="1142"/>
      <c r="AI628" s="1142"/>
      <c r="AJ628" s="1142"/>
      <c r="AK628" s="1142"/>
      <c r="AL628" s="58"/>
      <c r="AM628" s="58"/>
      <c r="AN628" s="58"/>
      <c r="AO628" s="58"/>
      <c r="AP628" s="58"/>
      <c r="AQ628" s="58"/>
      <c r="AR628" s="58"/>
      <c r="AS628" s="58"/>
      <c r="AT628" s="58"/>
      <c r="AU628" s="58"/>
      <c r="AV628" s="58"/>
      <c r="AW628" s="58"/>
      <c r="AX628" s="58"/>
      <c r="AY628" s="58"/>
      <c r="AZ628" s="58"/>
      <c r="BA628" s="1288">
        <f t="shared" si="16"/>
        <v>0</v>
      </c>
      <c r="BB628" s="1290"/>
      <c r="BC628" s="1290"/>
      <c r="BD628" s="1290"/>
      <c r="BE628" s="1289"/>
      <c r="BF628" s="1285">
        <f t="shared" si="17"/>
        <v>0</v>
      </c>
      <c r="BG628" s="1285"/>
      <c r="BH628" s="1285"/>
      <c r="BI628" s="1285"/>
      <c r="BJ628" s="1285"/>
      <c r="BK628" s="1285">
        <f t="shared" si="18"/>
        <v>0</v>
      </c>
      <c r="BL628" s="1285"/>
      <c r="BM628" s="1285"/>
      <c r="BN628" s="1285"/>
      <c r="BO628" s="1285"/>
      <c r="BP628" s="1285">
        <f t="shared" si="19"/>
        <v>0</v>
      </c>
      <c r="BQ628" s="1285"/>
      <c r="BR628" s="1285"/>
      <c r="BS628" s="1285"/>
      <c r="BT628" s="1285"/>
      <c r="BU628" s="1285">
        <f t="shared" si="20"/>
        <v>0</v>
      </c>
      <c r="BV628" s="1285"/>
      <c r="BW628" s="1285"/>
      <c r="BX628" s="1285"/>
      <c r="BY628" s="1285"/>
      <c r="BZ628" s="1285">
        <f t="shared" si="21"/>
        <v>0</v>
      </c>
      <c r="CA628" s="1285"/>
      <c r="CB628" s="1285"/>
      <c r="CC628" s="1285"/>
      <c r="CD628" s="1285"/>
      <c r="CE628" s="58"/>
      <c r="CF628" s="58"/>
      <c r="CG628" s="58"/>
      <c r="CH628" s="58"/>
      <c r="CI628" s="58"/>
      <c r="CJ628" s="58"/>
      <c r="CK628" s="58"/>
      <c r="CL628" s="58"/>
      <c r="CM628" s="58"/>
      <c r="CN628" s="58"/>
      <c r="CO628" s="58"/>
      <c r="CP628" s="58"/>
      <c r="CQ628" s="58"/>
      <c r="CR628" s="58"/>
    </row>
    <row r="629" spans="1:96" ht="12.75" customHeight="1">
      <c r="B629" s="84" t="s">
        <v>387</v>
      </c>
      <c r="C629" s="1177" t="s">
        <v>1769</v>
      </c>
      <c r="D629" s="1152"/>
      <c r="E629" s="1152"/>
      <c r="F629" s="1152"/>
      <c r="G629" s="1152"/>
      <c r="H629" s="1152"/>
      <c r="I629" s="1152"/>
      <c r="J629" s="1152"/>
      <c r="K629" s="1152"/>
      <c r="L629" s="1152"/>
      <c r="M629" s="1152"/>
      <c r="N629" s="1152"/>
      <c r="O629" s="1178"/>
      <c r="P629" s="1116"/>
      <c r="Q629" s="1117"/>
      <c r="R629" s="1118"/>
      <c r="S629" s="1266"/>
      <c r="T629" s="1129"/>
      <c r="U629" s="1130"/>
      <c r="V629" s="1116"/>
      <c r="W629" s="1117"/>
      <c r="X629" s="1117"/>
      <c r="Y629" s="1117"/>
      <c r="Z629" s="1117"/>
      <c r="AA629" s="1118"/>
      <c r="AB629" s="1142"/>
      <c r="AC629" s="1142"/>
      <c r="AD629" s="1142"/>
      <c r="AE629" s="1142"/>
      <c r="AF629" s="1142"/>
      <c r="AG629" s="1142">
        <v>750000</v>
      </c>
      <c r="AH629" s="1142"/>
      <c r="AI629" s="1142"/>
      <c r="AJ629" s="1142"/>
      <c r="AK629" s="1142"/>
      <c r="AL629" s="58"/>
      <c r="AM629" s="61"/>
      <c r="AN629" s="61"/>
      <c r="AO629" s="61"/>
      <c r="AP629" s="61"/>
      <c r="AQ629" s="61"/>
      <c r="AR629" s="61"/>
      <c r="AS629" s="61"/>
      <c r="AT629" s="61"/>
      <c r="AU629" s="61"/>
      <c r="AV629" s="61"/>
      <c r="AW629" s="61"/>
      <c r="AX629" s="61"/>
      <c r="AY629" s="61"/>
      <c r="AZ629" s="61"/>
      <c r="BA629" s="1288">
        <f t="shared" si="16"/>
        <v>0</v>
      </c>
      <c r="BB629" s="1290"/>
      <c r="BC629" s="1290"/>
      <c r="BD629" s="1290"/>
      <c r="BE629" s="1289"/>
      <c r="BF629" s="1285">
        <f t="shared" si="17"/>
        <v>0</v>
      </c>
      <c r="BG629" s="1285"/>
      <c r="BH629" s="1285"/>
      <c r="BI629" s="1285"/>
      <c r="BJ629" s="1285"/>
      <c r="BK629" s="1285">
        <f t="shared" si="18"/>
        <v>0</v>
      </c>
      <c r="BL629" s="1285"/>
      <c r="BM629" s="1285"/>
      <c r="BN629" s="1285"/>
      <c r="BO629" s="1285"/>
      <c r="BP629" s="1285">
        <f t="shared" si="19"/>
        <v>0</v>
      </c>
      <c r="BQ629" s="1285"/>
      <c r="BR629" s="1285"/>
      <c r="BS629" s="1285"/>
      <c r="BT629" s="1285"/>
      <c r="BU629" s="1285">
        <f t="shared" si="20"/>
        <v>0</v>
      </c>
      <c r="BV629" s="1285"/>
      <c r="BW629" s="1285"/>
      <c r="BX629" s="1285"/>
      <c r="BY629" s="1285"/>
      <c r="BZ629" s="1285">
        <f t="shared" si="21"/>
        <v>0</v>
      </c>
      <c r="CA629" s="1285"/>
      <c r="CB629" s="1285"/>
      <c r="CC629" s="1285"/>
      <c r="CD629" s="1285"/>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4">
        <f>SUM(AG618:AJ629)</f>
        <v>40649190</v>
      </c>
      <c r="AH630" s="1215"/>
      <c r="AI630" s="1215"/>
      <c r="AJ630" s="1215"/>
      <c r="AK630" s="1216"/>
      <c r="AM630" s="61"/>
      <c r="AN630" s="61"/>
      <c r="AO630" s="61"/>
      <c r="AP630" s="61"/>
      <c r="AQ630" s="61"/>
      <c r="AR630" s="61"/>
      <c r="AS630" s="61"/>
      <c r="AT630" s="61"/>
      <c r="AU630" s="61"/>
      <c r="AV630" s="61"/>
      <c r="AW630" s="61"/>
      <c r="AX630" s="61"/>
      <c r="AY630" s="61"/>
      <c r="AZ630" s="61"/>
      <c r="BA630" s="1288">
        <f t="shared" si="16"/>
        <v>0</v>
      </c>
      <c r="BB630" s="1290"/>
      <c r="BC630" s="1290"/>
      <c r="BD630" s="1290"/>
      <c r="BE630" s="1289"/>
      <c r="BF630" s="1285">
        <f t="shared" si="17"/>
        <v>0</v>
      </c>
      <c r="BG630" s="1285"/>
      <c r="BH630" s="1285"/>
      <c r="BI630" s="1285"/>
      <c r="BJ630" s="1285"/>
      <c r="BK630" s="1285">
        <f t="shared" si="18"/>
        <v>0</v>
      </c>
      <c r="BL630" s="1285"/>
      <c r="BM630" s="1285"/>
      <c r="BN630" s="1285"/>
      <c r="BO630" s="1285"/>
      <c r="BP630" s="1285">
        <f t="shared" si="19"/>
        <v>0</v>
      </c>
      <c r="BQ630" s="1285"/>
      <c r="BR630" s="1285"/>
      <c r="BS630" s="1285"/>
      <c r="BT630" s="1285"/>
      <c r="BU630" s="1285">
        <f t="shared" si="20"/>
        <v>0</v>
      </c>
      <c r="BV630" s="1285"/>
      <c r="BW630" s="1285"/>
      <c r="BX630" s="1285"/>
      <c r="BY630" s="1285"/>
      <c r="BZ630" s="1285">
        <f t="shared" si="21"/>
        <v>0</v>
      </c>
      <c r="CA630" s="1285"/>
      <c r="CB630" s="1285"/>
      <c r="CC630" s="1285"/>
      <c r="CD630" s="1285"/>
      <c r="CE630" s="58"/>
      <c r="CF630" s="58"/>
      <c r="CG630" s="58"/>
      <c r="CH630" s="58"/>
      <c r="CI630" s="58"/>
      <c r="CJ630" s="58"/>
      <c r="CK630" s="58"/>
      <c r="CL630" s="58"/>
      <c r="CM630" s="58"/>
      <c r="CN630" s="58"/>
      <c r="CO630" s="58"/>
      <c r="CP630" s="58"/>
      <c r="CQ630" s="58"/>
      <c r="CR630" s="58"/>
    </row>
    <row r="631" spans="1:96" ht="13.2">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2">
        <v>16265095</v>
      </c>
      <c r="AH631" s="1203"/>
      <c r="AI631" s="1203"/>
      <c r="AJ631" s="1203"/>
      <c r="AK631" s="1204"/>
      <c r="AM631" s="61"/>
      <c r="AN631" s="61"/>
      <c r="AO631" s="61"/>
      <c r="AP631" s="61"/>
      <c r="AQ631" s="61"/>
      <c r="AR631" s="61"/>
      <c r="AS631" s="61"/>
      <c r="AT631" s="61"/>
      <c r="AU631" s="61"/>
      <c r="AV631" s="61"/>
      <c r="AW631" s="61"/>
      <c r="AX631" s="61"/>
      <c r="AY631" s="61"/>
      <c r="AZ631" s="61"/>
      <c r="BA631" s="1288">
        <f t="shared" si="16"/>
        <v>0</v>
      </c>
      <c r="BB631" s="1290"/>
      <c r="BC631" s="1290"/>
      <c r="BD631" s="1290"/>
      <c r="BE631" s="1289"/>
      <c r="BF631" s="1285">
        <f t="shared" si="17"/>
        <v>0</v>
      </c>
      <c r="BG631" s="1285"/>
      <c r="BH631" s="1285"/>
      <c r="BI631" s="1285"/>
      <c r="BJ631" s="1285"/>
      <c r="BK631" s="1285">
        <f t="shared" si="18"/>
        <v>0</v>
      </c>
      <c r="BL631" s="1285"/>
      <c r="BM631" s="1285"/>
      <c r="BN631" s="1285"/>
      <c r="BO631" s="1285"/>
      <c r="BP631" s="1285">
        <f t="shared" si="19"/>
        <v>0</v>
      </c>
      <c r="BQ631" s="1285"/>
      <c r="BR631" s="1285"/>
      <c r="BS631" s="1285"/>
      <c r="BT631" s="1285"/>
      <c r="BU631" s="1285">
        <f t="shared" si="20"/>
        <v>0</v>
      </c>
      <c r="BV631" s="1285"/>
      <c r="BW631" s="1285"/>
      <c r="BX631" s="1285"/>
      <c r="BY631" s="1285"/>
      <c r="BZ631" s="1285">
        <f t="shared" si="21"/>
        <v>0</v>
      </c>
      <c r="CA631" s="1285"/>
      <c r="CB631" s="1285"/>
      <c r="CC631" s="1285"/>
      <c r="CD631" s="1285"/>
      <c r="CE631" s="58"/>
      <c r="CF631" s="58"/>
      <c r="CG631" s="58"/>
      <c r="CH631" s="58"/>
      <c r="CI631" s="58"/>
      <c r="CJ631" s="58"/>
      <c r="CK631" s="58"/>
      <c r="CL631" s="58"/>
      <c r="CM631" s="58"/>
      <c r="CN631" s="58"/>
      <c r="CO631" s="58"/>
      <c r="CP631" s="58"/>
      <c r="CQ631" s="58"/>
      <c r="CR631" s="58"/>
    </row>
    <row r="632" spans="1:96" ht="13.2">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4">
        <f>AG630+AG631</f>
        <v>56914285</v>
      </c>
      <c r="AH632" s="1215"/>
      <c r="AI632" s="1215"/>
      <c r="AJ632" s="1215"/>
      <c r="AK632" s="1216"/>
      <c r="AM632" s="61"/>
      <c r="AN632" s="61"/>
      <c r="AO632" s="61"/>
      <c r="AP632" s="61"/>
      <c r="AQ632" s="61"/>
      <c r="AR632" s="61"/>
      <c r="AS632" s="61"/>
      <c r="AT632" s="61"/>
      <c r="AU632" s="61"/>
      <c r="AV632" s="61"/>
      <c r="AW632" s="61"/>
      <c r="AX632" s="61"/>
      <c r="AY632" s="61"/>
      <c r="AZ632" s="61"/>
      <c r="BA632" s="1288">
        <f t="shared" si="16"/>
        <v>0</v>
      </c>
      <c r="BB632" s="1290"/>
      <c r="BC632" s="1290"/>
      <c r="BD632" s="1290"/>
      <c r="BE632" s="1289"/>
      <c r="BF632" s="1285">
        <f t="shared" si="17"/>
        <v>0</v>
      </c>
      <c r="BG632" s="1285"/>
      <c r="BH632" s="1285"/>
      <c r="BI632" s="1285"/>
      <c r="BJ632" s="1285"/>
      <c r="BK632" s="1285">
        <f t="shared" si="18"/>
        <v>0</v>
      </c>
      <c r="BL632" s="1285"/>
      <c r="BM632" s="1285"/>
      <c r="BN632" s="1285"/>
      <c r="BO632" s="1285"/>
      <c r="BP632" s="1285">
        <f t="shared" si="19"/>
        <v>0</v>
      </c>
      <c r="BQ632" s="1285"/>
      <c r="BR632" s="1285"/>
      <c r="BS632" s="1285"/>
      <c r="BT632" s="1285"/>
      <c r="BU632" s="1285">
        <f t="shared" si="20"/>
        <v>0</v>
      </c>
      <c r="BV632" s="1285"/>
      <c r="BW632" s="1285"/>
      <c r="BX632" s="1285"/>
      <c r="BY632" s="1285"/>
      <c r="BZ632" s="1285">
        <f t="shared" si="21"/>
        <v>0</v>
      </c>
      <c r="CA632" s="1285"/>
      <c r="CB632" s="1285"/>
      <c r="CC632" s="1285"/>
      <c r="CD632" s="1285"/>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1">
        <f>SUM(BA623:BE632)</f>
        <v>0</v>
      </c>
      <c r="BB633" s="1292"/>
      <c r="BC633" s="1292"/>
      <c r="BD633" s="1292"/>
      <c r="BE633" s="1293"/>
      <c r="BF633" s="1291">
        <f>SUM(BF623:BJ632)</f>
        <v>0</v>
      </c>
      <c r="BG633" s="1292"/>
      <c r="BH633" s="1292"/>
      <c r="BI633" s="1292"/>
      <c r="BJ633" s="1293"/>
      <c r="BK633" s="1291">
        <f>SUM(BK623:BO632)</f>
        <v>0</v>
      </c>
      <c r="BL633" s="1292"/>
      <c r="BM633" s="1292"/>
      <c r="BN633" s="1292"/>
      <c r="BO633" s="1293"/>
      <c r="BP633" s="1291">
        <f>SUM(BP623:BT632)</f>
        <v>0</v>
      </c>
      <c r="BQ633" s="1292"/>
      <c r="BR633" s="1292"/>
      <c r="BS633" s="1292"/>
      <c r="BT633" s="1293"/>
      <c r="BU633" s="1291">
        <f>SUM(BU623:BY632)</f>
        <v>0</v>
      </c>
      <c r="BV633" s="1292"/>
      <c r="BW633" s="1292"/>
      <c r="BX633" s="1292"/>
      <c r="BY633" s="1293"/>
      <c r="BZ633" s="1291">
        <f>SUM(BZ623:CD632)</f>
        <v>0</v>
      </c>
      <c r="CA633" s="1292"/>
      <c r="CB633" s="1292"/>
      <c r="CC633" s="1292"/>
      <c r="CD633" s="1293"/>
      <c r="CE633" s="58"/>
      <c r="CF633" s="58"/>
      <c r="CG633" s="58"/>
      <c r="CH633" s="58"/>
      <c r="CI633" s="58"/>
      <c r="CJ633" s="58"/>
      <c r="CK633" s="58"/>
      <c r="CL633" s="58"/>
      <c r="CM633" s="58"/>
      <c r="CN633" s="58"/>
      <c r="CO633" s="58"/>
      <c r="CP633" s="58"/>
      <c r="CQ633" s="58"/>
      <c r="CR633" s="58"/>
    </row>
    <row r="634" spans="1:96" ht="13.2">
      <c r="A634" s="87" t="s">
        <v>119</v>
      </c>
      <c r="B634" s="12" t="s">
        <v>509</v>
      </c>
      <c r="G634" s="1176" t="str">
        <f>C618</f>
        <v>MOHCD PASS Loan - Market Rate Tranche</v>
      </c>
      <c r="H634" s="1176"/>
      <c r="I634" s="1176"/>
      <c r="J634" s="1176"/>
      <c r="K634" s="1176"/>
      <c r="L634" s="1176"/>
      <c r="M634" s="1176"/>
      <c r="N634" s="1176"/>
      <c r="O634" s="1176"/>
      <c r="P634" s="1176"/>
      <c r="Q634" s="1176"/>
      <c r="R634" s="1176"/>
      <c r="S634" s="14"/>
      <c r="T634" s="87" t="s">
        <v>120</v>
      </c>
      <c r="U634" s="12" t="s">
        <v>509</v>
      </c>
      <c r="Z634" s="1176" t="str">
        <f>C619</f>
        <v>MOHCD PASS Loan - Below Market Rate Tranche</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86" t="s">
        <v>1804</v>
      </c>
      <c r="H635" s="1086"/>
      <c r="I635" s="1086"/>
      <c r="J635" s="1086"/>
      <c r="K635" s="1086"/>
      <c r="L635" s="1086"/>
      <c r="M635" s="1086"/>
      <c r="N635" s="1086"/>
      <c r="O635" s="1086"/>
      <c r="P635" s="1086"/>
      <c r="Q635" s="1086"/>
      <c r="R635" s="1086"/>
      <c r="S635" s="14"/>
      <c r="T635" s="35"/>
      <c r="U635" s="12" t="s">
        <v>92</v>
      </c>
      <c r="Z635" s="1086" t="s">
        <v>1804</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1">
        <f>BA614+BA621+BA633</f>
        <v>58</v>
      </c>
      <c r="BB635" s="1292"/>
      <c r="BC635" s="1292"/>
      <c r="BD635" s="1292"/>
      <c r="BE635" s="1293"/>
      <c r="BF635" s="1291">
        <f>BF614+BF621+BF633</f>
        <v>0</v>
      </c>
      <c r="BG635" s="1292"/>
      <c r="BH635" s="1292"/>
      <c r="BI635" s="1292"/>
      <c r="BJ635" s="1293"/>
      <c r="BK635" s="1291">
        <f>BK614+BK621+BK633</f>
        <v>0</v>
      </c>
      <c r="BL635" s="1292"/>
      <c r="BM635" s="1292"/>
      <c r="BN635" s="1292"/>
      <c r="BO635" s="1293"/>
      <c r="BP635" s="1291">
        <f>BP614+BP621+BP633</f>
        <v>0</v>
      </c>
      <c r="BQ635" s="1292"/>
      <c r="BR635" s="1292"/>
      <c r="BS635" s="1292"/>
      <c r="BT635" s="1293"/>
      <c r="BU635" s="1291">
        <f>BU614+BU621+BU633</f>
        <v>0</v>
      </c>
      <c r="BV635" s="1292"/>
      <c r="BW635" s="1292"/>
      <c r="BX635" s="1292"/>
      <c r="BY635" s="1293"/>
      <c r="BZ635" s="1251">
        <f>BZ633+BZ621+BZ614</f>
        <v>0</v>
      </c>
      <c r="CA635" s="1286"/>
      <c r="CB635" s="1286"/>
      <c r="CC635" s="1286"/>
      <c r="CD635" s="1252"/>
      <c r="CE635" s="58"/>
      <c r="CF635" s="58"/>
      <c r="CG635" s="58"/>
      <c r="CH635" s="58"/>
      <c r="CI635" s="58"/>
      <c r="CJ635" s="58"/>
      <c r="CK635" s="58"/>
      <c r="CL635" s="58"/>
      <c r="CM635" s="58"/>
      <c r="CN635" s="58"/>
      <c r="CO635" s="58"/>
      <c r="CP635" s="58"/>
      <c r="CQ635" s="58"/>
      <c r="CR635" s="58"/>
    </row>
    <row r="636" spans="1:96" ht="13.2">
      <c r="A636" s="35"/>
      <c r="B636" s="12" t="s">
        <v>630</v>
      </c>
      <c r="G636" s="1086" t="s">
        <v>1682</v>
      </c>
      <c r="H636" s="1086"/>
      <c r="I636" s="1086"/>
      <c r="J636" s="1086"/>
      <c r="K636" s="1086"/>
      <c r="L636" s="1086"/>
      <c r="M636" s="1086"/>
      <c r="N636" s="1086"/>
      <c r="O636" s="1086"/>
      <c r="P636" s="1086"/>
      <c r="Q636" s="1086"/>
      <c r="R636" s="1086"/>
      <c r="S636" s="88"/>
      <c r="T636" s="35"/>
      <c r="U636" s="12" t="s">
        <v>630</v>
      </c>
      <c r="Z636" s="1086" t="s">
        <v>1682</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85" t="s">
        <v>1803</v>
      </c>
      <c r="H637" s="1085"/>
      <c r="I637" s="1085"/>
      <c r="J637" s="1085"/>
      <c r="K637" s="1085"/>
      <c r="L637" s="1085"/>
      <c r="M637" s="1085"/>
      <c r="N637" s="1085"/>
      <c r="O637" s="1085"/>
      <c r="P637" s="1085"/>
      <c r="Q637" s="1085"/>
      <c r="R637" s="1085"/>
      <c r="S637" s="14"/>
      <c r="T637" s="35"/>
      <c r="U637" s="12" t="s">
        <v>19</v>
      </c>
      <c r="Z637" s="1085" t="s">
        <v>1803</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57" t="s">
        <v>1805</v>
      </c>
      <c r="H638" s="1120"/>
      <c r="I638" s="1120"/>
      <c r="J638" s="1120"/>
      <c r="K638" s="1120"/>
      <c r="L638" s="1120"/>
      <c r="O638" s="140" t="s">
        <v>220</v>
      </c>
      <c r="P638" s="1152"/>
      <c r="Q638" s="1152"/>
      <c r="R638" s="1152"/>
      <c r="S638" s="16"/>
      <c r="T638" s="35"/>
      <c r="U638" s="12" t="s">
        <v>338</v>
      </c>
      <c r="Z638" s="1157" t="s">
        <v>1805</v>
      </c>
      <c r="AA638" s="1120"/>
      <c r="AB638" s="1120"/>
      <c r="AC638" s="1120"/>
      <c r="AD638" s="1120"/>
      <c r="AE638" s="1120"/>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86" t="s">
        <v>1795</v>
      </c>
      <c r="I639" s="1086"/>
      <c r="J639" s="1086"/>
      <c r="K639" s="1086"/>
      <c r="L639" s="1086"/>
      <c r="M639" s="1086"/>
      <c r="N639" s="1086"/>
      <c r="O639" s="1086"/>
      <c r="P639" s="1086"/>
      <c r="Q639" s="1086"/>
      <c r="R639" s="1086"/>
      <c r="S639" s="14"/>
      <c r="T639" s="35"/>
      <c r="U639" s="12" t="s">
        <v>20</v>
      </c>
      <c r="AA639" s="1086" t="s">
        <v>1795</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14" t="s">
        <v>591</v>
      </c>
      <c r="O640" s="1114"/>
      <c r="T640" s="35"/>
      <c r="U640" s="12" t="s">
        <v>22</v>
      </c>
      <c r="AG640" s="1114" t="s">
        <v>591</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509</v>
      </c>
      <c r="G642" s="1176" t="str">
        <f>C620</f>
        <v>MOHCD PASS Loan - Deferred Payment Tranche</v>
      </c>
      <c r="H642" s="1176"/>
      <c r="I642" s="1176"/>
      <c r="J642" s="1176"/>
      <c r="K642" s="1176"/>
      <c r="L642" s="1176"/>
      <c r="M642" s="1176"/>
      <c r="N642" s="1176"/>
      <c r="O642" s="1176"/>
      <c r="P642" s="1176"/>
      <c r="Q642" s="1176"/>
      <c r="R642" s="1176"/>
      <c r="T642" s="87" t="s">
        <v>631</v>
      </c>
      <c r="U642" s="12" t="s">
        <v>509</v>
      </c>
      <c r="Z642" s="1176" t="str">
        <f>C621</f>
        <v>SF MOHCD Predev/Perm Loan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86" t="s">
        <v>1804</v>
      </c>
      <c r="H643" s="1086"/>
      <c r="I643" s="1086"/>
      <c r="J643" s="1086"/>
      <c r="K643" s="1086"/>
      <c r="L643" s="1086"/>
      <c r="M643" s="1086"/>
      <c r="N643" s="1086"/>
      <c r="O643" s="1086"/>
      <c r="P643" s="1086"/>
      <c r="Q643" s="1086"/>
      <c r="R643" s="1086"/>
      <c r="T643" s="35"/>
      <c r="U643" s="12" t="s">
        <v>92</v>
      </c>
      <c r="Z643" s="1086" t="s">
        <v>1804</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6" t="s">
        <v>1682</v>
      </c>
      <c r="H644" s="1086"/>
      <c r="I644" s="1086"/>
      <c r="J644" s="1086"/>
      <c r="K644" s="1086"/>
      <c r="L644" s="1086"/>
      <c r="M644" s="1086"/>
      <c r="N644" s="1086"/>
      <c r="O644" s="1086"/>
      <c r="P644" s="1086"/>
      <c r="Q644" s="1086"/>
      <c r="R644" s="1086"/>
      <c r="T644" s="35"/>
      <c r="U644" s="12" t="s">
        <v>630</v>
      </c>
      <c r="Z644" s="1086" t="s">
        <v>1682</v>
      </c>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1803</v>
      </c>
      <c r="H645" s="1085"/>
      <c r="I645" s="1085"/>
      <c r="J645" s="1085"/>
      <c r="K645" s="1085"/>
      <c r="L645" s="1085"/>
      <c r="M645" s="1085"/>
      <c r="N645" s="1085"/>
      <c r="O645" s="1085"/>
      <c r="P645" s="1085"/>
      <c r="Q645" s="1085"/>
      <c r="R645" s="1085"/>
      <c r="T645" s="35"/>
      <c r="U645" s="12" t="s">
        <v>19</v>
      </c>
      <c r="Z645" s="1085" t="s">
        <v>1803</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57" t="s">
        <v>1805</v>
      </c>
      <c r="H646" s="1120"/>
      <c r="I646" s="1120"/>
      <c r="J646" s="1120"/>
      <c r="K646" s="1120"/>
      <c r="L646" s="1120"/>
      <c r="O646" s="140" t="s">
        <v>220</v>
      </c>
      <c r="P646" s="1152"/>
      <c r="Q646" s="1152"/>
      <c r="R646" s="1152"/>
      <c r="T646" s="35"/>
      <c r="U646" s="12" t="s">
        <v>338</v>
      </c>
      <c r="Z646" s="1157" t="s">
        <v>1805</v>
      </c>
      <c r="AA646" s="1120"/>
      <c r="AB646" s="1120"/>
      <c r="AC646" s="1120"/>
      <c r="AD646" s="1120"/>
      <c r="AE646" s="1120"/>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86" t="s">
        <v>1795</v>
      </c>
      <c r="I647" s="1086"/>
      <c r="J647" s="1086"/>
      <c r="K647" s="1086"/>
      <c r="L647" s="1086"/>
      <c r="M647" s="1086"/>
      <c r="N647" s="1086"/>
      <c r="O647" s="1086"/>
      <c r="P647" s="1086"/>
      <c r="Q647" s="1086"/>
      <c r="R647" s="1086"/>
      <c r="T647" s="35"/>
      <c r="U647" s="12" t="s">
        <v>20</v>
      </c>
      <c r="AA647" s="1086" t="s">
        <v>1795</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14" t="s">
        <v>591</v>
      </c>
      <c r="O648" s="1114"/>
      <c r="T648" s="35"/>
      <c r="U648" s="12" t="s">
        <v>22</v>
      </c>
      <c r="AG648" s="1114" t="s">
        <v>591</v>
      </c>
      <c r="AH648" s="1114"/>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3044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841</v>
      </c>
      <c r="B650" s="12" t="s">
        <v>509</v>
      </c>
      <c r="G650" s="1176" t="str">
        <f>C622</f>
        <v>Seller Carryback Loan</v>
      </c>
      <c r="H650" s="1176"/>
      <c r="I650" s="1176"/>
      <c r="J650" s="1176"/>
      <c r="K650" s="1176"/>
      <c r="L650" s="1176"/>
      <c r="M650" s="1176"/>
      <c r="N650" s="1176"/>
      <c r="O650" s="1176"/>
      <c r="P650" s="1176"/>
      <c r="Q650" s="1176"/>
      <c r="R650" s="1176"/>
      <c r="T650" s="87" t="s">
        <v>634</v>
      </c>
      <c r="U650" s="12" t="s">
        <v>509</v>
      </c>
      <c r="Z650" s="1176" t="str">
        <f>C623</f>
        <v>SF MOHCD CDBG Loan</v>
      </c>
      <c r="AA650" s="1176"/>
      <c r="AB650" s="1176"/>
      <c r="AC650" s="1176"/>
      <c r="AD650" s="1176"/>
      <c r="AE650" s="1176"/>
      <c r="AF650" s="1176"/>
      <c r="AG650" s="1176"/>
      <c r="AH650" s="1176"/>
      <c r="AI650" s="1176"/>
      <c r="AJ650" s="1176"/>
      <c r="AK650" s="1176"/>
      <c r="AM650" s="58"/>
      <c r="AN650" s="463">
        <f t="shared" si="22"/>
        <v>3044</v>
      </c>
      <c r="AO650" s="58"/>
      <c r="AP650" s="58"/>
      <c r="AQ650" s="58"/>
      <c r="AR650" s="58"/>
      <c r="AS650" s="399"/>
      <c r="AT650" s="473">
        <f t="shared" ref="AT650:AT674" si="23">G709</f>
        <v>32</v>
      </c>
      <c r="AU650" s="477">
        <f>AT650/$AT$675</f>
        <v>0.55172413793103448</v>
      </c>
      <c r="AV650" s="478">
        <f t="shared" ref="AV650:AV674" si="24">IF(AU650=0," ",AU650*AD709)</f>
        <v>0.13793103448275862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86" t="s">
        <v>1667</v>
      </c>
      <c r="H651" s="1086"/>
      <c r="I651" s="1086"/>
      <c r="J651" s="1086"/>
      <c r="K651" s="1086"/>
      <c r="L651" s="1086"/>
      <c r="M651" s="1086"/>
      <c r="N651" s="1086"/>
      <c r="O651" s="1086"/>
      <c r="P651" s="1086"/>
      <c r="Q651" s="1086"/>
      <c r="R651" s="1086"/>
      <c r="T651" s="35"/>
      <c r="U651" s="12" t="s">
        <v>92</v>
      </c>
      <c r="Z651" s="1086" t="s">
        <v>1804</v>
      </c>
      <c r="AA651" s="1086"/>
      <c r="AB651" s="1086"/>
      <c r="AC651" s="1086"/>
      <c r="AD651" s="1086"/>
      <c r="AE651" s="1086"/>
      <c r="AF651" s="1086"/>
      <c r="AG651" s="1086"/>
      <c r="AH651" s="1086"/>
      <c r="AI651" s="1086"/>
      <c r="AJ651" s="1086"/>
      <c r="AK651" s="1086"/>
      <c r="AM651" s="58"/>
      <c r="AN651" s="463">
        <f t="shared" si="22"/>
        <v>3044</v>
      </c>
      <c r="AO651" s="58"/>
      <c r="AP651" s="58"/>
      <c r="AQ651" s="58"/>
      <c r="AR651" s="58"/>
      <c r="AS651" s="399"/>
      <c r="AT651" s="474">
        <f t="shared" si="23"/>
        <v>10</v>
      </c>
      <c r="AU651" s="477">
        <f t="shared" ref="AU651:AU674" si="25">AT651/$AT$675</f>
        <v>0.17241379310344829</v>
      </c>
      <c r="AV651" s="478">
        <f t="shared" si="24"/>
        <v>8.6206896551724144E-2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630</v>
      </c>
      <c r="G652" s="1086" t="s">
        <v>1669</v>
      </c>
      <c r="H652" s="1086"/>
      <c r="I652" s="1086"/>
      <c r="J652" s="1086"/>
      <c r="K652" s="1086"/>
      <c r="L652" s="1086"/>
      <c r="M652" s="1086"/>
      <c r="N652" s="1086"/>
      <c r="O652" s="1086"/>
      <c r="P652" s="1086"/>
      <c r="Q652" s="1086"/>
      <c r="R652" s="1086"/>
      <c r="T652" s="35"/>
      <c r="U652" s="12" t="s">
        <v>630</v>
      </c>
      <c r="Z652" s="1086" t="s">
        <v>1682</v>
      </c>
      <c r="AA652" s="1086"/>
      <c r="AB652" s="1086"/>
      <c r="AC652" s="1086"/>
      <c r="AD652" s="1086"/>
      <c r="AE652" s="1086"/>
      <c r="AF652" s="1086"/>
      <c r="AG652" s="1086"/>
      <c r="AH652" s="1086"/>
      <c r="AI652" s="1086"/>
      <c r="AJ652" s="1086"/>
      <c r="AK652" s="1086"/>
      <c r="AM652" s="58"/>
      <c r="AN652" s="463" t="str">
        <f t="shared" si="22"/>
        <v>N/A</v>
      </c>
      <c r="AO652" s="58"/>
      <c r="AP652" s="58"/>
      <c r="AQ652" s="58"/>
      <c r="AR652" s="58"/>
      <c r="AS652" s="399"/>
      <c r="AT652" s="474">
        <f t="shared" si="23"/>
        <v>16</v>
      </c>
      <c r="AU652" s="477">
        <f t="shared" si="25"/>
        <v>0.27586206896551724</v>
      </c>
      <c r="AV652" s="478">
        <f t="shared" si="24"/>
        <v>0.13793103448275862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086" t="s">
        <v>1789</v>
      </c>
      <c r="H653" s="1086"/>
      <c r="I653" s="1086"/>
      <c r="J653" s="1086"/>
      <c r="K653" s="1086"/>
      <c r="L653" s="1086"/>
      <c r="M653" s="1086"/>
      <c r="N653" s="1086"/>
      <c r="O653" s="1086"/>
      <c r="P653" s="1086"/>
      <c r="Q653" s="1086"/>
      <c r="R653" s="1086"/>
      <c r="T653" s="35"/>
      <c r="U653" s="12" t="s">
        <v>19</v>
      </c>
      <c r="Z653" s="1085" t="s">
        <v>1803</v>
      </c>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57" t="s">
        <v>1665</v>
      </c>
      <c r="H654" s="1120"/>
      <c r="I654" s="1120"/>
      <c r="J654" s="1120"/>
      <c r="K654" s="1120"/>
      <c r="L654" s="1120"/>
      <c r="O654" s="140" t="s">
        <v>220</v>
      </c>
      <c r="P654" s="1152"/>
      <c r="Q654" s="1152"/>
      <c r="R654" s="1152"/>
      <c r="T654" s="35"/>
      <c r="U654" s="12" t="s">
        <v>338</v>
      </c>
      <c r="Z654" s="1157" t="s">
        <v>1805</v>
      </c>
      <c r="AA654" s="1120"/>
      <c r="AB654" s="1120"/>
      <c r="AC654" s="1120"/>
      <c r="AD654" s="1120"/>
      <c r="AE654" s="1120"/>
      <c r="AH654" s="140" t="s">
        <v>220</v>
      </c>
      <c r="AI654" s="1152"/>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86" t="s">
        <v>1806</v>
      </c>
      <c r="I655" s="1086"/>
      <c r="J655" s="1086"/>
      <c r="K655" s="1086"/>
      <c r="L655" s="1086"/>
      <c r="M655" s="1086"/>
      <c r="N655" s="1086"/>
      <c r="O655" s="1086"/>
      <c r="P655" s="1086"/>
      <c r="Q655" s="1086"/>
      <c r="R655" s="1086"/>
      <c r="T655" s="35"/>
      <c r="U655" s="12" t="s">
        <v>20</v>
      </c>
      <c r="AA655" s="1086" t="s">
        <v>1795</v>
      </c>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14" t="s">
        <v>591</v>
      </c>
      <c r="O656" s="1114"/>
      <c r="T656" s="35"/>
      <c r="U656" s="12" t="s">
        <v>22</v>
      </c>
      <c r="AG656" s="1114" t="s">
        <v>591</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500</v>
      </c>
      <c r="B658" s="12" t="s">
        <v>509</v>
      </c>
      <c r="G658" s="1176" t="str">
        <f>C624</f>
        <v>Income from Operations/Accrued Interest on Soft Loans</v>
      </c>
      <c r="H658" s="1176"/>
      <c r="I658" s="1176"/>
      <c r="J658" s="1176"/>
      <c r="K658" s="1176"/>
      <c r="L658" s="1176"/>
      <c r="M658" s="1176"/>
      <c r="N658" s="1176"/>
      <c r="O658" s="1176"/>
      <c r="P658" s="1176"/>
      <c r="Q658" s="1176"/>
      <c r="R658" s="1176"/>
      <c r="T658" s="87" t="s">
        <v>501</v>
      </c>
      <c r="U658" s="12" t="s">
        <v>509</v>
      </c>
      <c r="Z658" s="1176" t="str">
        <f>C625</f>
        <v>HCD LPR CHRP Loan</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86" t="s">
        <v>1667</v>
      </c>
      <c r="H659" s="1086"/>
      <c r="I659" s="1086"/>
      <c r="J659" s="1086"/>
      <c r="K659" s="1086"/>
      <c r="L659" s="1086"/>
      <c r="M659" s="1086"/>
      <c r="N659" s="1086"/>
      <c r="O659" s="1086"/>
      <c r="P659" s="1086"/>
      <c r="Q659" s="1086"/>
      <c r="R659" s="1086"/>
      <c r="T659" s="35"/>
      <c r="U659" s="12" t="s">
        <v>92</v>
      </c>
      <c r="Z659" s="1086" t="s">
        <v>1799</v>
      </c>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630</v>
      </c>
      <c r="G660" s="1086" t="s">
        <v>1669</v>
      </c>
      <c r="H660" s="1086"/>
      <c r="I660" s="1086"/>
      <c r="J660" s="1086"/>
      <c r="K660" s="1086"/>
      <c r="L660" s="1086"/>
      <c r="M660" s="1086"/>
      <c r="N660" s="1086"/>
      <c r="O660" s="1086"/>
      <c r="P660" s="1086"/>
      <c r="Q660" s="1086"/>
      <c r="R660" s="1086"/>
      <c r="T660" s="35"/>
      <c r="U660" s="12" t="s">
        <v>630</v>
      </c>
      <c r="Z660" s="1085" t="s">
        <v>1792</v>
      </c>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086" t="s">
        <v>1789</v>
      </c>
      <c r="H661" s="1086"/>
      <c r="I661" s="1086"/>
      <c r="J661" s="1086"/>
      <c r="K661" s="1086"/>
      <c r="L661" s="1086"/>
      <c r="M661" s="1086"/>
      <c r="N661" s="1086"/>
      <c r="O661" s="1086"/>
      <c r="P661" s="1086"/>
      <c r="Q661" s="1086"/>
      <c r="R661" s="1086"/>
      <c r="T661" s="35"/>
      <c r="U661" s="12" t="s">
        <v>19</v>
      </c>
      <c r="Z661" s="1085" t="s">
        <v>1800</v>
      </c>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57" t="s">
        <v>1665</v>
      </c>
      <c r="H662" s="1120"/>
      <c r="I662" s="1120"/>
      <c r="J662" s="1120"/>
      <c r="K662" s="1120"/>
      <c r="L662" s="1120"/>
      <c r="O662" s="140" t="s">
        <v>220</v>
      </c>
      <c r="P662" s="1152"/>
      <c r="Q662" s="1152"/>
      <c r="R662" s="1152"/>
      <c r="T662" s="35"/>
      <c r="U662" s="12" t="s">
        <v>338</v>
      </c>
      <c r="Z662" s="1157" t="s">
        <v>1801</v>
      </c>
      <c r="AA662" s="1120"/>
      <c r="AB662" s="1120"/>
      <c r="AC662" s="1120"/>
      <c r="AD662" s="1120"/>
      <c r="AE662" s="1120"/>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86" t="s">
        <v>1802</v>
      </c>
      <c r="I663" s="1086"/>
      <c r="J663" s="1086"/>
      <c r="K663" s="1086"/>
      <c r="L663" s="1086"/>
      <c r="M663" s="1086"/>
      <c r="N663" s="1086"/>
      <c r="O663" s="1086"/>
      <c r="P663" s="1086"/>
      <c r="Q663" s="1086"/>
      <c r="R663" s="1086"/>
      <c r="T663" s="35"/>
      <c r="U663" s="12" t="s">
        <v>20</v>
      </c>
      <c r="AA663" s="1086" t="s">
        <v>1795</v>
      </c>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14" t="s">
        <v>591</v>
      </c>
      <c r="O664" s="1114"/>
      <c r="T664" s="35"/>
      <c r="U664" s="12" t="s">
        <v>22</v>
      </c>
      <c r="AG664" s="1114" t="s">
        <v>591</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507</v>
      </c>
      <c r="B666" s="12" t="s">
        <v>509</v>
      </c>
      <c r="G666" s="1176" t="str">
        <f>C626</f>
        <v>Deferred Developer Fees/GP Capital/GP Capital (Reserves)</v>
      </c>
      <c r="H666" s="1176"/>
      <c r="I666" s="1176"/>
      <c r="J666" s="1176"/>
      <c r="K666" s="1176"/>
      <c r="L666" s="1176"/>
      <c r="M666" s="1176"/>
      <c r="N666" s="1176"/>
      <c r="O666" s="1176"/>
      <c r="P666" s="1176"/>
      <c r="Q666" s="1176"/>
      <c r="R666" s="1176"/>
      <c r="T666" s="87" t="s">
        <v>696</v>
      </c>
      <c r="U666" s="12" t="s">
        <v>509</v>
      </c>
      <c r="Z666" s="1176" t="str">
        <f>C627</f>
        <v>HCD MHP-SH Loan</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86" t="s">
        <v>1667</v>
      </c>
      <c r="H667" s="1086"/>
      <c r="I667" s="1086"/>
      <c r="J667" s="1086"/>
      <c r="K667" s="1086"/>
      <c r="L667" s="1086"/>
      <c r="M667" s="1086"/>
      <c r="N667" s="1086"/>
      <c r="O667" s="1086"/>
      <c r="P667" s="1086"/>
      <c r="Q667" s="1086"/>
      <c r="R667" s="1086"/>
      <c r="T667" s="35"/>
      <c r="U667" s="12" t="s">
        <v>92</v>
      </c>
      <c r="Z667" s="1086" t="s">
        <v>1791</v>
      </c>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630</v>
      </c>
      <c r="G668" s="1086" t="s">
        <v>1669</v>
      </c>
      <c r="H668" s="1086"/>
      <c r="I668" s="1086"/>
      <c r="J668" s="1086"/>
      <c r="K668" s="1086"/>
      <c r="L668" s="1086"/>
      <c r="M668" s="1086"/>
      <c r="N668" s="1086"/>
      <c r="O668" s="1086"/>
      <c r="P668" s="1086"/>
      <c r="Q668" s="1086"/>
      <c r="R668" s="1086"/>
      <c r="T668" s="35"/>
      <c r="U668" s="12" t="s">
        <v>630</v>
      </c>
      <c r="Z668" s="1085" t="s">
        <v>1792</v>
      </c>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86" t="s">
        <v>1789</v>
      </c>
      <c r="H669" s="1086"/>
      <c r="I669" s="1086"/>
      <c r="J669" s="1086"/>
      <c r="K669" s="1086"/>
      <c r="L669" s="1086"/>
      <c r="M669" s="1086"/>
      <c r="N669" s="1086"/>
      <c r="O669" s="1086"/>
      <c r="P669" s="1086"/>
      <c r="Q669" s="1086"/>
      <c r="R669" s="1086"/>
      <c r="T669" s="35"/>
      <c r="U669" s="12" t="s">
        <v>19</v>
      </c>
      <c r="Z669" s="1085" t="s">
        <v>1793</v>
      </c>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57" t="s">
        <v>1665</v>
      </c>
      <c r="H670" s="1120"/>
      <c r="I670" s="1120"/>
      <c r="J670" s="1120"/>
      <c r="K670" s="1120"/>
      <c r="L670" s="1120"/>
      <c r="O670" s="140" t="s">
        <v>220</v>
      </c>
      <c r="P670" s="1152"/>
      <c r="Q670" s="1152"/>
      <c r="R670" s="1152"/>
      <c r="T670" s="35"/>
      <c r="U670" s="12" t="s">
        <v>338</v>
      </c>
      <c r="Z670" s="1157" t="s">
        <v>1794</v>
      </c>
      <c r="AA670" s="1120"/>
      <c r="AB670" s="1120"/>
      <c r="AC670" s="1120"/>
      <c r="AD670" s="1120"/>
      <c r="AE670" s="1120"/>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86" t="s">
        <v>1802</v>
      </c>
      <c r="I671" s="1086"/>
      <c r="J671" s="1086"/>
      <c r="K671" s="1086"/>
      <c r="L671" s="1086"/>
      <c r="M671" s="1086"/>
      <c r="N671" s="1086"/>
      <c r="O671" s="1086"/>
      <c r="P671" s="1086"/>
      <c r="Q671" s="1086"/>
      <c r="R671" s="1086"/>
      <c r="T671" s="35"/>
      <c r="U671" s="12" t="s">
        <v>20</v>
      </c>
      <c r="AA671" s="1086" t="s">
        <v>1795</v>
      </c>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14" t="s">
        <v>591</v>
      </c>
      <c r="O672" s="1114"/>
      <c r="T672" s="35"/>
      <c r="U672" s="12" t="s">
        <v>22</v>
      </c>
      <c r="AG672" s="1114" t="s">
        <v>591</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509</v>
      </c>
      <c r="G674" s="1176" t="str">
        <f>C628</f>
        <v>Sponsor Seller Carryback Loan</v>
      </c>
      <c r="H674" s="1176"/>
      <c r="I674" s="1176"/>
      <c r="J674" s="1176"/>
      <c r="K674" s="1176"/>
      <c r="L674" s="1176"/>
      <c r="M674" s="1176"/>
      <c r="N674" s="1176"/>
      <c r="O674" s="1176"/>
      <c r="P674" s="1176"/>
      <c r="Q674" s="1176"/>
      <c r="R674" s="1176"/>
      <c r="T674" s="87" t="s">
        <v>387</v>
      </c>
      <c r="U674" s="12" t="s">
        <v>509</v>
      </c>
      <c r="Z674" s="1176" t="str">
        <f>C629</f>
        <v>FHLB AHP</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86" t="s">
        <v>1667</v>
      </c>
      <c r="H675" s="1086"/>
      <c r="I675" s="1086"/>
      <c r="J675" s="1086"/>
      <c r="K675" s="1086"/>
      <c r="L675" s="1086"/>
      <c r="M675" s="1086"/>
      <c r="N675" s="1086"/>
      <c r="O675" s="1086"/>
      <c r="P675" s="1086"/>
      <c r="Q675" s="1086"/>
      <c r="R675" s="1086"/>
      <c r="T675" s="35"/>
      <c r="U675" s="12" t="s">
        <v>92</v>
      </c>
      <c r="Z675" s="1086" t="s">
        <v>1796</v>
      </c>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58</v>
      </c>
      <c r="AU675" s="480">
        <f>SUM(AU650:AU674)</f>
        <v>1</v>
      </c>
      <c r="AV675" s="480">
        <f>SUM(AV650:AV674)</f>
        <v>0.36206896551724138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630</v>
      </c>
      <c r="G676" s="1086" t="s">
        <v>1669</v>
      </c>
      <c r="H676" s="1086"/>
      <c r="I676" s="1086"/>
      <c r="J676" s="1086"/>
      <c r="K676" s="1086"/>
      <c r="L676" s="1086"/>
      <c r="M676" s="1086"/>
      <c r="N676" s="1086"/>
      <c r="O676" s="1086"/>
      <c r="P676" s="1086"/>
      <c r="Q676" s="1086"/>
      <c r="R676" s="1086"/>
      <c r="U676" s="12" t="s">
        <v>630</v>
      </c>
      <c r="Z676" s="1085" t="s">
        <v>1696</v>
      </c>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86" t="s">
        <v>1789</v>
      </c>
      <c r="H677" s="1086"/>
      <c r="I677" s="1086"/>
      <c r="J677" s="1086"/>
      <c r="K677" s="1086"/>
      <c r="L677" s="1086"/>
      <c r="M677" s="1086"/>
      <c r="N677" s="1086"/>
      <c r="O677" s="1086"/>
      <c r="P677" s="1086"/>
      <c r="Q677" s="1086"/>
      <c r="R677" s="1086"/>
      <c r="U677" s="12" t="s">
        <v>19</v>
      </c>
      <c r="Z677" s="1085" t="s">
        <v>1797</v>
      </c>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57" t="s">
        <v>1665</v>
      </c>
      <c r="H678" s="1120"/>
      <c r="I678" s="1120"/>
      <c r="J678" s="1120"/>
      <c r="K678" s="1120"/>
      <c r="L678" s="1120"/>
      <c r="O678" s="140" t="s">
        <v>220</v>
      </c>
      <c r="P678" s="1152"/>
      <c r="Q678" s="1152"/>
      <c r="R678" s="1152"/>
      <c r="U678" s="12" t="s">
        <v>338</v>
      </c>
      <c r="Z678" s="1157" t="s">
        <v>1798</v>
      </c>
      <c r="AA678" s="1120"/>
      <c r="AB678" s="1120"/>
      <c r="AC678" s="1120"/>
      <c r="AD678" s="1120"/>
      <c r="AE678" s="1120"/>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86" t="s">
        <v>1795</v>
      </c>
      <c r="I679" s="1086"/>
      <c r="J679" s="1086"/>
      <c r="K679" s="1086"/>
      <c r="L679" s="1086"/>
      <c r="M679" s="1086"/>
      <c r="N679" s="1086"/>
      <c r="O679" s="1086"/>
      <c r="P679" s="1086"/>
      <c r="Q679" s="1086"/>
      <c r="R679" s="1086"/>
      <c r="U679" s="12" t="s">
        <v>20</v>
      </c>
      <c r="AA679" s="1086" t="s">
        <v>1795</v>
      </c>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14" t="s">
        <v>591</v>
      </c>
      <c r="O680" s="1114"/>
      <c r="U680" s="12" t="s">
        <v>22</v>
      </c>
      <c r="AG680" s="1114" t="s">
        <v>591</v>
      </c>
      <c r="AH680" s="111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591</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722</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44098</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44174</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44287</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v>0.55430000000000001</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 xml:space="preserve">SF Mayor's Office of Housing </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722</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0"/>
      <c r="K696" s="1120"/>
      <c r="L696" s="1120"/>
      <c r="M696" s="1120"/>
      <c r="N696" s="1120"/>
      <c r="O696" s="1120"/>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480</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300" t="s">
        <v>102</v>
      </c>
      <c r="B700" s="1300"/>
      <c r="C700" s="1300"/>
      <c r="D700" s="1300"/>
      <c r="E700" s="1300"/>
      <c r="F700" s="1300"/>
      <c r="G700" s="1300"/>
      <c r="H700" s="1300"/>
      <c r="I700" s="1300"/>
      <c r="J700" s="1300"/>
      <c r="K700" s="1300"/>
      <c r="L700" s="1300"/>
      <c r="M700" s="1300"/>
      <c r="N700" s="1300"/>
      <c r="O700" s="1300"/>
      <c r="P700" s="1300"/>
      <c r="Q700" s="1300"/>
      <c r="R700" s="1300"/>
      <c r="S700" s="1300"/>
      <c r="T700" s="1300"/>
      <c r="U700" s="1300"/>
      <c r="V700" s="1300"/>
      <c r="W700" s="1300"/>
      <c r="X700" s="1300"/>
      <c r="Y700" s="1300"/>
      <c r="Z700" s="1300"/>
      <c r="AA700" s="1300"/>
      <c r="AB700" s="1300"/>
      <c r="AC700" s="1300"/>
      <c r="AD700" s="1300"/>
      <c r="AE700" s="1300"/>
      <c r="AF700" s="1300"/>
      <c r="AG700" s="1300"/>
      <c r="AH700" s="1300"/>
      <c r="AI700" s="1300"/>
      <c r="AJ700" s="1300"/>
      <c r="AK700" s="1300"/>
      <c r="AL700" s="130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389" t="s">
        <v>421</v>
      </c>
      <c r="C705" s="1390"/>
      <c r="D705" s="1390"/>
      <c r="E705" s="1390"/>
      <c r="F705" s="1391"/>
      <c r="G705" s="1389" t="s">
        <v>302</v>
      </c>
      <c r="H705" s="1390"/>
      <c r="I705" s="1390"/>
      <c r="J705" s="1391"/>
      <c r="K705" s="1389" t="s">
        <v>491</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697</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61" t="s">
        <v>347</v>
      </c>
      <c r="C709" s="1262"/>
      <c r="D709" s="1262"/>
      <c r="E709" s="1262"/>
      <c r="F709" s="1382"/>
      <c r="G709" s="1376">
        <v>32</v>
      </c>
      <c r="H709" s="1377"/>
      <c r="I709" s="1377"/>
      <c r="J709" s="1378"/>
      <c r="K709" s="1386">
        <v>207</v>
      </c>
      <c r="L709" s="1387"/>
      <c r="M709" s="1387"/>
      <c r="N709" s="1387"/>
      <c r="O709" s="1388"/>
      <c r="P709" s="1383">
        <f t="shared" ref="P709:P733" si="26">G709*K709</f>
        <v>6624</v>
      </c>
      <c r="Q709" s="1384"/>
      <c r="R709" s="1384"/>
      <c r="S709" s="1384"/>
      <c r="T709" s="1385"/>
      <c r="U709" s="1386">
        <v>0</v>
      </c>
      <c r="V709" s="1387"/>
      <c r="W709" s="1387"/>
      <c r="X709" s="1388"/>
      <c r="Y709" s="1383">
        <f>K709+U709</f>
        <v>207</v>
      </c>
      <c r="Z709" s="1384"/>
      <c r="AA709" s="1384"/>
      <c r="AB709" s="1384"/>
      <c r="AC709" s="1385"/>
      <c r="AD709" s="1180">
        <v>0.25</v>
      </c>
      <c r="AE709" s="1181"/>
      <c r="AF709" s="1181"/>
      <c r="AG709" s="1181"/>
      <c r="AH709" s="1182"/>
      <c r="AI709" s="1271">
        <f t="shared" ref="AI709:AI733" si="27">IF($AD709&gt;0,($Y709/$AN649), " ")</f>
        <v>6.8002628120893555E-2</v>
      </c>
      <c r="AJ709" s="1272"/>
      <c r="AK709" s="127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61" t="s">
        <v>347</v>
      </c>
      <c r="C710" s="1262"/>
      <c r="D710" s="1262"/>
      <c r="E710" s="1262"/>
      <c r="F710" s="1382"/>
      <c r="G710" s="1376">
        <v>10</v>
      </c>
      <c r="H710" s="1377"/>
      <c r="I710" s="1377"/>
      <c r="J710" s="1378"/>
      <c r="K710" s="1386">
        <v>207</v>
      </c>
      <c r="L710" s="1387"/>
      <c r="M710" s="1387"/>
      <c r="N710" s="1387"/>
      <c r="O710" s="1388"/>
      <c r="P710" s="1383">
        <f t="shared" si="26"/>
        <v>2070</v>
      </c>
      <c r="Q710" s="1384"/>
      <c r="R710" s="1384"/>
      <c r="S710" s="1384"/>
      <c r="T710" s="1385"/>
      <c r="U710" s="1386">
        <v>0</v>
      </c>
      <c r="V710" s="1387"/>
      <c r="W710" s="1387"/>
      <c r="X710" s="1388"/>
      <c r="Y710" s="1383">
        <f t="shared" ref="Y710:Y733" si="28">K710+U710</f>
        <v>207</v>
      </c>
      <c r="Z710" s="1384"/>
      <c r="AA710" s="1384"/>
      <c r="AB710" s="1384"/>
      <c r="AC710" s="1385"/>
      <c r="AD710" s="1180">
        <v>0.5</v>
      </c>
      <c r="AE710" s="1181"/>
      <c r="AF710" s="1181"/>
      <c r="AG710" s="1181"/>
      <c r="AH710" s="1182"/>
      <c r="AI710" s="1271">
        <f t="shared" si="27"/>
        <v>6.8002628120893555E-2</v>
      </c>
      <c r="AJ710" s="1272"/>
      <c r="AK710" s="127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261" t="s">
        <v>347</v>
      </c>
      <c r="C711" s="1262"/>
      <c r="D711" s="1262"/>
      <c r="E711" s="1262"/>
      <c r="F711" s="1382"/>
      <c r="G711" s="1376">
        <v>16</v>
      </c>
      <c r="H711" s="1377"/>
      <c r="I711" s="1377"/>
      <c r="J711" s="1378"/>
      <c r="K711" s="1386">
        <v>207</v>
      </c>
      <c r="L711" s="1387"/>
      <c r="M711" s="1387"/>
      <c r="N711" s="1387"/>
      <c r="O711" s="1388"/>
      <c r="P711" s="1383">
        <f t="shared" si="26"/>
        <v>3312</v>
      </c>
      <c r="Q711" s="1384"/>
      <c r="R711" s="1384"/>
      <c r="S711" s="1384"/>
      <c r="T711" s="1385"/>
      <c r="U711" s="1386">
        <v>0</v>
      </c>
      <c r="V711" s="1387"/>
      <c r="W711" s="1387"/>
      <c r="X711" s="1388"/>
      <c r="Y711" s="1383">
        <f t="shared" si="28"/>
        <v>207</v>
      </c>
      <c r="Z711" s="1384"/>
      <c r="AA711" s="1384"/>
      <c r="AB711" s="1384"/>
      <c r="AC711" s="1385"/>
      <c r="AD711" s="1180">
        <v>0.5</v>
      </c>
      <c r="AE711" s="1181"/>
      <c r="AF711" s="1181"/>
      <c r="AG711" s="1181"/>
      <c r="AH711" s="1182"/>
      <c r="AI711" s="1271">
        <f t="shared" si="27"/>
        <v>6.8002628120893555E-2</v>
      </c>
      <c r="AJ711" s="1272"/>
      <c r="AK711" s="127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261"/>
      <c r="C712" s="1262"/>
      <c r="D712" s="1262"/>
      <c r="E712" s="1262"/>
      <c r="F712" s="1382"/>
      <c r="G712" s="1376"/>
      <c r="H712" s="1377"/>
      <c r="I712" s="1377"/>
      <c r="J712" s="1378"/>
      <c r="K712" s="1398"/>
      <c r="L712" s="1398"/>
      <c r="M712" s="1398"/>
      <c r="N712" s="1398"/>
      <c r="O712" s="1398"/>
      <c r="P712" s="1115">
        <f t="shared" si="26"/>
        <v>0</v>
      </c>
      <c r="Q712" s="1115"/>
      <c r="R712" s="1115"/>
      <c r="S712" s="1115"/>
      <c r="T712" s="1115"/>
      <c r="U712" s="1386">
        <v>0</v>
      </c>
      <c r="V712" s="1387"/>
      <c r="W712" s="1387"/>
      <c r="X712" s="1388"/>
      <c r="Y712" s="1115">
        <f t="shared" si="28"/>
        <v>0</v>
      </c>
      <c r="Z712" s="1115"/>
      <c r="AA712" s="1115"/>
      <c r="AB712" s="1115"/>
      <c r="AC712" s="1115"/>
      <c r="AD712" s="1180"/>
      <c r="AE712" s="1181"/>
      <c r="AF712" s="1181"/>
      <c r="AG712" s="1181"/>
      <c r="AH712" s="1182"/>
      <c r="AI712" s="1271" t="str">
        <f t="shared" si="27"/>
        <v xml:space="preserve"> </v>
      </c>
      <c r="AJ712" s="1272"/>
      <c r="AK712" s="127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261"/>
      <c r="C713" s="1262"/>
      <c r="D713" s="1262"/>
      <c r="E713" s="1262"/>
      <c r="F713" s="1382"/>
      <c r="G713" s="1376"/>
      <c r="H713" s="1377"/>
      <c r="I713" s="1377"/>
      <c r="J713" s="1378"/>
      <c r="K713" s="1398"/>
      <c r="L713" s="1398"/>
      <c r="M713" s="1398"/>
      <c r="N713" s="1398"/>
      <c r="O713" s="1398"/>
      <c r="P713" s="1115">
        <f t="shared" si="26"/>
        <v>0</v>
      </c>
      <c r="Q713" s="1115"/>
      <c r="R713" s="1115"/>
      <c r="S713" s="1115"/>
      <c r="T713" s="1115"/>
      <c r="U713" s="1386">
        <v>0</v>
      </c>
      <c r="V713" s="1387"/>
      <c r="W713" s="1387"/>
      <c r="X713" s="1388"/>
      <c r="Y713" s="1115">
        <f t="shared" si="28"/>
        <v>0</v>
      </c>
      <c r="Z713" s="1115"/>
      <c r="AA713" s="1115"/>
      <c r="AB713" s="1115"/>
      <c r="AC713" s="1115"/>
      <c r="AD713" s="1180"/>
      <c r="AE713" s="1181"/>
      <c r="AF713" s="1181"/>
      <c r="AG713" s="1181"/>
      <c r="AH713" s="1182"/>
      <c r="AI713" s="1271" t="str">
        <f t="shared" si="27"/>
        <v xml:space="preserve"> </v>
      </c>
      <c r="AJ713" s="1272"/>
      <c r="AK713" s="127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261"/>
      <c r="C714" s="1262"/>
      <c r="D714" s="1262"/>
      <c r="E714" s="1262"/>
      <c r="F714" s="1382"/>
      <c r="G714" s="1376"/>
      <c r="H714" s="1377"/>
      <c r="I714" s="1377"/>
      <c r="J714" s="1378"/>
      <c r="K714" s="1398"/>
      <c r="L714" s="1398"/>
      <c r="M714" s="1398"/>
      <c r="N714" s="1398"/>
      <c r="O714" s="1398"/>
      <c r="P714" s="1115">
        <f t="shared" si="26"/>
        <v>0</v>
      </c>
      <c r="Q714" s="1115"/>
      <c r="R714" s="1115"/>
      <c r="S714" s="1115"/>
      <c r="T714" s="1115"/>
      <c r="U714" s="1386">
        <v>0</v>
      </c>
      <c r="V714" s="1387"/>
      <c r="W714" s="1387"/>
      <c r="X714" s="1388"/>
      <c r="Y714" s="1115">
        <f t="shared" si="28"/>
        <v>0</v>
      </c>
      <c r="Z714" s="1115"/>
      <c r="AA714" s="1115"/>
      <c r="AB714" s="1115"/>
      <c r="AC714" s="1115"/>
      <c r="AD714" s="1180"/>
      <c r="AE714" s="1181"/>
      <c r="AF714" s="1181"/>
      <c r="AG714" s="1181"/>
      <c r="AH714" s="1182"/>
      <c r="AI714" s="1271" t="str">
        <f t="shared" si="27"/>
        <v xml:space="preserve"> </v>
      </c>
      <c r="AJ714" s="1272"/>
      <c r="AK714" s="127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261"/>
      <c r="C715" s="1262"/>
      <c r="D715" s="1262"/>
      <c r="E715" s="1262"/>
      <c r="F715" s="1382"/>
      <c r="G715" s="1376"/>
      <c r="H715" s="1377"/>
      <c r="I715" s="1377"/>
      <c r="J715" s="1378"/>
      <c r="K715" s="1398"/>
      <c r="L715" s="1398"/>
      <c r="M715" s="1398"/>
      <c r="N715" s="1398"/>
      <c r="O715" s="1398"/>
      <c r="P715" s="1115">
        <f t="shared" si="26"/>
        <v>0</v>
      </c>
      <c r="Q715" s="1115"/>
      <c r="R715" s="1115"/>
      <c r="S715" s="1115"/>
      <c r="T715" s="1115"/>
      <c r="U715" s="1386"/>
      <c r="V715" s="1387"/>
      <c r="W715" s="1387"/>
      <c r="X715" s="1388"/>
      <c r="Y715" s="1115">
        <f t="shared" si="28"/>
        <v>0</v>
      </c>
      <c r="Z715" s="1115"/>
      <c r="AA715" s="1115"/>
      <c r="AB715" s="1115"/>
      <c r="AC715" s="1115"/>
      <c r="AD715" s="1180"/>
      <c r="AE715" s="1181"/>
      <c r="AF715" s="1181"/>
      <c r="AG715" s="1181"/>
      <c r="AH715" s="1182"/>
      <c r="AI715" s="1271" t="str">
        <f t="shared" si="27"/>
        <v xml:space="preserve"> </v>
      </c>
      <c r="AJ715" s="1272"/>
      <c r="AK715" s="127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261"/>
      <c r="C716" s="1262"/>
      <c r="D716" s="1262"/>
      <c r="E716" s="1262"/>
      <c r="F716" s="1382"/>
      <c r="G716" s="1376"/>
      <c r="H716" s="1377"/>
      <c r="I716" s="1377"/>
      <c r="J716" s="1378"/>
      <c r="K716" s="1398"/>
      <c r="L716" s="1398"/>
      <c r="M716" s="1398"/>
      <c r="N716" s="1398"/>
      <c r="O716" s="1398"/>
      <c r="P716" s="1115">
        <f t="shared" si="26"/>
        <v>0</v>
      </c>
      <c r="Q716" s="1115"/>
      <c r="R716" s="1115"/>
      <c r="S716" s="1115"/>
      <c r="T716" s="1115"/>
      <c r="U716" s="1386"/>
      <c r="V716" s="1387"/>
      <c r="W716" s="1387"/>
      <c r="X716" s="1388"/>
      <c r="Y716" s="1115">
        <f t="shared" si="28"/>
        <v>0</v>
      </c>
      <c r="Z716" s="1115"/>
      <c r="AA716" s="1115"/>
      <c r="AB716" s="1115"/>
      <c r="AC716" s="1115"/>
      <c r="AD716" s="1180"/>
      <c r="AE716" s="1181"/>
      <c r="AF716" s="1181"/>
      <c r="AG716" s="1181"/>
      <c r="AH716" s="1182"/>
      <c r="AI716" s="1271" t="str">
        <f t="shared" si="27"/>
        <v xml:space="preserve"> </v>
      </c>
      <c r="AJ716" s="1272"/>
      <c r="AK716" s="127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261"/>
      <c r="C717" s="1262"/>
      <c r="D717" s="1262"/>
      <c r="E717" s="1262"/>
      <c r="F717" s="1382"/>
      <c r="G717" s="1376"/>
      <c r="H717" s="1377"/>
      <c r="I717" s="1377"/>
      <c r="J717" s="1378"/>
      <c r="K717" s="1398"/>
      <c r="L717" s="1398"/>
      <c r="M717" s="1398"/>
      <c r="N717" s="1398"/>
      <c r="O717" s="1398"/>
      <c r="P717" s="1115">
        <f t="shared" si="26"/>
        <v>0</v>
      </c>
      <c r="Q717" s="1115"/>
      <c r="R717" s="1115"/>
      <c r="S717" s="1115"/>
      <c r="T717" s="1115"/>
      <c r="U717" s="1386"/>
      <c r="V717" s="1387"/>
      <c r="W717" s="1387"/>
      <c r="X717" s="1388"/>
      <c r="Y717" s="1115">
        <f t="shared" si="28"/>
        <v>0</v>
      </c>
      <c r="Z717" s="1115"/>
      <c r="AA717" s="1115"/>
      <c r="AB717" s="1115"/>
      <c r="AC717" s="1115"/>
      <c r="AD717" s="1180"/>
      <c r="AE717" s="1181"/>
      <c r="AF717" s="1181"/>
      <c r="AG717" s="1181"/>
      <c r="AH717" s="1182"/>
      <c r="AI717" s="1271" t="str">
        <f t="shared" si="27"/>
        <v xml:space="preserve"> </v>
      </c>
      <c r="AJ717" s="1272"/>
      <c r="AK717" s="127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261"/>
      <c r="C718" s="1262"/>
      <c r="D718" s="1262"/>
      <c r="E718" s="1262"/>
      <c r="F718" s="1382"/>
      <c r="G718" s="1376"/>
      <c r="H718" s="1377"/>
      <c r="I718" s="1377"/>
      <c r="J718" s="1378"/>
      <c r="K718" s="1548"/>
      <c r="L718" s="1548"/>
      <c r="M718" s="1548"/>
      <c r="N718" s="1548"/>
      <c r="O718" s="1548"/>
      <c r="P718" s="1549">
        <f t="shared" si="26"/>
        <v>0</v>
      </c>
      <c r="Q718" s="1549"/>
      <c r="R718" s="1549"/>
      <c r="S718" s="1549"/>
      <c r="T718" s="1549"/>
      <c r="U718" s="1386"/>
      <c r="V718" s="1387"/>
      <c r="W718" s="1387"/>
      <c r="X718" s="1388"/>
      <c r="Y718" s="1549">
        <f t="shared" si="28"/>
        <v>0</v>
      </c>
      <c r="Z718" s="1549"/>
      <c r="AA718" s="1549"/>
      <c r="AB718" s="1549"/>
      <c r="AC718" s="1549"/>
      <c r="AD718" s="1180"/>
      <c r="AE718" s="1181"/>
      <c r="AF718" s="1181"/>
      <c r="AG718" s="1181"/>
      <c r="AH718" s="1182"/>
      <c r="AI718" s="1271" t="str">
        <f t="shared" si="27"/>
        <v xml:space="preserve"> </v>
      </c>
      <c r="AJ718" s="1272"/>
      <c r="AK718" s="127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261"/>
      <c r="C719" s="1262"/>
      <c r="D719" s="1262"/>
      <c r="E719" s="1262"/>
      <c r="F719" s="1382"/>
      <c r="G719" s="1376"/>
      <c r="H719" s="1377"/>
      <c r="I719" s="1377"/>
      <c r="J719" s="1378"/>
      <c r="K719" s="1398"/>
      <c r="L719" s="1398"/>
      <c r="M719" s="1398"/>
      <c r="N719" s="1398"/>
      <c r="O719" s="1398"/>
      <c r="P719" s="1115">
        <f t="shared" si="26"/>
        <v>0</v>
      </c>
      <c r="Q719" s="1115"/>
      <c r="R719" s="1115"/>
      <c r="S719" s="1115"/>
      <c r="T719" s="1115"/>
      <c r="U719" s="1386"/>
      <c r="V719" s="1387"/>
      <c r="W719" s="1387"/>
      <c r="X719" s="1388"/>
      <c r="Y719" s="1115">
        <f t="shared" si="28"/>
        <v>0</v>
      </c>
      <c r="Z719" s="1115"/>
      <c r="AA719" s="1115"/>
      <c r="AB719" s="1115"/>
      <c r="AC719" s="1115"/>
      <c r="AD719" s="1180"/>
      <c r="AE719" s="1181"/>
      <c r="AF719" s="1181"/>
      <c r="AG719" s="1181"/>
      <c r="AH719" s="1182"/>
      <c r="AI719" s="1271" t="str">
        <f t="shared" si="27"/>
        <v xml:space="preserve"> </v>
      </c>
      <c r="AJ719" s="1272"/>
      <c r="AK719" s="127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261"/>
      <c r="C720" s="1262"/>
      <c r="D720" s="1262"/>
      <c r="E720" s="1262"/>
      <c r="F720" s="1382"/>
      <c r="G720" s="1376"/>
      <c r="H720" s="1377"/>
      <c r="I720" s="1377"/>
      <c r="J720" s="1378"/>
      <c r="K720" s="1398"/>
      <c r="L720" s="1398"/>
      <c r="M720" s="1398"/>
      <c r="N720" s="1398"/>
      <c r="O720" s="1398"/>
      <c r="P720" s="1115">
        <f t="shared" si="26"/>
        <v>0</v>
      </c>
      <c r="Q720" s="1115"/>
      <c r="R720" s="1115"/>
      <c r="S720" s="1115"/>
      <c r="T720" s="1115"/>
      <c r="U720" s="1386">
        <v>0</v>
      </c>
      <c r="V720" s="1387"/>
      <c r="W720" s="1387"/>
      <c r="X720" s="1388"/>
      <c r="Y720" s="1115">
        <f t="shared" si="28"/>
        <v>0</v>
      </c>
      <c r="Z720" s="1115"/>
      <c r="AA720" s="1115"/>
      <c r="AB720" s="1115"/>
      <c r="AC720" s="1115"/>
      <c r="AD720" s="1180">
        <v>0</v>
      </c>
      <c r="AE720" s="1181"/>
      <c r="AF720" s="1181"/>
      <c r="AG720" s="1181"/>
      <c r="AH720" s="1182"/>
      <c r="AI720" s="1271" t="str">
        <f t="shared" si="27"/>
        <v xml:space="preserve"> </v>
      </c>
      <c r="AJ720" s="1272"/>
      <c r="AK720" s="127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261"/>
      <c r="C721" s="1262"/>
      <c r="D721" s="1262"/>
      <c r="E721" s="1262"/>
      <c r="F721" s="1382"/>
      <c r="G721" s="1376"/>
      <c r="H721" s="1377"/>
      <c r="I721" s="1377"/>
      <c r="J721" s="1378"/>
      <c r="K721" s="1398"/>
      <c r="L721" s="1398"/>
      <c r="M721" s="1398"/>
      <c r="N721" s="1398"/>
      <c r="O721" s="1398"/>
      <c r="P721" s="1115">
        <f t="shared" si="26"/>
        <v>0</v>
      </c>
      <c r="Q721" s="1115"/>
      <c r="R721" s="1115"/>
      <c r="S721" s="1115"/>
      <c r="T721" s="1115"/>
      <c r="U721" s="1386">
        <v>0</v>
      </c>
      <c r="V721" s="1387"/>
      <c r="W721" s="1387"/>
      <c r="X721" s="1388"/>
      <c r="Y721" s="1115">
        <f t="shared" si="28"/>
        <v>0</v>
      </c>
      <c r="Z721" s="1115"/>
      <c r="AA721" s="1115"/>
      <c r="AB721" s="1115"/>
      <c r="AC721" s="1115"/>
      <c r="AD721" s="1180">
        <v>0</v>
      </c>
      <c r="AE721" s="1181"/>
      <c r="AF721" s="1181"/>
      <c r="AG721" s="1181"/>
      <c r="AH721" s="1182"/>
      <c r="AI721" s="1271" t="str">
        <f t="shared" si="27"/>
        <v xml:space="preserve"> </v>
      </c>
      <c r="AJ721" s="1272"/>
      <c r="AK721" s="127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261"/>
      <c r="C722" s="1262"/>
      <c r="D722" s="1262"/>
      <c r="E722" s="1262"/>
      <c r="F722" s="1382"/>
      <c r="G722" s="1376"/>
      <c r="H722" s="1377"/>
      <c r="I722" s="1377"/>
      <c r="J722" s="1378"/>
      <c r="K722" s="1398"/>
      <c r="L722" s="1398"/>
      <c r="M722" s="1398"/>
      <c r="N722" s="1398"/>
      <c r="O722" s="1398"/>
      <c r="P722" s="1115">
        <f t="shared" si="26"/>
        <v>0</v>
      </c>
      <c r="Q722" s="1115"/>
      <c r="R722" s="1115"/>
      <c r="S722" s="1115"/>
      <c r="T722" s="1115"/>
      <c r="U722" s="1386">
        <v>0</v>
      </c>
      <c r="V722" s="1387"/>
      <c r="W722" s="1387"/>
      <c r="X722" s="1388"/>
      <c r="Y722" s="1115">
        <f t="shared" si="28"/>
        <v>0</v>
      </c>
      <c r="Z722" s="1115"/>
      <c r="AA722" s="1115"/>
      <c r="AB722" s="1115"/>
      <c r="AC722" s="1115"/>
      <c r="AD722" s="1180">
        <v>0</v>
      </c>
      <c r="AE722" s="1181"/>
      <c r="AF722" s="1181"/>
      <c r="AG722" s="1181"/>
      <c r="AH722" s="1182"/>
      <c r="AI722" s="1271" t="str">
        <f t="shared" si="27"/>
        <v xml:space="preserve"> </v>
      </c>
      <c r="AJ722" s="1272"/>
      <c r="AK722" s="127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261"/>
      <c r="C723" s="1262"/>
      <c r="D723" s="1262"/>
      <c r="E723" s="1262"/>
      <c r="F723" s="1382"/>
      <c r="G723" s="1376"/>
      <c r="H723" s="1377"/>
      <c r="I723" s="1377"/>
      <c r="J723" s="1378"/>
      <c r="K723" s="1398"/>
      <c r="L723" s="1398"/>
      <c r="M723" s="1398"/>
      <c r="N723" s="1398"/>
      <c r="O723" s="1398"/>
      <c r="P723" s="1115">
        <f t="shared" si="26"/>
        <v>0</v>
      </c>
      <c r="Q723" s="1115"/>
      <c r="R723" s="1115"/>
      <c r="S723" s="1115"/>
      <c r="T723" s="1115"/>
      <c r="U723" s="1386">
        <v>0</v>
      </c>
      <c r="V723" s="1387"/>
      <c r="W723" s="1387"/>
      <c r="X723" s="1388"/>
      <c r="Y723" s="1115">
        <f t="shared" si="28"/>
        <v>0</v>
      </c>
      <c r="Z723" s="1115"/>
      <c r="AA723" s="1115"/>
      <c r="AB723" s="1115"/>
      <c r="AC723" s="1115"/>
      <c r="AD723" s="1180">
        <v>0</v>
      </c>
      <c r="AE723" s="1181"/>
      <c r="AF723" s="1181"/>
      <c r="AG723" s="1181"/>
      <c r="AH723" s="1182"/>
      <c r="AI723" s="1271" t="str">
        <f t="shared" si="27"/>
        <v xml:space="preserve"> </v>
      </c>
      <c r="AJ723" s="1272"/>
      <c r="AK723" s="127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261"/>
      <c r="C724" s="1262"/>
      <c r="D724" s="1262"/>
      <c r="E724" s="1262"/>
      <c r="F724" s="1382"/>
      <c r="G724" s="1376"/>
      <c r="H724" s="1377"/>
      <c r="I724" s="1377"/>
      <c r="J724" s="1378"/>
      <c r="K724" s="1398"/>
      <c r="L724" s="1398"/>
      <c r="M724" s="1398"/>
      <c r="N724" s="1398"/>
      <c r="O724" s="1398"/>
      <c r="P724" s="1115">
        <f t="shared" si="26"/>
        <v>0</v>
      </c>
      <c r="Q724" s="1115"/>
      <c r="R724" s="1115"/>
      <c r="S724" s="1115"/>
      <c r="T724" s="1115"/>
      <c r="U724" s="1386">
        <v>0</v>
      </c>
      <c r="V724" s="1387"/>
      <c r="W724" s="1387"/>
      <c r="X724" s="1388"/>
      <c r="Y724" s="1115">
        <f>K724+U724</f>
        <v>0</v>
      </c>
      <c r="Z724" s="1115"/>
      <c r="AA724" s="1115"/>
      <c r="AB724" s="1115"/>
      <c r="AC724" s="1115"/>
      <c r="AD724" s="1180">
        <v>0</v>
      </c>
      <c r="AE724" s="1181"/>
      <c r="AF724" s="1181"/>
      <c r="AG724" s="1181"/>
      <c r="AH724" s="1182"/>
      <c r="AI724" s="1271" t="str">
        <f t="shared" si="27"/>
        <v xml:space="preserve"> </v>
      </c>
      <c r="AJ724" s="1272"/>
      <c r="AK724" s="127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261"/>
      <c r="C725" s="1262"/>
      <c r="D725" s="1262"/>
      <c r="E725" s="1262"/>
      <c r="F725" s="1382"/>
      <c r="G725" s="1376"/>
      <c r="H725" s="1377"/>
      <c r="I725" s="1377"/>
      <c r="J725" s="1378"/>
      <c r="K725" s="1398"/>
      <c r="L725" s="1398"/>
      <c r="M725" s="1398"/>
      <c r="N725" s="1398"/>
      <c r="O725" s="1398"/>
      <c r="P725" s="1115">
        <f t="shared" si="26"/>
        <v>0</v>
      </c>
      <c r="Q725" s="1115"/>
      <c r="R725" s="1115"/>
      <c r="S725" s="1115"/>
      <c r="T725" s="1115"/>
      <c r="U725" s="1386">
        <v>0</v>
      </c>
      <c r="V725" s="1387"/>
      <c r="W725" s="1387"/>
      <c r="X725" s="1388"/>
      <c r="Y725" s="1115">
        <f>K725+U725</f>
        <v>0</v>
      </c>
      <c r="Z725" s="1115"/>
      <c r="AA725" s="1115"/>
      <c r="AB725" s="1115"/>
      <c r="AC725" s="1115"/>
      <c r="AD725" s="1180">
        <v>0</v>
      </c>
      <c r="AE725" s="1181"/>
      <c r="AF725" s="1181"/>
      <c r="AG725" s="1181"/>
      <c r="AH725" s="1182"/>
      <c r="AI725" s="1271" t="str">
        <f t="shared" si="27"/>
        <v xml:space="preserve"> </v>
      </c>
      <c r="AJ725" s="1272"/>
      <c r="AK725" s="127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261"/>
      <c r="C726" s="1262"/>
      <c r="D726" s="1262"/>
      <c r="E726" s="1262"/>
      <c r="F726" s="1382"/>
      <c r="G726" s="1376"/>
      <c r="H726" s="1377"/>
      <c r="I726" s="1377"/>
      <c r="J726" s="1378"/>
      <c r="K726" s="1398"/>
      <c r="L726" s="1398"/>
      <c r="M726" s="1398"/>
      <c r="N726" s="1398"/>
      <c r="O726" s="1398"/>
      <c r="P726" s="1115">
        <f t="shared" si="26"/>
        <v>0</v>
      </c>
      <c r="Q726" s="1115"/>
      <c r="R726" s="1115"/>
      <c r="S726" s="1115"/>
      <c r="T726" s="1115"/>
      <c r="U726" s="1386">
        <v>0</v>
      </c>
      <c r="V726" s="1387"/>
      <c r="W726" s="1387"/>
      <c r="X726" s="1388"/>
      <c r="Y726" s="1115">
        <f>K726+U726</f>
        <v>0</v>
      </c>
      <c r="Z726" s="1115"/>
      <c r="AA726" s="1115"/>
      <c r="AB726" s="1115"/>
      <c r="AC726" s="1115"/>
      <c r="AD726" s="1180">
        <v>0</v>
      </c>
      <c r="AE726" s="1181"/>
      <c r="AF726" s="1181"/>
      <c r="AG726" s="1181"/>
      <c r="AH726" s="1182"/>
      <c r="AI726" s="1271" t="str">
        <f t="shared" si="27"/>
        <v xml:space="preserve"> </v>
      </c>
      <c r="AJ726" s="1272"/>
      <c r="AK726" s="127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261"/>
      <c r="C727" s="1262"/>
      <c r="D727" s="1262"/>
      <c r="E727" s="1262"/>
      <c r="F727" s="1382"/>
      <c r="G727" s="1376"/>
      <c r="H727" s="1377"/>
      <c r="I727" s="1377"/>
      <c r="J727" s="1378"/>
      <c r="K727" s="1398"/>
      <c r="L727" s="1398"/>
      <c r="M727" s="1398"/>
      <c r="N727" s="1398"/>
      <c r="O727" s="1398"/>
      <c r="P727" s="1115">
        <f t="shared" si="26"/>
        <v>0</v>
      </c>
      <c r="Q727" s="1115"/>
      <c r="R727" s="1115"/>
      <c r="S727" s="1115"/>
      <c r="T727" s="1115"/>
      <c r="U727" s="1386">
        <v>0</v>
      </c>
      <c r="V727" s="1387"/>
      <c r="W727" s="1387"/>
      <c r="X727" s="1388"/>
      <c r="Y727" s="1115">
        <f>K727+U727</f>
        <v>0</v>
      </c>
      <c r="Z727" s="1115"/>
      <c r="AA727" s="1115"/>
      <c r="AB727" s="1115"/>
      <c r="AC727" s="1115"/>
      <c r="AD727" s="1180">
        <v>0</v>
      </c>
      <c r="AE727" s="1181"/>
      <c r="AF727" s="1181"/>
      <c r="AG727" s="1181"/>
      <c r="AH727" s="1182"/>
      <c r="AI727" s="1271" t="str">
        <f t="shared" si="27"/>
        <v xml:space="preserve"> </v>
      </c>
      <c r="AJ727" s="1272"/>
      <c r="AK727" s="127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261"/>
      <c r="C728" s="1262"/>
      <c r="D728" s="1262"/>
      <c r="E728" s="1262"/>
      <c r="F728" s="1382"/>
      <c r="G728" s="1376"/>
      <c r="H728" s="1377"/>
      <c r="I728" s="1377"/>
      <c r="J728" s="1378"/>
      <c r="K728" s="1398"/>
      <c r="L728" s="1398"/>
      <c r="M728" s="1398"/>
      <c r="N728" s="1398"/>
      <c r="O728" s="1398"/>
      <c r="P728" s="1115">
        <f t="shared" si="26"/>
        <v>0</v>
      </c>
      <c r="Q728" s="1115"/>
      <c r="R728" s="1115"/>
      <c r="S728" s="1115"/>
      <c r="T728" s="1115"/>
      <c r="U728" s="1386">
        <v>0</v>
      </c>
      <c r="V728" s="1387"/>
      <c r="W728" s="1387"/>
      <c r="X728" s="1388"/>
      <c r="Y728" s="1115">
        <f>K728+U728</f>
        <v>0</v>
      </c>
      <c r="Z728" s="1115"/>
      <c r="AA728" s="1115"/>
      <c r="AB728" s="1115"/>
      <c r="AC728" s="1115"/>
      <c r="AD728" s="1180">
        <v>0</v>
      </c>
      <c r="AE728" s="1181"/>
      <c r="AF728" s="1181"/>
      <c r="AG728" s="1181"/>
      <c r="AH728" s="1182"/>
      <c r="AI728" s="1271" t="str">
        <f t="shared" si="27"/>
        <v xml:space="preserve"> </v>
      </c>
      <c r="AJ728" s="1272"/>
      <c r="AK728" s="127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1"/>
      <c r="C729" s="1262"/>
      <c r="D729" s="1262"/>
      <c r="E729" s="1262"/>
      <c r="F729" s="1382"/>
      <c r="G729" s="1376"/>
      <c r="H729" s="1377"/>
      <c r="I729" s="1377"/>
      <c r="J729" s="1378"/>
      <c r="K729" s="1398"/>
      <c r="L729" s="1398"/>
      <c r="M729" s="1398"/>
      <c r="N729" s="1398"/>
      <c r="O729" s="1398"/>
      <c r="P729" s="1115">
        <f t="shared" si="26"/>
        <v>0</v>
      </c>
      <c r="Q729" s="1115"/>
      <c r="R729" s="1115"/>
      <c r="S729" s="1115"/>
      <c r="T729" s="1115"/>
      <c r="U729" s="1386">
        <v>0</v>
      </c>
      <c r="V729" s="1387"/>
      <c r="W729" s="1387"/>
      <c r="X729" s="1388"/>
      <c r="Y729" s="1115">
        <f t="shared" si="28"/>
        <v>0</v>
      </c>
      <c r="Z729" s="1115"/>
      <c r="AA729" s="1115"/>
      <c r="AB729" s="1115"/>
      <c r="AC729" s="1115"/>
      <c r="AD729" s="1180">
        <v>0</v>
      </c>
      <c r="AE729" s="1181"/>
      <c r="AF729" s="1181"/>
      <c r="AG729" s="1181"/>
      <c r="AH729" s="1182"/>
      <c r="AI729" s="1271" t="str">
        <f t="shared" si="27"/>
        <v xml:space="preserve"> </v>
      </c>
      <c r="AJ729" s="1272"/>
      <c r="AK729" s="127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261"/>
      <c r="C730" s="1262"/>
      <c r="D730" s="1262"/>
      <c r="E730" s="1262"/>
      <c r="F730" s="1382"/>
      <c r="G730" s="1376"/>
      <c r="H730" s="1377"/>
      <c r="I730" s="1377"/>
      <c r="J730" s="1378"/>
      <c r="K730" s="1398"/>
      <c r="L730" s="1398"/>
      <c r="M730" s="1398"/>
      <c r="N730" s="1398"/>
      <c r="O730" s="1398"/>
      <c r="P730" s="1115">
        <f t="shared" si="26"/>
        <v>0</v>
      </c>
      <c r="Q730" s="1115"/>
      <c r="R730" s="1115"/>
      <c r="S730" s="1115"/>
      <c r="T730" s="1115"/>
      <c r="U730" s="1386">
        <v>0</v>
      </c>
      <c r="V730" s="1387"/>
      <c r="W730" s="1387"/>
      <c r="X730" s="1388"/>
      <c r="Y730" s="1115">
        <f t="shared" si="28"/>
        <v>0</v>
      </c>
      <c r="Z730" s="1115"/>
      <c r="AA730" s="1115"/>
      <c r="AB730" s="1115"/>
      <c r="AC730" s="1115"/>
      <c r="AD730" s="1180">
        <v>0</v>
      </c>
      <c r="AE730" s="1181"/>
      <c r="AF730" s="1181"/>
      <c r="AG730" s="1181"/>
      <c r="AH730" s="1182"/>
      <c r="AI730" s="1271" t="str">
        <f t="shared" si="27"/>
        <v xml:space="preserve"> </v>
      </c>
      <c r="AJ730" s="1272"/>
      <c r="AK730" s="127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261"/>
      <c r="C731" s="1262"/>
      <c r="D731" s="1262"/>
      <c r="E731" s="1262"/>
      <c r="F731" s="1382"/>
      <c r="G731" s="1376"/>
      <c r="H731" s="1377"/>
      <c r="I731" s="1377"/>
      <c r="J731" s="1378"/>
      <c r="K731" s="1398"/>
      <c r="L731" s="1398"/>
      <c r="M731" s="1398"/>
      <c r="N731" s="1398"/>
      <c r="O731" s="1398"/>
      <c r="P731" s="1115">
        <f t="shared" si="26"/>
        <v>0</v>
      </c>
      <c r="Q731" s="1115"/>
      <c r="R731" s="1115"/>
      <c r="S731" s="1115"/>
      <c r="T731" s="1115"/>
      <c r="U731" s="1386">
        <v>0</v>
      </c>
      <c r="V731" s="1387"/>
      <c r="W731" s="1387"/>
      <c r="X731" s="1388"/>
      <c r="Y731" s="1115">
        <f t="shared" si="28"/>
        <v>0</v>
      </c>
      <c r="Z731" s="1115"/>
      <c r="AA731" s="1115"/>
      <c r="AB731" s="1115"/>
      <c r="AC731" s="1115"/>
      <c r="AD731" s="1180">
        <v>0</v>
      </c>
      <c r="AE731" s="1181"/>
      <c r="AF731" s="1181"/>
      <c r="AG731" s="1181"/>
      <c r="AH731" s="1182"/>
      <c r="AI731" s="1271" t="str">
        <f t="shared" si="27"/>
        <v xml:space="preserve"> </v>
      </c>
      <c r="AJ731" s="1272"/>
      <c r="AK731" s="127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261"/>
      <c r="C732" s="1262"/>
      <c r="D732" s="1262"/>
      <c r="E732" s="1262"/>
      <c r="F732" s="1382"/>
      <c r="G732" s="1376"/>
      <c r="H732" s="1377"/>
      <c r="I732" s="1377"/>
      <c r="J732" s="1378"/>
      <c r="K732" s="1398"/>
      <c r="L732" s="1398"/>
      <c r="M732" s="1398"/>
      <c r="N732" s="1398"/>
      <c r="O732" s="1398"/>
      <c r="P732" s="1115">
        <f t="shared" si="26"/>
        <v>0</v>
      </c>
      <c r="Q732" s="1115"/>
      <c r="R732" s="1115"/>
      <c r="S732" s="1115"/>
      <c r="T732" s="1115"/>
      <c r="U732" s="1386">
        <v>0</v>
      </c>
      <c r="V732" s="1387"/>
      <c r="W732" s="1387"/>
      <c r="X732" s="1388"/>
      <c r="Y732" s="1115">
        <f t="shared" si="28"/>
        <v>0</v>
      </c>
      <c r="Z732" s="1115"/>
      <c r="AA732" s="1115"/>
      <c r="AB732" s="1115"/>
      <c r="AC732" s="1115"/>
      <c r="AD732" s="1180">
        <v>0</v>
      </c>
      <c r="AE732" s="1181"/>
      <c r="AF732" s="1181"/>
      <c r="AG732" s="1181"/>
      <c r="AH732" s="1182"/>
      <c r="AI732" s="1271" t="str">
        <f t="shared" si="27"/>
        <v xml:space="preserve"> </v>
      </c>
      <c r="AJ732" s="1272"/>
      <c r="AK732" s="127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261"/>
      <c r="C733" s="1262"/>
      <c r="D733" s="1262"/>
      <c r="E733" s="1262"/>
      <c r="F733" s="1382"/>
      <c r="G733" s="1376"/>
      <c r="H733" s="1377"/>
      <c r="I733" s="1377"/>
      <c r="J733" s="1378"/>
      <c r="K733" s="1398"/>
      <c r="L733" s="1398"/>
      <c r="M733" s="1398"/>
      <c r="N733" s="1398"/>
      <c r="O733" s="1398"/>
      <c r="P733" s="1115">
        <f t="shared" si="26"/>
        <v>0</v>
      </c>
      <c r="Q733" s="1115"/>
      <c r="R733" s="1115"/>
      <c r="S733" s="1115"/>
      <c r="T733" s="1115"/>
      <c r="U733" s="1386">
        <v>0</v>
      </c>
      <c r="V733" s="1387"/>
      <c r="W733" s="1387"/>
      <c r="X733" s="1388"/>
      <c r="Y733" s="1115">
        <f t="shared" si="28"/>
        <v>0</v>
      </c>
      <c r="Z733" s="1115"/>
      <c r="AA733" s="1115"/>
      <c r="AB733" s="1115"/>
      <c r="AC733" s="1115"/>
      <c r="AD733" s="1180">
        <v>0</v>
      </c>
      <c r="AE733" s="1181"/>
      <c r="AF733" s="1181"/>
      <c r="AG733" s="1181"/>
      <c r="AH733" s="1182"/>
      <c r="AI733" s="1268" t="str">
        <f t="shared" si="27"/>
        <v xml:space="preserve"> </v>
      </c>
      <c r="AJ733" s="1269"/>
      <c r="AK733" s="127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263" t="s">
        <v>132</v>
      </c>
      <c r="C734" s="1264"/>
      <c r="D734" s="1264"/>
      <c r="E734" s="1264"/>
      <c r="F734" s="1265"/>
      <c r="G734" s="1550">
        <f>SUM(G709:J733)</f>
        <v>58</v>
      </c>
      <c r="H734" s="1551"/>
      <c r="I734" s="1551"/>
      <c r="J734" s="1552"/>
      <c r="K734" s="1263" t="s">
        <v>131</v>
      </c>
      <c r="L734" s="1264"/>
      <c r="M734" s="1264"/>
      <c r="N734" s="1264"/>
      <c r="O734" s="1265"/>
      <c r="P734" s="1383">
        <f>SUM(P709:T733)</f>
        <v>12006</v>
      </c>
      <c r="Q734" s="1384"/>
      <c r="R734" s="1384"/>
      <c r="S734" s="1384"/>
      <c r="T734" s="1385"/>
      <c r="Y734" s="1558" t="s">
        <v>998</v>
      </c>
      <c r="Z734" s="1559"/>
      <c r="AA734" s="1559"/>
      <c r="AB734" s="1559"/>
      <c r="AC734" s="1560"/>
      <c r="AD734" s="1139">
        <f>AV675</f>
        <v>0.36206896551724138</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641</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00" t="s">
        <v>302</v>
      </c>
      <c r="P750" s="1400"/>
      <c r="Q750" s="1400"/>
      <c r="R750" s="1400"/>
      <c r="S750" s="1400"/>
      <c r="T750" s="1400" t="s">
        <v>491</v>
      </c>
      <c r="U750" s="1400"/>
      <c r="V750" s="1400"/>
      <c r="W750" s="1400"/>
      <c r="X750" s="1400"/>
      <c r="Y750" s="1400" t="s">
        <v>303</v>
      </c>
      <c r="Z750" s="1400"/>
      <c r="AA750" s="1400"/>
      <c r="AB750" s="1400"/>
      <c r="AC750" s="140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00"/>
      <c r="P751" s="1400"/>
      <c r="Q751" s="1400"/>
      <c r="R751" s="1400"/>
      <c r="S751" s="1400"/>
      <c r="T751" s="1400"/>
      <c r="U751" s="1400"/>
      <c r="V751" s="1400"/>
      <c r="W751" s="1400"/>
      <c r="X751" s="1400"/>
      <c r="Y751" s="1400"/>
      <c r="Z751" s="1400"/>
      <c r="AA751" s="1400"/>
      <c r="AB751" s="1400"/>
      <c r="AC751" s="140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00"/>
      <c r="P752" s="1400"/>
      <c r="Q752" s="1400"/>
      <c r="R752" s="1400"/>
      <c r="S752" s="1400"/>
      <c r="T752" s="1400"/>
      <c r="U752" s="1400"/>
      <c r="V752" s="1400"/>
      <c r="W752" s="1400"/>
      <c r="X752" s="1400"/>
      <c r="Y752" s="1400"/>
      <c r="Z752" s="1400"/>
      <c r="AA752" s="1400"/>
      <c r="AB752" s="1400"/>
      <c r="AC752" s="140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00"/>
      <c r="P753" s="1400"/>
      <c r="Q753" s="1400"/>
      <c r="R753" s="1400"/>
      <c r="S753" s="1400"/>
      <c r="T753" s="1400"/>
      <c r="U753" s="1400"/>
      <c r="V753" s="1400"/>
      <c r="W753" s="1400"/>
      <c r="X753" s="1400"/>
      <c r="Y753" s="1400"/>
      <c r="Z753" s="1400"/>
      <c r="AA753" s="1400"/>
      <c r="AB753" s="1400"/>
      <c r="AC753" s="140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1"/>
      <c r="K754" s="1262"/>
      <c r="L754" s="1262"/>
      <c r="M754" s="1262"/>
      <c r="N754" s="1382"/>
      <c r="O754" s="1275"/>
      <c r="P754" s="1275"/>
      <c r="Q754" s="1275"/>
      <c r="R754" s="1275"/>
      <c r="S754" s="1275"/>
      <c r="T754" s="1398"/>
      <c r="U754" s="1398"/>
      <c r="V754" s="1398"/>
      <c r="W754" s="1398"/>
      <c r="X754" s="1398"/>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1"/>
      <c r="K755" s="1262"/>
      <c r="L755" s="1262"/>
      <c r="M755" s="1262"/>
      <c r="N755" s="1382"/>
      <c r="O755" s="1275"/>
      <c r="P755" s="1275"/>
      <c r="Q755" s="1275"/>
      <c r="R755" s="1275"/>
      <c r="S755" s="1275"/>
      <c r="T755" s="1398"/>
      <c r="U755" s="1398"/>
      <c r="V755" s="1398"/>
      <c r="W755" s="1398"/>
      <c r="X755" s="1398"/>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1"/>
      <c r="K756" s="1262"/>
      <c r="L756" s="1262"/>
      <c r="M756" s="1262"/>
      <c r="N756" s="1382"/>
      <c r="O756" s="1275"/>
      <c r="P756" s="1275"/>
      <c r="Q756" s="1275"/>
      <c r="R756" s="1275"/>
      <c r="S756" s="1275"/>
      <c r="T756" s="1398"/>
      <c r="U756" s="1398"/>
      <c r="V756" s="1398"/>
      <c r="W756" s="1398"/>
      <c r="X756" s="1398"/>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1"/>
      <c r="K757" s="1262"/>
      <c r="L757" s="1262"/>
      <c r="M757" s="1262"/>
      <c r="N757" s="1382"/>
      <c r="O757" s="1275"/>
      <c r="P757" s="1275"/>
      <c r="Q757" s="1275"/>
      <c r="R757" s="1275"/>
      <c r="S757" s="1275"/>
      <c r="T757" s="1398"/>
      <c r="U757" s="1398"/>
      <c r="V757" s="1398"/>
      <c r="W757" s="1398"/>
      <c r="X757" s="1398"/>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3" t="s">
        <v>132</v>
      </c>
      <c r="K758" s="1264"/>
      <c r="L758" s="1264"/>
      <c r="M758" s="1264"/>
      <c r="N758" s="1265"/>
      <c r="O758" s="1401">
        <f>SUM(O754:S757)</f>
        <v>0</v>
      </c>
      <c r="P758" s="1402"/>
      <c r="Q758" s="1402"/>
      <c r="R758" s="1402"/>
      <c r="S758" s="1403"/>
      <c r="T758" s="1404" t="s">
        <v>131</v>
      </c>
      <c r="U758" s="1405"/>
      <c r="V758" s="1405"/>
      <c r="W758" s="1405"/>
      <c r="X758" s="1406"/>
      <c r="Y758" s="1383">
        <f>SUM(Y754:AC757)</f>
        <v>0</v>
      </c>
      <c r="Z758" s="1407"/>
      <c r="AA758" s="1407"/>
      <c r="AB758" s="1407"/>
      <c r="AC758" s="140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591</v>
      </c>
      <c r="K760" s="113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00" t="s">
        <v>302</v>
      </c>
      <c r="P764" s="1400"/>
      <c r="Q764" s="1400"/>
      <c r="R764" s="1400"/>
      <c r="S764" s="1400"/>
      <c r="T764" s="1400" t="s">
        <v>491</v>
      </c>
      <c r="U764" s="1400"/>
      <c r="V764" s="1400"/>
      <c r="W764" s="1400"/>
      <c r="X764" s="1400"/>
      <c r="Y764" s="1400" t="s">
        <v>303</v>
      </c>
      <c r="Z764" s="1400"/>
      <c r="AA764" s="1400"/>
      <c r="AB764" s="1400"/>
      <c r="AC764" s="140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00"/>
      <c r="P765" s="1400"/>
      <c r="Q765" s="1400"/>
      <c r="R765" s="1400"/>
      <c r="S765" s="1400"/>
      <c r="T765" s="1400"/>
      <c r="U765" s="1400"/>
      <c r="V765" s="1400"/>
      <c r="W765" s="1400"/>
      <c r="X765" s="1400"/>
      <c r="Y765" s="1400"/>
      <c r="Z765" s="1400"/>
      <c r="AA765" s="1400"/>
      <c r="AB765" s="1400"/>
      <c r="AC765" s="140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00"/>
      <c r="P766" s="1400"/>
      <c r="Q766" s="1400"/>
      <c r="R766" s="1400"/>
      <c r="S766" s="1400"/>
      <c r="T766" s="1400"/>
      <c r="U766" s="1400"/>
      <c r="V766" s="1400"/>
      <c r="W766" s="1400"/>
      <c r="X766" s="1400"/>
      <c r="Y766" s="1400"/>
      <c r="Z766" s="1400"/>
      <c r="AA766" s="1400"/>
      <c r="AB766" s="1400"/>
      <c r="AC766" s="140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00"/>
      <c r="P767" s="1400"/>
      <c r="Q767" s="1400"/>
      <c r="R767" s="1400"/>
      <c r="S767" s="1400"/>
      <c r="T767" s="1400"/>
      <c r="U767" s="1400"/>
      <c r="V767" s="1400"/>
      <c r="W767" s="1400"/>
      <c r="X767" s="1400"/>
      <c r="Y767" s="1400"/>
      <c r="Z767" s="1400"/>
      <c r="AA767" s="1400"/>
      <c r="AB767" s="1400"/>
      <c r="AC767" s="140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1"/>
      <c r="K768" s="1262"/>
      <c r="L768" s="1262"/>
      <c r="M768" s="1262"/>
      <c r="N768" s="1382"/>
      <c r="O768" s="1275"/>
      <c r="P768" s="1275"/>
      <c r="Q768" s="1275"/>
      <c r="R768" s="1275"/>
      <c r="S768" s="1275"/>
      <c r="T768" s="1398"/>
      <c r="U768" s="1398"/>
      <c r="V768" s="1398"/>
      <c r="W768" s="1398"/>
      <c r="X768" s="1398"/>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1"/>
      <c r="K769" s="1262"/>
      <c r="L769" s="1262"/>
      <c r="M769" s="1262"/>
      <c r="N769" s="1382"/>
      <c r="O769" s="1275"/>
      <c r="P769" s="1275"/>
      <c r="Q769" s="1275"/>
      <c r="R769" s="1275"/>
      <c r="S769" s="1275"/>
      <c r="T769" s="1398"/>
      <c r="U769" s="1398"/>
      <c r="V769" s="1398"/>
      <c r="W769" s="1398"/>
      <c r="X769" s="1398"/>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1"/>
      <c r="K770" s="1262"/>
      <c r="L770" s="1262"/>
      <c r="M770" s="1262"/>
      <c r="N770" s="1382"/>
      <c r="O770" s="1275"/>
      <c r="P770" s="1275"/>
      <c r="Q770" s="1275"/>
      <c r="R770" s="1275"/>
      <c r="S770" s="1275"/>
      <c r="T770" s="1398"/>
      <c r="U770" s="1398"/>
      <c r="V770" s="1398"/>
      <c r="W770" s="1398"/>
      <c r="X770" s="1398"/>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1"/>
      <c r="K771" s="1262"/>
      <c r="L771" s="1262"/>
      <c r="M771" s="1262"/>
      <c r="N771" s="1382"/>
      <c r="O771" s="1275"/>
      <c r="P771" s="1275"/>
      <c r="Q771" s="1275"/>
      <c r="R771" s="1275"/>
      <c r="S771" s="1275"/>
      <c r="T771" s="1398"/>
      <c r="U771" s="1398"/>
      <c r="V771" s="1398"/>
      <c r="W771" s="1398"/>
      <c r="X771" s="1398"/>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1"/>
      <c r="K772" s="1262"/>
      <c r="L772" s="1262"/>
      <c r="M772" s="1262"/>
      <c r="N772" s="1382"/>
      <c r="O772" s="1275"/>
      <c r="P772" s="1275"/>
      <c r="Q772" s="1275"/>
      <c r="R772" s="1275"/>
      <c r="S772" s="1275"/>
      <c r="T772" s="1398"/>
      <c r="U772" s="1398"/>
      <c r="V772" s="1398"/>
      <c r="W772" s="1398"/>
      <c r="X772" s="1398"/>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1"/>
      <c r="K773" s="1262"/>
      <c r="L773" s="1262"/>
      <c r="M773" s="1262"/>
      <c r="N773" s="1382"/>
      <c r="O773" s="1275"/>
      <c r="P773" s="1275"/>
      <c r="Q773" s="1275"/>
      <c r="R773" s="1275"/>
      <c r="S773" s="1275"/>
      <c r="T773" s="1398"/>
      <c r="U773" s="1398"/>
      <c r="V773" s="1398"/>
      <c r="W773" s="1398"/>
      <c r="X773" s="1398"/>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1"/>
      <c r="K774" s="1262"/>
      <c r="L774" s="1262"/>
      <c r="M774" s="1262"/>
      <c r="N774" s="1382"/>
      <c r="O774" s="1275"/>
      <c r="P774" s="1275"/>
      <c r="Q774" s="1275"/>
      <c r="R774" s="1275"/>
      <c r="S774" s="1275"/>
      <c r="T774" s="1398"/>
      <c r="U774" s="1398"/>
      <c r="V774" s="1398"/>
      <c r="W774" s="1398"/>
      <c r="X774" s="1398"/>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1"/>
      <c r="K775" s="1262"/>
      <c r="L775" s="1262"/>
      <c r="M775" s="1262"/>
      <c r="N775" s="1382"/>
      <c r="O775" s="1275"/>
      <c r="P775" s="1275"/>
      <c r="Q775" s="1275"/>
      <c r="R775" s="1275"/>
      <c r="S775" s="1275"/>
      <c r="T775" s="1398"/>
      <c r="U775" s="1398"/>
      <c r="V775" s="1398"/>
      <c r="W775" s="1398"/>
      <c r="X775" s="1398"/>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1"/>
      <c r="K776" s="1262"/>
      <c r="L776" s="1262"/>
      <c r="M776" s="1262"/>
      <c r="N776" s="1382"/>
      <c r="O776" s="1275"/>
      <c r="P776" s="1275"/>
      <c r="Q776" s="1275"/>
      <c r="R776" s="1275"/>
      <c r="S776" s="1275"/>
      <c r="T776" s="1398"/>
      <c r="U776" s="1398"/>
      <c r="V776" s="1398"/>
      <c r="W776" s="1398"/>
      <c r="X776" s="1398"/>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1"/>
      <c r="K777" s="1262"/>
      <c r="L777" s="1262"/>
      <c r="M777" s="1262"/>
      <c r="N777" s="1382"/>
      <c r="O777" s="1275"/>
      <c r="P777" s="1275"/>
      <c r="Q777" s="1275"/>
      <c r="R777" s="1275"/>
      <c r="S777" s="1275"/>
      <c r="T777" s="1398"/>
      <c r="U777" s="1398"/>
      <c r="V777" s="1398"/>
      <c r="W777" s="1398"/>
      <c r="X777" s="1398"/>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3" t="s">
        <v>132</v>
      </c>
      <c r="K778" s="1264"/>
      <c r="L778" s="1264"/>
      <c r="M778" s="1264"/>
      <c r="N778" s="1265"/>
      <c r="O778" s="1415">
        <f>SUM(O768:S777)</f>
        <v>0</v>
      </c>
      <c r="P778" s="1415"/>
      <c r="Q778" s="1415"/>
      <c r="R778" s="1415"/>
      <c r="S778" s="1415"/>
      <c r="T778" s="1404" t="s">
        <v>131</v>
      </c>
      <c r="U778" s="1405"/>
      <c r="V778" s="1405"/>
      <c r="W778" s="1405"/>
      <c r="X778" s="1406"/>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6" t="s">
        <v>515</v>
      </c>
      <c r="BB779" s="1557"/>
      <c r="BC779" s="58"/>
      <c r="BD779" s="58"/>
      <c r="BE779" s="58"/>
      <c r="BF779" s="51" t="s">
        <v>684</v>
      </c>
      <c r="BG779" s="51"/>
      <c r="BH779" s="51"/>
      <c r="BI779" s="51"/>
      <c r="BJ779" s="51"/>
      <c r="BK779" s="51"/>
      <c r="BL779" s="51"/>
      <c r="BM779" s="51"/>
      <c r="BN779" s="51"/>
      <c r="BO779" s="1553" t="str">
        <f>T191</f>
        <v>San Francisco</v>
      </c>
      <c r="BP779" s="1554"/>
      <c r="BQ779" s="1554"/>
      <c r="BR779" s="1554"/>
      <c r="BS779" s="1554"/>
      <c r="BT779" s="1554"/>
      <c r="BU779" s="15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5">
        <f>P734+Y758+Y778</f>
        <v>12006</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144072</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v>58</v>
      </c>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v>20</v>
      </c>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50678</v>
      </c>
      <c r="AA788" s="1417"/>
      <c r="AB788" s="1417"/>
      <c r="AC788" s="1417"/>
      <c r="AD788" s="1417"/>
      <c r="AE788" s="1418"/>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1397568</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0</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4" t="s">
        <v>357</v>
      </c>
      <c r="Q796" s="1479"/>
      <c r="R796" s="1479"/>
      <c r="S796" s="1479"/>
      <c r="T796" s="1479"/>
      <c r="U796" s="1479"/>
      <c r="V796" s="1479"/>
      <c r="W796" s="1479"/>
      <c r="X796" s="1479"/>
      <c r="Y796" s="1480"/>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0</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4">
        <f>Z797+Y781+Z789</f>
        <v>1541640</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1" t="s">
        <v>309</v>
      </c>
      <c r="R803" s="1561"/>
      <c r="S803" s="1561"/>
      <c r="T803" s="1561"/>
      <c r="U803" s="1561" t="s">
        <v>310</v>
      </c>
      <c r="V803" s="1561"/>
      <c r="W803" s="1561"/>
      <c r="X803" s="1561"/>
      <c r="Y803" s="1561" t="s">
        <v>311</v>
      </c>
      <c r="Z803" s="1561"/>
      <c r="AA803" s="1561"/>
      <c r="AB803" s="1561"/>
      <c r="AC803" s="1561" t="s">
        <v>385</v>
      </c>
      <c r="AD803" s="1561"/>
      <c r="AE803" s="1561"/>
      <c r="AF803" s="1561"/>
      <c r="AG803" s="1463" t="s">
        <v>358</v>
      </c>
      <c r="AH803" s="1463"/>
      <c r="AI803" s="1463"/>
      <c r="AJ803" s="146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1"/>
      <c r="R804" s="1561"/>
      <c r="S804" s="1561"/>
      <c r="T804" s="1561"/>
      <c r="U804" s="1561"/>
      <c r="V804" s="1561"/>
      <c r="W804" s="1561"/>
      <c r="X804" s="1561"/>
      <c r="Y804" s="1561"/>
      <c r="Z804" s="1561"/>
      <c r="AA804" s="1561"/>
      <c r="AB804" s="1561"/>
      <c r="AC804" s="1561"/>
      <c r="AD804" s="1561"/>
      <c r="AE804" s="1561"/>
      <c r="AF804" s="1561"/>
      <c r="AG804" s="1463"/>
      <c r="AH804" s="1463"/>
      <c r="AI804" s="1463"/>
      <c r="AJ804" s="146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9" t="s">
        <v>45</v>
      </c>
      <c r="D805" s="1420"/>
      <c r="E805" s="1420"/>
      <c r="F805" s="1420"/>
      <c r="G805" s="1420"/>
      <c r="H805" s="1420"/>
      <c r="I805" s="80"/>
      <c r="J805" s="80"/>
      <c r="K805" s="80"/>
      <c r="L805" s="81"/>
      <c r="M805" s="1409"/>
      <c r="N805" s="1409"/>
      <c r="O805" s="1409"/>
      <c r="P805" s="1409"/>
      <c r="Q805" s="1409"/>
      <c r="R805" s="1409"/>
      <c r="S805" s="1409"/>
      <c r="T805" s="1409"/>
      <c r="U805" s="1409"/>
      <c r="V805" s="1409"/>
      <c r="W805" s="1409"/>
      <c r="X805" s="1409"/>
      <c r="Y805" s="1409"/>
      <c r="Z805" s="1409"/>
      <c r="AA805" s="1409"/>
      <c r="AB805" s="1409"/>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5"/>
      <c r="E806" s="1155"/>
      <c r="F806" s="1155"/>
      <c r="G806" s="1155"/>
      <c r="H806" s="1155"/>
      <c r="I806" s="77"/>
      <c r="J806" s="77"/>
      <c r="K806" s="77"/>
      <c r="L806" s="78"/>
      <c r="M806" s="1409"/>
      <c r="N806" s="1409"/>
      <c r="O806" s="1409"/>
      <c r="P806" s="1409"/>
      <c r="Q806" s="1409"/>
      <c r="R806" s="1409"/>
      <c r="S806" s="1409"/>
      <c r="T806" s="1409"/>
      <c r="U806" s="1409"/>
      <c r="V806" s="1409"/>
      <c r="W806" s="1409"/>
      <c r="X806" s="1409"/>
      <c r="Y806" s="1409"/>
      <c r="Z806" s="1409"/>
      <c r="AA806" s="1409"/>
      <c r="AB806" s="1409"/>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5"/>
      <c r="E807" s="1155"/>
      <c r="F807" s="1155"/>
      <c r="G807" s="1155"/>
      <c r="H807" s="1155"/>
      <c r="I807" s="96"/>
      <c r="J807" s="96"/>
      <c r="K807" s="96"/>
      <c r="L807" s="97"/>
      <c r="M807" s="1409"/>
      <c r="N807" s="1409"/>
      <c r="O807" s="1409"/>
      <c r="P807" s="1409"/>
      <c r="Q807" s="1409"/>
      <c r="R807" s="1409"/>
      <c r="S807" s="1409"/>
      <c r="T807" s="1409"/>
      <c r="U807" s="1409"/>
      <c r="V807" s="1409"/>
      <c r="W807" s="1409"/>
      <c r="X807" s="1409"/>
      <c r="Y807" s="1409"/>
      <c r="Z807" s="1409"/>
      <c r="AA807" s="1409"/>
      <c r="AB807" s="1409"/>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5"/>
      <c r="E808" s="1155"/>
      <c r="F808" s="1155"/>
      <c r="G808" s="1155"/>
      <c r="H808" s="1155"/>
      <c r="I808" s="96"/>
      <c r="J808" s="96"/>
      <c r="K808" s="96"/>
      <c r="L808" s="97"/>
      <c r="M808" s="1409"/>
      <c r="N808" s="1409"/>
      <c r="O808" s="1409"/>
      <c r="P808" s="1409"/>
      <c r="Q808" s="1409"/>
      <c r="R808" s="1409"/>
      <c r="S808" s="1409"/>
      <c r="T808" s="1409"/>
      <c r="U808" s="1409"/>
      <c r="V808" s="1409"/>
      <c r="W808" s="1409"/>
      <c r="X808" s="1409"/>
      <c r="Y808" s="1409"/>
      <c r="Z808" s="1409"/>
      <c r="AA808" s="1409"/>
      <c r="AB808" s="1409"/>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5"/>
      <c r="E809" s="1155"/>
      <c r="F809" s="1155"/>
      <c r="G809" s="1155"/>
      <c r="H809" s="1155"/>
      <c r="I809" s="96"/>
      <c r="J809" s="96"/>
      <c r="K809" s="96"/>
      <c r="L809" s="97"/>
      <c r="M809" s="1409"/>
      <c r="N809" s="1409"/>
      <c r="O809" s="1409"/>
      <c r="P809" s="1409"/>
      <c r="Q809" s="1409"/>
      <c r="R809" s="1409"/>
      <c r="S809" s="1409"/>
      <c r="T809" s="1409"/>
      <c r="U809" s="1409"/>
      <c r="V809" s="1409"/>
      <c r="W809" s="1409"/>
      <c r="X809" s="1409"/>
      <c r="Y809" s="1409"/>
      <c r="Z809" s="1409"/>
      <c r="AA809" s="1409"/>
      <c r="AB809" s="1409"/>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9" t="s">
        <v>864</v>
      </c>
      <c r="D810" s="1155"/>
      <c r="E810" s="1155"/>
      <c r="F810" s="1155"/>
      <c r="G810" s="1155"/>
      <c r="H810" s="1155"/>
      <c r="I810" s="96"/>
      <c r="J810" s="96"/>
      <c r="K810" s="96"/>
      <c r="L810" s="97"/>
      <c r="M810" s="1409"/>
      <c r="N810" s="1409"/>
      <c r="O810" s="1409"/>
      <c r="P810" s="1409"/>
      <c r="Q810" s="1409"/>
      <c r="R810" s="1409"/>
      <c r="S810" s="1409"/>
      <c r="T810" s="1409"/>
      <c r="U810" s="1409"/>
      <c r="V810" s="1409"/>
      <c r="W810" s="1409"/>
      <c r="X810" s="1409"/>
      <c r="Y810" s="1409"/>
      <c r="Z810" s="1409"/>
      <c r="AA810" s="1409"/>
      <c r="AB810" s="1409"/>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1" t="s">
        <v>357</v>
      </c>
      <c r="G811" s="1194"/>
      <c r="H811" s="1194"/>
      <c r="I811" s="1194"/>
      <c r="J811" s="1194"/>
      <c r="K811" s="1194"/>
      <c r="L811" s="1195"/>
      <c r="M811" s="1409"/>
      <c r="N811" s="1409"/>
      <c r="O811" s="1409"/>
      <c r="P811" s="1409"/>
      <c r="Q811" s="1409"/>
      <c r="R811" s="1409"/>
      <c r="S811" s="1409"/>
      <c r="T811" s="1409"/>
      <c r="U811" s="1409"/>
      <c r="V811" s="1409"/>
      <c r="W811" s="1409"/>
      <c r="X811" s="1409"/>
      <c r="Y811" s="1409"/>
      <c r="Z811" s="1409"/>
      <c r="AA811" s="1409"/>
      <c r="AB811" s="1409"/>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3" t="s">
        <v>131</v>
      </c>
      <c r="D812" s="1264"/>
      <c r="E812" s="1264"/>
      <c r="F812" s="1264"/>
      <c r="G812" s="1264"/>
      <c r="H812" s="1264"/>
      <c r="I812" s="1264"/>
      <c r="J812" s="1264"/>
      <c r="K812" s="1264"/>
      <c r="L812" s="1265"/>
      <c r="M812" s="1410">
        <f>SUM(M805:P811)</f>
        <v>0</v>
      </c>
      <c r="N812" s="1410"/>
      <c r="O812" s="1410"/>
      <c r="P812" s="1410"/>
      <c r="Q812" s="1410">
        <f>SUM(Q805:T811)</f>
        <v>0</v>
      </c>
      <c r="R812" s="1410"/>
      <c r="S812" s="1410"/>
      <c r="T812" s="1410"/>
      <c r="U812" s="1410">
        <f>SUM(U805:X811)</f>
        <v>0</v>
      </c>
      <c r="V812" s="1410"/>
      <c r="W812" s="1410"/>
      <c r="X812" s="1410"/>
      <c r="Y812" s="1410">
        <f>SUM(Y805:AB811)</f>
        <v>0</v>
      </c>
      <c r="Z812" s="1410"/>
      <c r="AA812" s="1410"/>
      <c r="AB812" s="1410"/>
      <c r="AC812" s="1410">
        <f>SUM(AC805:AF811)</f>
        <v>0</v>
      </c>
      <c r="AD812" s="1410"/>
      <c r="AE812" s="1410"/>
      <c r="AF812" s="1410"/>
      <c r="AG812" s="1410">
        <f>SUM(AG805:AJ811)</f>
        <v>0</v>
      </c>
      <c r="AH812" s="1410"/>
      <c r="AI812" s="1410"/>
      <c r="AJ812" s="141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1"/>
      <c r="D817" s="1512"/>
      <c r="E817" s="1512"/>
      <c r="F817" s="1512"/>
      <c r="G817" s="1512"/>
      <c r="H817" s="1512"/>
      <c r="I817" s="1512"/>
      <c r="J817" s="1512"/>
      <c r="K817" s="1512"/>
      <c r="L817" s="1512"/>
      <c r="M817" s="1512"/>
      <c r="N817" s="1512"/>
      <c r="O817" s="1512"/>
      <c r="P817" s="1512"/>
      <c r="Q817" s="1512"/>
      <c r="R817" s="1512"/>
      <c r="S817" s="1512"/>
      <c r="T817" s="1512"/>
      <c r="U817" s="1512"/>
      <c r="V817" s="1512"/>
      <c r="W817" s="1512"/>
      <c r="X817" s="1512"/>
      <c r="Y817" s="1512"/>
      <c r="Z817" s="1512"/>
      <c r="AA817" s="1512"/>
      <c r="AB817" s="1512"/>
      <c r="AC817" s="1512"/>
      <c r="AD817" s="1512"/>
      <c r="AE817" s="1512"/>
      <c r="AF817" s="1512"/>
      <c r="AG817" s="1512"/>
      <c r="AH817" s="1512"/>
      <c r="AI817" s="1512"/>
      <c r="AJ817" s="151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2">
        <v>165</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2"/>
      <c r="X823" s="1142"/>
      <c r="Y823" s="1142"/>
      <c r="Z823" s="1142"/>
      <c r="AA823" s="1142"/>
      <c r="AB823" s="1142"/>
      <c r="AC823" s="1142"/>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2">
        <v>13910</v>
      </c>
      <c r="X824" s="1142"/>
      <c r="Y824" s="1142"/>
      <c r="Z824" s="1142"/>
      <c r="AA824" s="1142"/>
      <c r="AB824" s="1142"/>
      <c r="AC824" s="1142"/>
      <c r="AD824" s="12"/>
      <c r="AE824" s="12"/>
      <c r="AF824" s="12"/>
      <c r="AG824" s="12"/>
      <c r="AH824" s="12"/>
      <c r="AI824" s="12"/>
      <c r="AJ824" s="12"/>
      <c r="AK824" s="12"/>
      <c r="AL824" s="12"/>
      <c r="AS824" s="21"/>
      <c r="AT824" s="56"/>
      <c r="AV824" s="1582">
        <f>ROUNDDOWN(AP908*2,2)</f>
        <v>0</v>
      </c>
      <c r="AW824" s="1582"/>
      <c r="AX824" s="1582"/>
      <c r="AY824" s="1582"/>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2">
        <v>195331</v>
      </c>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93" t="s">
        <v>1750</v>
      </c>
      <c r="N826" s="1194"/>
      <c r="O826" s="1194"/>
      <c r="P826" s="1194"/>
      <c r="Q826" s="1194"/>
      <c r="R826" s="1194"/>
      <c r="S826" s="1194"/>
      <c r="T826" s="1194"/>
      <c r="U826" s="1194"/>
      <c r="V826" s="1195"/>
      <c r="W826" s="1142">
        <v>62073</v>
      </c>
      <c r="X826" s="1142"/>
      <c r="Y826" s="1142"/>
      <c r="Z826" s="1142"/>
      <c r="AA826" s="1142"/>
      <c r="AB826" s="1142"/>
      <c r="AC826" s="114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271479</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3" t="s">
        <v>369</v>
      </c>
      <c r="K829" s="1264"/>
      <c r="L829" s="1264"/>
      <c r="M829" s="1264"/>
      <c r="N829" s="1264"/>
      <c r="O829" s="1264"/>
      <c r="P829" s="1264"/>
      <c r="Q829" s="1264"/>
      <c r="R829" s="1264"/>
      <c r="S829" s="1264"/>
      <c r="T829" s="1264"/>
      <c r="U829" s="1264"/>
      <c r="V829" s="1265"/>
      <c r="W829" s="1202">
        <v>53130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2"/>
      <c r="X831" s="1422"/>
      <c r="Y831" s="1422"/>
      <c r="Z831" s="1422"/>
      <c r="AA831" s="1422"/>
      <c r="AB831" s="1422"/>
      <c r="AC831" s="1422"/>
      <c r="AD831" s="12"/>
      <c r="AE831" s="12"/>
      <c r="AF831" s="12"/>
      <c r="AG831" s="12"/>
      <c r="AH831" s="12"/>
      <c r="AI831" s="12"/>
      <c r="AJ831" s="12"/>
      <c r="AK831" s="12"/>
      <c r="AL831" s="12"/>
      <c r="AM831" s="130"/>
      <c r="AN831" s="130"/>
      <c r="AO831" s="21"/>
      <c r="AP831" s="21"/>
      <c r="AQ831" s="21"/>
      <c r="AR831" s="21"/>
      <c r="AS831" s="21"/>
      <c r="AT831" s="1458"/>
      <c r="AU831" s="1458"/>
      <c r="AV831" s="1458"/>
      <c r="AW831" s="1458"/>
      <c r="AX831" s="1458"/>
      <c r="AY831" s="145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2">
        <v>19047</v>
      </c>
      <c r="X832" s="1422"/>
      <c r="Y832" s="1422"/>
      <c r="Z832" s="1422"/>
      <c r="AA832" s="1422"/>
      <c r="AB832" s="1422"/>
      <c r="AC832" s="142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2">
        <v>46644</v>
      </c>
      <c r="X833" s="1422"/>
      <c r="Y833" s="1422"/>
      <c r="Z833" s="1422"/>
      <c r="AA833" s="1422"/>
      <c r="AB833" s="1422"/>
      <c r="AC833" s="142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2">
        <v>86035</v>
      </c>
      <c r="X834" s="1422"/>
      <c r="Y834" s="1422"/>
      <c r="Z834" s="1422"/>
      <c r="AA834" s="1422"/>
      <c r="AB834" s="1422"/>
      <c r="AC834" s="1422"/>
      <c r="AD834" s="12"/>
      <c r="AE834" s="12"/>
      <c r="AF834" s="12"/>
      <c r="AG834" s="12"/>
      <c r="AH834" s="12"/>
      <c r="AI834" s="12"/>
      <c r="AJ834" s="12"/>
      <c r="AK834" s="12"/>
      <c r="AL834" s="12"/>
      <c r="AM834" s="1425">
        <f>SUM(AM801:AM829)</f>
        <v>7.5000000000000011E-2</v>
      </c>
      <c r="AN834" s="142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3">
        <f>SUM(W831:AC834)</f>
        <v>151726</v>
      </c>
      <c r="X835" s="1423"/>
      <c r="Y835" s="1423"/>
      <c r="Z835" s="1423"/>
      <c r="AA835" s="1423"/>
      <c r="AB835" s="1423"/>
      <c r="AC835" s="142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7">
        <v>107702</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7">
        <f>111222</f>
        <v>111222</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1751</v>
      </c>
      <c r="N839" s="1194"/>
      <c r="O839" s="1194"/>
      <c r="P839" s="1194"/>
      <c r="Q839" s="1194"/>
      <c r="R839" s="1194"/>
      <c r="S839" s="1194"/>
      <c r="T839" s="1194"/>
      <c r="U839" s="1194"/>
      <c r="V839" s="1195"/>
      <c r="W839" s="1217">
        <v>78731</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3">
        <f>SUM(W837:AC839)</f>
        <v>297655</v>
      </c>
      <c r="X840" s="1474"/>
      <c r="Y840" s="1474"/>
      <c r="Z840" s="1474"/>
      <c r="AA840" s="1474"/>
      <c r="AB840" s="1474"/>
      <c r="AC840" s="147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57518</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2">
        <v>4500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2">
        <v>12850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2">
        <v>38400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2">
        <v>7740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2">
        <v>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2">
        <v>6384</v>
      </c>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1752</v>
      </c>
      <c r="N849" s="1194"/>
      <c r="O849" s="1194"/>
      <c r="P849" s="1194"/>
      <c r="Q849" s="1194"/>
      <c r="R849" s="1194"/>
      <c r="S849" s="1194"/>
      <c r="T849" s="1194"/>
      <c r="U849" s="1194"/>
      <c r="V849" s="1195"/>
      <c r="W849" s="1142">
        <v>31042</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100916</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3" t="s">
        <v>1753</v>
      </c>
      <c r="N852" s="1194"/>
      <c r="O852" s="1194"/>
      <c r="P852" s="1194"/>
      <c r="Q852" s="1194"/>
      <c r="R852" s="1194"/>
      <c r="S852" s="1194"/>
      <c r="T852" s="1194"/>
      <c r="U852" s="1194"/>
      <c r="V852" s="1195"/>
      <c r="W852" s="1202">
        <v>10478</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3" t="s">
        <v>1754</v>
      </c>
      <c r="N853" s="1194"/>
      <c r="O853" s="1194"/>
      <c r="P853" s="1194"/>
      <c r="Q853" s="1194"/>
      <c r="R853" s="1194"/>
      <c r="S853" s="1194"/>
      <c r="T853" s="1194"/>
      <c r="U853" s="1194"/>
      <c r="V853" s="1195"/>
      <c r="W853" s="1202">
        <v>26820</v>
      </c>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1"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1"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1"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37298</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969722</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6">
        <f>O778+O758+G734</f>
        <v>58</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4" t="s">
        <v>35</v>
      </c>
      <c r="F863" s="1515"/>
      <c r="G863" s="1515"/>
      <c r="H863" s="1515"/>
      <c r="I863" s="1515"/>
      <c r="J863" s="1515"/>
      <c r="K863" s="1515"/>
      <c r="L863" s="1515"/>
      <c r="M863" s="1515"/>
      <c r="N863" s="1515"/>
      <c r="O863" s="1515"/>
      <c r="P863" s="1515"/>
      <c r="Q863" s="1515"/>
      <c r="R863" s="1515"/>
      <c r="S863" s="1515"/>
      <c r="T863" s="1515"/>
      <c r="U863" s="1515"/>
      <c r="V863" s="1515"/>
      <c r="W863" s="1515"/>
      <c r="X863" s="1515"/>
      <c r="Y863" s="1515"/>
      <c r="Z863" s="1515"/>
      <c r="AA863" s="1515"/>
      <c r="AB863" s="1516"/>
      <c r="AC863" s="1212">
        <f>IF(ISERROR((ROUNDDOWN(AC861/AC862,0))),0,(ROUNDDOWN(AC861/AC862,0)))</f>
        <v>16719</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2">
        <f>'Sources and Uses Budget'!C72</f>
        <v>354241</v>
      </c>
      <c r="AD864" s="1424"/>
      <c r="AE864" s="1424"/>
      <c r="AF864" s="1424"/>
      <c r="AG864" s="1424"/>
      <c r="AH864" s="142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4"/>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2">
        <v>60000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29000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2" t="s">
        <v>1065</v>
      </c>
      <c r="F869" s="1413"/>
      <c r="G869" s="1413"/>
      <c r="H869" s="1413"/>
      <c r="I869" s="1413"/>
      <c r="J869" s="1413"/>
      <c r="K869" s="1413"/>
      <c r="L869" s="1413"/>
      <c r="M869" s="1413"/>
      <c r="N869" s="1413"/>
      <c r="O869" s="1413"/>
      <c r="P869" s="1413"/>
      <c r="Q869" s="1413"/>
      <c r="R869" s="1413"/>
      <c r="S869" s="1413"/>
      <c r="T869" s="1413"/>
      <c r="U869" s="1413"/>
      <c r="V869" s="1413"/>
      <c r="W869" s="1413"/>
      <c r="X869" s="1413"/>
      <c r="Y869" s="1413"/>
      <c r="Z869" s="1413"/>
      <c r="AA869" s="1413"/>
      <c r="AB869" s="1414"/>
      <c r="AC869" s="1142"/>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2" t="s">
        <v>1065</v>
      </c>
      <c r="F870" s="1413"/>
      <c r="G870" s="1413"/>
      <c r="H870" s="1413"/>
      <c r="I870" s="1413"/>
      <c r="J870" s="1413"/>
      <c r="K870" s="1413"/>
      <c r="L870" s="1413"/>
      <c r="M870" s="1413"/>
      <c r="N870" s="1413"/>
      <c r="O870" s="1413"/>
      <c r="P870" s="1413"/>
      <c r="Q870" s="1413"/>
      <c r="R870" s="1413"/>
      <c r="S870" s="1413"/>
      <c r="T870" s="1413"/>
      <c r="U870" s="1413"/>
      <c r="V870" s="1413"/>
      <c r="W870" s="1413"/>
      <c r="X870" s="1413"/>
      <c r="Y870" s="1413"/>
      <c r="Z870" s="1413"/>
      <c r="AA870" s="1413"/>
      <c r="AB870" s="1414"/>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v>21785</v>
      </c>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v>21785</v>
      </c>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62">
        <f>IF(AD955&gt;0,0.2,0)</f>
        <v>0</v>
      </c>
      <c r="AR877" s="146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1">
        <f>IF(AD958&gt;0,0.05,0)</f>
        <v>0</v>
      </c>
      <c r="AR878" s="142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2">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5">
        <f>IF(AD988&gt;0,0.1,0)</f>
        <v>0.1</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62">
        <f>SUM(AQ877:AQ885)</f>
        <v>0.1</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2">
        <f>SUM(AQ877:AR881)+AQ885</f>
        <v>0.1</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6" t="s">
        <v>873</v>
      </c>
      <c r="G890" s="1477"/>
      <c r="H890" s="1477"/>
      <c r="I890" s="1477"/>
      <c r="J890" s="1477"/>
      <c r="K890" s="1477"/>
      <c r="L890" s="1477"/>
      <c r="M890" s="1477"/>
      <c r="N890" s="1477"/>
      <c r="O890" s="1477"/>
      <c r="P890" s="1477"/>
      <c r="Q890" s="1477"/>
      <c r="R890" s="1477"/>
      <c r="S890" s="1477"/>
      <c r="T890" s="1478"/>
      <c r="U890" s="1519" t="s">
        <v>34</v>
      </c>
      <c r="V890" s="1520"/>
      <c r="W890" s="1520"/>
      <c r="X890" s="1520"/>
      <c r="Y890" s="1520"/>
      <c r="Z890" s="152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902</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8" t="s">
        <v>424</v>
      </c>
      <c r="AC892" s="1568"/>
      <c r="AD892" s="1568"/>
      <c r="AE892" s="156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6" t="s">
        <v>591</v>
      </c>
      <c r="V893" s="1117"/>
      <c r="W893" s="1117"/>
      <c r="X893" s="1117"/>
      <c r="Y893" s="1117"/>
      <c r="Z893" s="1118"/>
      <c r="AA893" s="1191">
        <f>AE545</f>
        <v>28863803</v>
      </c>
      <c r="AB893" s="1154"/>
      <c r="AC893" s="1154"/>
      <c r="AD893" s="1154"/>
      <c r="AE893" s="1154"/>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6" t="s">
        <v>722</v>
      </c>
      <c r="V894" s="1117"/>
      <c r="W894" s="1117"/>
      <c r="X894" s="1117"/>
      <c r="Y894" s="1117"/>
      <c r="Z894" s="1118"/>
      <c r="AA894" s="1191"/>
      <c r="AB894" s="1154"/>
      <c r="AC894" s="1154"/>
      <c r="AD894" s="1154"/>
      <c r="AE894" s="1154"/>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6" t="s">
        <v>641</v>
      </c>
      <c r="V895" s="1117"/>
      <c r="W895" s="1117"/>
      <c r="X895" s="1117"/>
      <c r="Y895" s="1117"/>
      <c r="Z895" s="1118"/>
      <c r="AA895" s="1191"/>
      <c r="AB895" s="1154"/>
      <c r="AC895" s="1154"/>
      <c r="AD895" s="1154"/>
      <c r="AE895" s="1154"/>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6" t="s">
        <v>591</v>
      </c>
      <c r="V896" s="1117"/>
      <c r="W896" s="1117"/>
      <c r="X896" s="1117"/>
      <c r="Y896" s="1117"/>
      <c r="Z896" s="1118"/>
      <c r="AA896" s="1191">
        <f>AE548</f>
        <v>2116506</v>
      </c>
      <c r="AB896" s="1154"/>
      <c r="AC896" s="1154"/>
      <c r="AD896" s="1154"/>
      <c r="AE896" s="1154"/>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6" t="s">
        <v>641</v>
      </c>
      <c r="V897" s="1117"/>
      <c r="W897" s="1117"/>
      <c r="X897" s="1117"/>
      <c r="Y897" s="1117"/>
      <c r="Z897" s="1118"/>
      <c r="AA897" s="1191"/>
      <c r="AB897" s="1154"/>
      <c r="AC897" s="1154"/>
      <c r="AD897" s="1154"/>
      <c r="AE897" s="1154"/>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6" t="s">
        <v>641</v>
      </c>
      <c r="V898" s="1117"/>
      <c r="W898" s="1117"/>
      <c r="X898" s="1117"/>
      <c r="Y898" s="1117"/>
      <c r="Z898" s="1118"/>
      <c r="AA898" s="1191"/>
      <c r="AB898" s="1154"/>
      <c r="AC898" s="1154"/>
      <c r="AD898" s="1154"/>
      <c r="AE898" s="1154"/>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6" t="s">
        <v>641</v>
      </c>
      <c r="V899" s="1117"/>
      <c r="W899" s="1117"/>
      <c r="X899" s="1117"/>
      <c r="Y899" s="1117"/>
      <c r="Z899" s="1118"/>
      <c r="AA899" s="1191"/>
      <c r="AB899" s="1154"/>
      <c r="AC899" s="1154"/>
      <c r="AD899" s="1154"/>
      <c r="AE899" s="1154"/>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6" t="s">
        <v>641</v>
      </c>
      <c r="V900" s="1117"/>
      <c r="W900" s="1117"/>
      <c r="X900" s="1117"/>
      <c r="Y900" s="1117"/>
      <c r="Z900" s="1118"/>
      <c r="AA900" s="1191"/>
      <c r="AB900" s="1154"/>
      <c r="AC900" s="1154"/>
      <c r="AD900" s="1154"/>
      <c r="AE900" s="1154"/>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6" t="s">
        <v>641</v>
      </c>
      <c r="V901" s="1117"/>
      <c r="W901" s="1117"/>
      <c r="X901" s="1117"/>
      <c r="Y901" s="1117"/>
      <c r="Z901" s="1118"/>
      <c r="AA901" s="1191"/>
      <c r="AB901" s="1154"/>
      <c r="AC901" s="1154"/>
      <c r="AD901" s="1154"/>
      <c r="AE901" s="1154"/>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6" t="s">
        <v>641</v>
      </c>
      <c r="V902" s="1117"/>
      <c r="W902" s="1117"/>
      <c r="X902" s="1117"/>
      <c r="Y902" s="1117"/>
      <c r="Z902" s="1118"/>
      <c r="AA902" s="1191"/>
      <c r="AB902" s="1154"/>
      <c r="AC902" s="1154"/>
      <c r="AD902" s="1154"/>
      <c r="AE902" s="1154"/>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6" t="s">
        <v>641</v>
      </c>
      <c r="V903" s="1117"/>
      <c r="W903" s="1117"/>
      <c r="X903" s="1117"/>
      <c r="Y903" s="1117"/>
      <c r="Z903" s="1118"/>
      <c r="AA903" s="1191"/>
      <c r="AB903" s="1154"/>
      <c r="AC903" s="1154"/>
      <c r="AD903" s="1154"/>
      <c r="AE903" s="1154"/>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6" t="s">
        <v>641</v>
      </c>
      <c r="V904" s="1117"/>
      <c r="W904" s="1117"/>
      <c r="X904" s="1117"/>
      <c r="Y904" s="1117"/>
      <c r="Z904" s="1118"/>
      <c r="AA904" s="1191"/>
      <c r="AB904" s="1154"/>
      <c r="AC904" s="1154"/>
      <c r="AD904" s="1154"/>
      <c r="AE904" s="1154"/>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6" t="s">
        <v>591</v>
      </c>
      <c r="V905" s="1117"/>
      <c r="W905" s="1117"/>
      <c r="X905" s="1117"/>
      <c r="Y905" s="1117"/>
      <c r="Z905" s="1118"/>
      <c r="AA905" s="1191">
        <f>AG627</f>
        <v>8143953</v>
      </c>
      <c r="AB905" s="1154"/>
      <c r="AC905" s="1154"/>
      <c r="AD905" s="1154"/>
      <c r="AE905" s="1154"/>
      <c r="AF905" s="1192"/>
      <c r="AM905" s="1453">
        <f>G734+O778</f>
        <v>58</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6" t="s">
        <v>641</v>
      </c>
      <c r="V906" s="1117"/>
      <c r="W906" s="1117"/>
      <c r="X906" s="1117"/>
      <c r="Y906" s="1117"/>
      <c r="Z906" s="1118"/>
      <c r="AA906" s="1191"/>
      <c r="AB906" s="1154"/>
      <c r="AC906" s="1154"/>
      <c r="AD906" s="1154"/>
      <c r="AE906" s="1154"/>
      <c r="AF906" s="1192"/>
      <c r="AM906" s="52"/>
      <c r="AN906" s="21"/>
      <c r="AO906" s="1464">
        <f>ROUNDDOWN(X999/I999,2)</f>
        <v>0.44</v>
      </c>
      <c r="AP906" s="1465"/>
      <c r="AQ906" s="1465"/>
      <c r="AR906" s="146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6" t="s">
        <v>641</v>
      </c>
      <c r="V907" s="1117"/>
      <c r="W907" s="1117"/>
      <c r="X907" s="1117"/>
      <c r="Y907" s="1117"/>
      <c r="Z907" s="1118"/>
      <c r="AA907" s="1191"/>
      <c r="AB907" s="1154"/>
      <c r="AC907" s="1154"/>
      <c r="AD907" s="1154"/>
      <c r="AE907" s="1154"/>
      <c r="AF907" s="1192"/>
      <c r="AM907" s="52"/>
      <c r="AN907" s="52"/>
      <c r="AO907" s="1487">
        <f>ROUNDDOWN(X1003/I1003,2)</f>
        <v>0.55000000000000004</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6" t="s">
        <v>722</v>
      </c>
      <c r="Q908" s="1117"/>
      <c r="R908" s="1117"/>
      <c r="S908" s="1117"/>
      <c r="T908" s="1118"/>
      <c r="U908" s="1116" t="s">
        <v>641</v>
      </c>
      <c r="V908" s="1117"/>
      <c r="W908" s="1117"/>
      <c r="X908" s="1117"/>
      <c r="Y908" s="1117"/>
      <c r="Z908" s="1118"/>
      <c r="AA908" s="1191"/>
      <c r="AB908" s="1154"/>
      <c r="AC908" s="1154"/>
      <c r="AD908" s="1154"/>
      <c r="AE908" s="1154"/>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0" t="s">
        <v>1813</v>
      </c>
      <c r="J909" s="1471"/>
      <c r="K909" s="1471"/>
      <c r="L909" s="1471"/>
      <c r="M909" s="1471"/>
      <c r="N909" s="1471"/>
      <c r="O909" s="1471"/>
      <c r="P909" s="1471"/>
      <c r="Q909" s="1471"/>
      <c r="R909" s="1471"/>
      <c r="S909" s="1471"/>
      <c r="T909" s="1472"/>
      <c r="U909" s="1116" t="s">
        <v>591</v>
      </c>
      <c r="V909" s="1117"/>
      <c r="W909" s="1117"/>
      <c r="X909" s="1117"/>
      <c r="Y909" s="1117"/>
      <c r="Z909" s="1118"/>
      <c r="AA909" s="1191">
        <v>3047001</v>
      </c>
      <c r="AB909" s="1154"/>
      <c r="AC909" s="1154"/>
      <c r="AD909" s="1154"/>
      <c r="AE909" s="1154"/>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0" t="s">
        <v>1812</v>
      </c>
      <c r="J910" s="1479"/>
      <c r="K910" s="1479"/>
      <c r="L910" s="1479"/>
      <c r="M910" s="1479"/>
      <c r="N910" s="1479"/>
      <c r="O910" s="1479"/>
      <c r="P910" s="1479"/>
      <c r="Q910" s="1479"/>
      <c r="R910" s="1479"/>
      <c r="S910" s="1479"/>
      <c r="T910" s="1480"/>
      <c r="U910" s="1116" t="s">
        <v>591</v>
      </c>
      <c r="V910" s="1117"/>
      <c r="W910" s="1117"/>
      <c r="X910" s="1117"/>
      <c r="Y910" s="1117"/>
      <c r="Z910" s="1118"/>
      <c r="AA910" s="1191">
        <f>3866667+2133333+450000+350000</f>
        <v>6800000</v>
      </c>
      <c r="AB910" s="1154"/>
      <c r="AC910" s="1154"/>
      <c r="AD910" s="1154"/>
      <c r="AE910" s="1154"/>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0" t="s">
        <v>1810</v>
      </c>
      <c r="J911" s="1479"/>
      <c r="K911" s="1479"/>
      <c r="L911" s="1479"/>
      <c r="M911" s="1479"/>
      <c r="N911" s="1479"/>
      <c r="O911" s="1479"/>
      <c r="P911" s="1479"/>
      <c r="Q911" s="1479"/>
      <c r="R911" s="1479"/>
      <c r="S911" s="1479"/>
      <c r="T911" s="1480"/>
      <c r="U911" s="1116" t="s">
        <v>591</v>
      </c>
      <c r="V911" s="1117"/>
      <c r="W911" s="1117"/>
      <c r="X911" s="1117"/>
      <c r="Y911" s="1117"/>
      <c r="Z911" s="1118"/>
      <c r="AA911" s="1191">
        <v>750000</v>
      </c>
      <c r="AB911" s="1154"/>
      <c r="AC911" s="1154"/>
      <c r="AD911" s="1154"/>
      <c r="AE911" s="1154"/>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4" t="s">
        <v>357</v>
      </c>
      <c r="J912" s="1479"/>
      <c r="K912" s="1479"/>
      <c r="L912" s="1479"/>
      <c r="M912" s="1479"/>
      <c r="N912" s="1479"/>
      <c r="O912" s="1479"/>
      <c r="P912" s="1479"/>
      <c r="Q912" s="1479"/>
      <c r="R912" s="1479"/>
      <c r="S912" s="1479"/>
      <c r="T912" s="1480"/>
      <c r="U912" s="1116" t="s">
        <v>641</v>
      </c>
      <c r="V912" s="1117"/>
      <c r="W912" s="1117"/>
      <c r="X912" s="1117"/>
      <c r="Y912" s="1117"/>
      <c r="Z912" s="1118"/>
      <c r="AA912" s="1191"/>
      <c r="AB912" s="1154"/>
      <c r="AC912" s="1154"/>
      <c r="AD912" s="1154"/>
      <c r="AE912" s="1154"/>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6">
        <v>43313</v>
      </c>
      <c r="N917" s="1417"/>
      <c r="O917" s="1417"/>
      <c r="P917" s="1417"/>
      <c r="Q917" s="1417"/>
      <c r="R917" s="1417"/>
      <c r="S917" s="1418"/>
      <c r="U917" s="103" t="s">
        <v>11</v>
      </c>
      <c r="V917" s="77"/>
      <c r="W917" s="77"/>
      <c r="X917" s="77"/>
      <c r="Y917" s="77"/>
      <c r="Z917" s="77"/>
      <c r="AA917" s="77"/>
      <c r="AB917" s="77"/>
      <c r="AC917" s="77"/>
      <c r="AD917" s="78"/>
      <c r="AE917" s="1496"/>
      <c r="AF917" s="1417"/>
      <c r="AG917" s="1417"/>
      <c r="AH917" s="1417"/>
      <c r="AI917" s="1417"/>
      <c r="AJ917" s="1417"/>
      <c r="AK917" s="141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9" t="s">
        <v>1808</v>
      </c>
      <c r="N918" s="1460"/>
      <c r="O918" s="1460"/>
      <c r="P918" s="1460"/>
      <c r="Q918" s="1460"/>
      <c r="R918" s="1460"/>
      <c r="S918" s="1461"/>
      <c r="U918" s="103" t="s">
        <v>12</v>
      </c>
      <c r="V918" s="77"/>
      <c r="W918" s="77"/>
      <c r="X918" s="77"/>
      <c r="Y918" s="77"/>
      <c r="Z918" s="77"/>
      <c r="AA918" s="77"/>
      <c r="AB918" s="77"/>
      <c r="AC918" s="77"/>
      <c r="AD918" s="78"/>
      <c r="AE918" s="1459"/>
      <c r="AF918" s="1460"/>
      <c r="AG918" s="1460"/>
      <c r="AH918" s="1460"/>
      <c r="AI918" s="1460"/>
      <c r="AJ918" s="1460"/>
      <c r="AK918" s="14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5" t="s">
        <v>1809</v>
      </c>
      <c r="K919" s="1506"/>
      <c r="L919" s="1506"/>
      <c r="M919" s="1506"/>
      <c r="N919" s="1506"/>
      <c r="O919" s="1506"/>
      <c r="P919" s="1506"/>
      <c r="Q919" s="1506"/>
      <c r="R919" s="1506"/>
      <c r="S919" s="1507"/>
      <c r="U919" s="103" t="s">
        <v>974</v>
      </c>
      <c r="V919" s="77"/>
      <c r="W919" s="77"/>
      <c r="AB919" s="1505" t="s">
        <v>329</v>
      </c>
      <c r="AC919" s="1506"/>
      <c r="AD919" s="1506"/>
      <c r="AE919" s="1506"/>
      <c r="AF919" s="1506"/>
      <c r="AG919" s="1506"/>
      <c r="AH919" s="1506"/>
      <c r="AI919" s="1506"/>
      <c r="AJ919" s="1506"/>
      <c r="AK919" s="150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9">
        <v>1</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v>58</v>
      </c>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f>Z789</f>
        <v>1397568</v>
      </c>
      <c r="N922" s="1154"/>
      <c r="O922" s="1154"/>
      <c r="P922" s="1154"/>
      <c r="Q922" s="1154"/>
      <c r="R922" s="1154"/>
      <c r="S922" s="1192"/>
      <c r="U922" s="103" t="s">
        <v>15</v>
      </c>
      <c r="V922" s="77"/>
      <c r="W922" s="77"/>
      <c r="X922" s="77"/>
      <c r="Y922" s="77"/>
      <c r="Z922" s="77"/>
      <c r="AA922" s="77"/>
      <c r="AB922" s="77"/>
      <c r="AC922" s="77"/>
      <c r="AD922" s="78"/>
      <c r="AE922" s="1191"/>
      <c r="AF922" s="1154"/>
      <c r="AG922" s="1154"/>
      <c r="AH922" s="1154"/>
      <c r="AI922" s="1154"/>
      <c r="AJ922" s="1154"/>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4"/>
      <c r="O923" s="1154"/>
      <c r="P923" s="1154"/>
      <c r="Q923" s="1154"/>
      <c r="R923" s="1154"/>
      <c r="S923" s="1192"/>
      <c r="U923" s="103" t="s">
        <v>16</v>
      </c>
      <c r="V923" s="77"/>
      <c r="W923" s="77"/>
      <c r="X923" s="77"/>
      <c r="Y923" s="77"/>
      <c r="Z923" s="77"/>
      <c r="AA923" s="77"/>
      <c r="AB923" s="77"/>
      <c r="AC923" s="77"/>
      <c r="AD923" s="78"/>
      <c r="AE923" s="1191"/>
      <c r="AF923" s="1154"/>
      <c r="AG923" s="1154"/>
      <c r="AH923" s="1154"/>
      <c r="AI923" s="1154"/>
      <c r="AJ923" s="1154"/>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5" t="s">
        <v>1811</v>
      </c>
      <c r="N924" s="1456"/>
      <c r="O924" s="1456"/>
      <c r="P924" s="1456"/>
      <c r="Q924" s="1456"/>
      <c r="R924" s="1456"/>
      <c r="S924" s="1457"/>
      <c r="U924" s="103" t="s">
        <v>620</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8"/>
      <c r="N929" s="1429"/>
      <c r="O929" s="1429"/>
      <c r="P929" s="1429"/>
      <c r="Q929" s="1429"/>
      <c r="R929" s="1429"/>
      <c r="S929" s="1430"/>
      <c r="T929" s="103" t="s">
        <v>871</v>
      </c>
      <c r="U929" s="77"/>
      <c r="V929" s="77"/>
      <c r="W929" s="77"/>
      <c r="X929" s="77"/>
      <c r="Y929" s="77"/>
      <c r="Z929" s="78"/>
      <c r="AA929" s="1428"/>
      <c r="AB929" s="1429"/>
      <c r="AC929" s="1429"/>
      <c r="AD929" s="1429"/>
      <c r="AE929" s="1429"/>
      <c r="AF929" s="1429"/>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8"/>
      <c r="N930" s="1429"/>
      <c r="O930" s="1429"/>
      <c r="P930" s="1429"/>
      <c r="Q930" s="1429"/>
      <c r="R930" s="1429"/>
      <c r="S930" s="1430"/>
      <c r="T930" s="103" t="s">
        <v>870</v>
      </c>
      <c r="U930" s="77"/>
      <c r="V930" s="77"/>
      <c r="W930" s="77"/>
      <c r="X930" s="77"/>
      <c r="Y930" s="77"/>
      <c r="Z930" s="78"/>
      <c r="AA930" s="1428"/>
      <c r="AB930" s="1429"/>
      <c r="AC930" s="1429"/>
      <c r="AD930" s="1429"/>
      <c r="AE930" s="1429"/>
      <c r="AF930" s="1429"/>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0" t="s">
        <v>641</v>
      </c>
      <c r="N931" s="1501"/>
      <c r="O931" s="1501"/>
      <c r="P931" s="1501"/>
      <c r="Q931" s="1501"/>
      <c r="R931" s="1501"/>
      <c r="S931" s="1502"/>
      <c r="T931" s="76" t="s">
        <v>360</v>
      </c>
      <c r="U931" s="77"/>
      <c r="V931" s="77"/>
      <c r="W931" s="77"/>
      <c r="X931" s="77"/>
      <c r="Y931" s="77"/>
      <c r="Z931" s="78"/>
      <c r="AA931" s="1428"/>
      <c r="AB931" s="1429"/>
      <c r="AC931" s="1429"/>
      <c r="AD931" s="1429"/>
      <c r="AE931" s="1429"/>
      <c r="AF931" s="1429"/>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8"/>
      <c r="N932" s="1429"/>
      <c r="O932" s="1429"/>
      <c r="P932" s="1429"/>
      <c r="Q932" s="1429"/>
      <c r="R932" s="1429"/>
      <c r="S932" s="1430"/>
      <c r="T932" s="76" t="s">
        <v>361</v>
      </c>
      <c r="U932" s="77"/>
      <c r="V932" s="77"/>
      <c r="W932" s="77"/>
      <c r="X932" s="77"/>
      <c r="Y932" s="77"/>
      <c r="Z932" s="78"/>
      <c r="AA932" s="1428"/>
      <c r="AB932" s="1429"/>
      <c r="AC932" s="1429"/>
      <c r="AD932" s="1429"/>
      <c r="AE932" s="1429"/>
      <c r="AF932" s="1429"/>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8"/>
      <c r="N933" s="1429"/>
      <c r="O933" s="1429"/>
      <c r="P933" s="1429"/>
      <c r="Q933" s="1429"/>
      <c r="R933" s="1429"/>
      <c r="S933" s="1430"/>
      <c r="T933" s="76" t="s">
        <v>408</v>
      </c>
      <c r="U933" s="77"/>
      <c r="V933" s="77"/>
      <c r="W933" s="77"/>
      <c r="X933" s="77"/>
      <c r="Y933" s="77"/>
      <c r="Z933" s="78"/>
      <c r="AA933" s="1428"/>
      <c r="AB933" s="1429"/>
      <c r="AC933" s="1429"/>
      <c r="AD933" s="1429"/>
      <c r="AE933" s="1429"/>
      <c r="AF933" s="1429"/>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4" t="s">
        <v>329</v>
      </c>
      <c r="N934" s="1485"/>
      <c r="O934" s="1485"/>
      <c r="P934" s="1485"/>
      <c r="Q934" s="1485"/>
      <c r="R934" s="1485"/>
      <c r="S934" s="1486"/>
      <c r="T934" s="1467"/>
      <c r="U934" s="1468"/>
      <c r="V934" s="1468"/>
      <c r="W934" s="1468"/>
      <c r="X934" s="1468"/>
      <c r="Y934" s="1468"/>
      <c r="Z934" s="1469"/>
      <c r="AA934" s="1428"/>
      <c r="AB934" s="1429"/>
      <c r="AC934" s="1429"/>
      <c r="AD934" s="1429"/>
      <c r="AE934" s="1429"/>
      <c r="AF934" s="1429"/>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8"/>
      <c r="N935" s="1429"/>
      <c r="O935" s="1429"/>
      <c r="P935" s="1429"/>
      <c r="Q935" s="1429"/>
      <c r="R935" s="1429"/>
      <c r="S935" s="1430"/>
      <c r="T935" s="1467"/>
      <c r="U935" s="1468"/>
      <c r="V935" s="1468"/>
      <c r="W935" s="1468"/>
      <c r="X935" s="1468"/>
      <c r="Y935" s="1468"/>
      <c r="Z935" s="1469"/>
      <c r="AA935" s="1428"/>
      <c r="AB935" s="1429"/>
      <c r="AC935" s="1429"/>
      <c r="AD935" s="1429"/>
      <c r="AE935" s="1429"/>
      <c r="AF935" s="1429"/>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722</v>
      </c>
      <c r="P936" s="1163"/>
      <c r="Q936" s="142"/>
      <c r="R936" s="142"/>
      <c r="S936" s="143"/>
      <c r="T936" s="71" t="s">
        <v>177</v>
      </c>
      <c r="U936" s="72"/>
      <c r="V936" s="72"/>
      <c r="W936" s="1193" t="s">
        <v>1729</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9" t="s">
        <v>36</v>
      </c>
      <c r="G937" s="1420"/>
      <c r="H937" s="1420"/>
      <c r="I937" s="1420"/>
      <c r="J937" s="1420"/>
      <c r="K937" s="1420"/>
      <c r="L937" s="1420"/>
      <c r="M937" s="1428"/>
      <c r="N937" s="1429"/>
      <c r="O937" s="1429"/>
      <c r="P937" s="1429"/>
      <c r="Q937" s="1429"/>
      <c r="R937" s="1429"/>
      <c r="S937" s="1430"/>
      <c r="T937" s="79"/>
      <c r="U937" s="80"/>
      <c r="V937" s="80"/>
      <c r="W937" s="80"/>
      <c r="X937" s="80"/>
      <c r="Y937" s="80"/>
      <c r="Z937" s="196" t="s">
        <v>141</v>
      </c>
      <c r="AA937" s="1446">
        <f>2215*58*12</f>
        <v>1541640</v>
      </c>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149" t="s">
        <v>594</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8"/>
      <c r="AU941" s="1458"/>
      <c r="AV941" s="1458"/>
      <c r="AW941" s="1458"/>
      <c r="AX941" s="1458"/>
      <c r="AY941" s="14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441" t="s">
        <v>688</v>
      </c>
      <c r="C946" s="1441"/>
      <c r="D946" s="1441"/>
      <c r="E946" s="1441"/>
      <c r="F946" s="1441"/>
      <c r="G946" s="1441"/>
      <c r="H946" s="1441"/>
      <c r="I946" s="1441"/>
      <c r="J946" s="1441"/>
      <c r="K946" s="1441"/>
      <c r="L946" s="1441" t="s">
        <v>689</v>
      </c>
      <c r="M946" s="1441"/>
      <c r="N946" s="1441"/>
      <c r="O946" s="1441"/>
      <c r="P946" s="1441"/>
      <c r="Q946" s="1441"/>
      <c r="R946" s="1441"/>
      <c r="S946" s="1441"/>
      <c r="T946" s="1441"/>
      <c r="U946" s="1441"/>
      <c r="V946" s="1441" t="s">
        <v>690</v>
      </c>
      <c r="W946" s="1441"/>
      <c r="X946" s="1441"/>
      <c r="Y946" s="1441"/>
      <c r="Z946" s="1441"/>
      <c r="AA946" s="1441"/>
      <c r="AB946" s="1441"/>
      <c r="AC946" s="1441"/>
      <c r="AD946" s="1508" t="s">
        <v>691</v>
      </c>
      <c r="AE946" s="1509"/>
      <c r="AF946" s="1509"/>
      <c r="AG946" s="1509"/>
      <c r="AH946" s="1509"/>
      <c r="AI946" s="1509"/>
      <c r="AJ946" s="1509"/>
      <c r="AK946" s="151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4" t="s">
        <v>683</v>
      </c>
      <c r="C947" s="1571"/>
      <c r="D947" s="1571"/>
      <c r="E947" s="1571"/>
      <c r="F947" s="1571"/>
      <c r="G947" s="1571"/>
      <c r="H947" s="1571"/>
      <c r="I947" s="1571"/>
      <c r="J947" s="1571"/>
      <c r="K947" s="1571"/>
      <c r="L947" s="1442">
        <f>IF(ISNA(IF($BA$779="4%",(INDEX($BC$789:$BG$846,MATCH($BO$779,$BB$789:$BB$846,0),MATCH(B947,$BC$788:$BG$788,0))),(INDEX($BJ$789:$BN$846,MATCH($BO$779,$BI$789:$BI$846,0),MATCH(B947,$BJ$788:$BN$788,0))))),0,IF($BA$779="4%",(INDEX($BC$789:$BG$846,MATCH($BO$779,$BB$789:$BB$846,0),MATCH(B947,$BC$788:$BG$788,0))),(INDEX($BJ$789:$BN$846,MATCH($BO$779,$BI$789:$BI$846,0),MATCH(B947,$BJ$788:$BN$788,0)))))</f>
        <v>440603</v>
      </c>
      <c r="M947" s="1443"/>
      <c r="N947" s="1443"/>
      <c r="O947" s="1443"/>
      <c r="P947" s="1443"/>
      <c r="Q947" s="1443"/>
      <c r="R947" s="1443"/>
      <c r="S947" s="1443"/>
      <c r="T947" s="1443"/>
      <c r="U947" s="1444"/>
      <c r="V947" s="1247">
        <f>BA635</f>
        <v>58</v>
      </c>
      <c r="W947" s="1247"/>
      <c r="X947" s="1247"/>
      <c r="Y947" s="1247"/>
      <c r="Z947" s="1247"/>
      <c r="AA947" s="1247"/>
      <c r="AB947" s="1247"/>
      <c r="AC947" s="1247"/>
      <c r="AD947" s="1209">
        <f>IF(ISERROR((L947*V947)),0,(L947*V947))</f>
        <v>25554974</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94" t="s">
        <v>348</v>
      </c>
      <c r="C948" s="1294"/>
      <c r="D948" s="1294"/>
      <c r="E948" s="1294"/>
      <c r="F948" s="1294"/>
      <c r="G948" s="1294"/>
      <c r="H948" s="1294"/>
      <c r="I948" s="1294"/>
      <c r="J948" s="1294"/>
      <c r="K948" s="1294"/>
      <c r="L948" s="1442">
        <f>IF(ISNA(IF($BA$779="4%",(INDEX($BC$789:$BG$846,MATCH($BO$779,$BB$789:$BB$846,0),MATCH(B948,$BC$788:$BG$788,0))),(INDEX($BJ$789:$BN$846,MATCH($BO$779,$BI$789:$BI$846,0),MATCH(B948,$BJ$788:$BN$788,0))))),0,IF($BA$779="4%",(INDEX($BC$789:$BG$846,MATCH($BO$779,$BB$789:$BB$846,0),MATCH(B948,$BC$788:$BG$788,0))),(INDEX($BJ$789:$BN$846,MATCH($BO$779,$BI$789:$BI$846,0),MATCH(B948,$BJ$788:$BN$788,0)))))</f>
        <v>508011</v>
      </c>
      <c r="M948" s="1443"/>
      <c r="N948" s="1443"/>
      <c r="O948" s="1443"/>
      <c r="P948" s="1443"/>
      <c r="Q948" s="1443"/>
      <c r="R948" s="1443"/>
      <c r="S948" s="1443"/>
      <c r="T948" s="1443"/>
      <c r="U948" s="1444"/>
      <c r="V948" s="1247">
        <f>BF635</f>
        <v>0</v>
      </c>
      <c r="W948" s="1247"/>
      <c r="X948" s="1247"/>
      <c r="Y948" s="1247"/>
      <c r="Z948" s="1247"/>
      <c r="AA948" s="1247"/>
      <c r="AB948" s="1247"/>
      <c r="AC948" s="1247"/>
      <c r="AD948" s="1209">
        <f>IF(ISERROR((L948*V948)),0,(L948*V948))</f>
        <v>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4" t="s">
        <v>170</v>
      </c>
      <c r="C949" s="1294"/>
      <c r="D949" s="1294"/>
      <c r="E949" s="1294"/>
      <c r="F949" s="1294"/>
      <c r="G949" s="1294"/>
      <c r="H949" s="1294"/>
      <c r="I949" s="1294"/>
      <c r="J949" s="1294"/>
      <c r="K949" s="1294"/>
      <c r="L949" s="1442">
        <f>IF(ISNA(IF($BA$779="4%",(INDEX($BC$789:$BG$846,MATCH($BO$779,$BB$789:$BB$846,0),MATCH(B949,$BC$788:$BG$788,0))),(INDEX($BJ$789:$BN$846,MATCH($BO$779,$BI$789:$BI$846,0),MATCH(B949,$BJ$788:$BN$788,0))))),0,IF($BA$779="4%",(INDEX($BC$789:$BG$846,MATCH($BO$779,$BB$789:$BB$846,0),MATCH(B949,$BC$788:$BG$788,0))),(INDEX($BJ$789:$BN$846,MATCH($BO$779,$BI$789:$BI$846,0),MATCH(B949,$BJ$788:$BN$788,0)))))</f>
        <v>612800</v>
      </c>
      <c r="M949" s="1443"/>
      <c r="N949" s="1443"/>
      <c r="O949" s="1443"/>
      <c r="P949" s="1443"/>
      <c r="Q949" s="1443"/>
      <c r="R949" s="1443"/>
      <c r="S949" s="1443"/>
      <c r="T949" s="1443"/>
      <c r="U949" s="1444"/>
      <c r="V949" s="1247">
        <f>BK635</f>
        <v>0</v>
      </c>
      <c r="W949" s="1247"/>
      <c r="X949" s="1247"/>
      <c r="Y949" s="1247"/>
      <c r="Z949" s="1247"/>
      <c r="AA949" s="1247"/>
      <c r="AB949" s="1247"/>
      <c r="AC949" s="1247"/>
      <c r="AD949" s="1209">
        <f>IF(ISERROR((L949*V949)),0,(L949*V949))</f>
        <v>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4" t="s">
        <v>171</v>
      </c>
      <c r="C950" s="1294"/>
      <c r="D950" s="1294"/>
      <c r="E950" s="1294"/>
      <c r="F950" s="1294"/>
      <c r="G950" s="1294"/>
      <c r="H950" s="1294"/>
      <c r="I950" s="1294"/>
      <c r="J950" s="1294"/>
      <c r="K950" s="1294"/>
      <c r="L950" s="1442">
        <f>IF(ISNA(IF($BA$779="4%",(INDEX($BC$789:$BG$846,MATCH($BO$779,$BB$789:$BB$846,0),MATCH(B950,$BC$788:$BG$788,0))),(INDEX($BJ$789:$BN$846,MATCH($BO$779,$BI$789:$BI$846,0),MATCH(B950,$BJ$788:$BN$788,0))))),0,IF($BA$779="4%",(INDEX($BC$789:$BG$846,MATCH($BO$779,$BB$789:$BB$846,0),MATCH(B950,$BC$788:$BG$788,0))),(INDEX($BJ$789:$BN$846,MATCH($BO$779,$BI$789:$BI$846,0),MATCH(B950,$BJ$788:$BN$788,0)))))</f>
        <v>784384</v>
      </c>
      <c r="M950" s="1443"/>
      <c r="N950" s="1443"/>
      <c r="O950" s="1443"/>
      <c r="P950" s="1443"/>
      <c r="Q950" s="1443"/>
      <c r="R950" s="1443"/>
      <c r="S950" s="1443"/>
      <c r="T950" s="1443"/>
      <c r="U950" s="1444"/>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4" t="s">
        <v>506</v>
      </c>
      <c r="C951" s="1294"/>
      <c r="D951" s="1294"/>
      <c r="E951" s="1294"/>
      <c r="F951" s="1294"/>
      <c r="G951" s="1294"/>
      <c r="H951" s="1294"/>
      <c r="I951" s="1294"/>
      <c r="J951" s="1294"/>
      <c r="K951" s="1294"/>
      <c r="L951" s="1442">
        <f>IF(ISNA(IF($BA$779="4%",(INDEX($BC$789:$BG$846,MATCH($BO$779,$BB$789:$BB$846,0),MATCH(B951,$BC$788:$BG$788,0))),(INDEX($BJ$789:$BN$846,MATCH($BO$779,$BI$789:$BI$846,0),MATCH(B951,$BJ$788:$BN$788,0))))),0,IF($BA$779="4%",(INDEX($BC$789:$BG$846,MATCH($BO$779,$BB$789:$BB$846,0),MATCH(B951,$BC$788:$BG$788,0))),(INDEX($BJ$789:$BN$846,MATCH($BO$779,$BI$789:$BI$846,0),MATCH(B951,$BJ$788:$BN$788,0)))))</f>
        <v>873853</v>
      </c>
      <c r="M951" s="1443"/>
      <c r="N951" s="1443"/>
      <c r="O951" s="1443"/>
      <c r="P951" s="1443"/>
      <c r="Q951" s="1443"/>
      <c r="R951" s="1443"/>
      <c r="S951" s="1443"/>
      <c r="T951" s="1443"/>
      <c r="U951" s="1444"/>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872</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3">
        <f>SUM(V947:AC951)</f>
        <v>58</v>
      </c>
      <c r="W952" s="1434"/>
      <c r="X952" s="1434"/>
      <c r="Y952" s="1434"/>
      <c r="Z952" s="1434"/>
      <c r="AA952" s="1434"/>
      <c r="AB952" s="1434"/>
      <c r="AC952" s="1435"/>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1" t="s">
        <v>558</v>
      </c>
      <c r="C953" s="1522"/>
      <c r="D953" s="1522"/>
      <c r="E953" s="1522"/>
      <c r="F953" s="1522"/>
      <c r="G953" s="1522"/>
      <c r="H953" s="1522"/>
      <c r="I953" s="1522"/>
      <c r="J953" s="1522"/>
      <c r="K953" s="1522"/>
      <c r="L953" s="1522"/>
      <c r="M953" s="1522"/>
      <c r="N953" s="1522"/>
      <c r="O953" s="1522"/>
      <c r="P953" s="1522"/>
      <c r="Q953" s="1522"/>
      <c r="R953" s="1522"/>
      <c r="S953" s="1522"/>
      <c r="T953" s="1522"/>
      <c r="U953" s="1522"/>
      <c r="V953" s="1522"/>
      <c r="W953" s="1522"/>
      <c r="X953" s="1522"/>
      <c r="Y953" s="1522"/>
      <c r="Z953" s="1522"/>
      <c r="AA953" s="1522"/>
      <c r="AB953" s="1522"/>
      <c r="AC953" s="1523"/>
      <c r="AD953" s="1436">
        <f>SUM(AD947:AK951)</f>
        <v>25554974</v>
      </c>
      <c r="AE953" s="1437"/>
      <c r="AF953" s="1437"/>
      <c r="AG953" s="1437"/>
      <c r="AH953" s="1437"/>
      <c r="AI953" s="1437"/>
      <c r="AJ953" s="1437"/>
      <c r="AK953" s="143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719</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3" t="s">
        <v>722</v>
      </c>
      <c r="AB955" s="1504"/>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1"/>
      <c r="E957" s="1482"/>
      <c r="F957" s="1482"/>
      <c r="G957" s="1482"/>
      <c r="H957" s="1482"/>
      <c r="I957" s="1482"/>
      <c r="J957" s="1482"/>
      <c r="K957" s="1482"/>
      <c r="L957" s="1482"/>
      <c r="M957" s="1482"/>
      <c r="N957" s="1482"/>
      <c r="O957" s="1482"/>
      <c r="P957" s="1482"/>
      <c r="Q957" s="1482"/>
      <c r="R957" s="1482"/>
      <c r="S957" s="1482"/>
      <c r="T957" s="1482"/>
      <c r="U957" s="1482"/>
      <c r="V957" s="1482"/>
      <c r="W957" s="1482"/>
      <c r="X957" s="1482"/>
      <c r="Y957" s="1483"/>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1" t="s">
        <v>722</v>
      </c>
      <c r="AB958" s="1432"/>
      <c r="AC958" s="128"/>
      <c r="AD958" s="1439">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1606</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40"/>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40"/>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40"/>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40"/>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40"/>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93"/>
      <c r="AE964" s="1494"/>
      <c r="AF964" s="1494"/>
      <c r="AG964" s="1494"/>
      <c r="AH964" s="1494"/>
      <c r="AI964" s="1494"/>
      <c r="AJ964" s="1494"/>
      <c r="AK964" s="149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1" t="s">
        <v>722</v>
      </c>
      <c r="AB965" s="1432"/>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4"/>
      <c r="AE968" s="1494"/>
      <c r="AF968" s="1494"/>
      <c r="AG968" s="1494"/>
      <c r="AH968" s="1494"/>
      <c r="AI968" s="1494"/>
      <c r="AJ968" s="1494"/>
      <c r="AK968" s="1495"/>
      <c r="AL968" s="105"/>
      <c r="AO968" s="61"/>
      <c r="AP968" s="61"/>
      <c r="AQ968" s="61"/>
      <c r="AR968" s="61"/>
      <c r="AS968" s="61"/>
    </row>
    <row r="969" spans="1:96" ht="12.75" customHeight="1">
      <c r="A969" s="51"/>
      <c r="B969" s="120"/>
      <c r="C969" s="121" t="s">
        <v>227</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7" t="s">
        <v>722</v>
      </c>
      <c r="AB969" s="1498"/>
      <c r="AC969" s="51"/>
      <c r="AD969" s="1439">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0"/>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1" t="s">
        <v>722</v>
      </c>
      <c r="AB971" s="1432"/>
      <c r="AC971" s="120"/>
      <c r="AD971" s="1439">
        <f>ROUND(IF(AA971="yes",AD953*0.02,0),0)</f>
        <v>0</v>
      </c>
      <c r="AE971" s="1187"/>
      <c r="AF971" s="1187"/>
      <c r="AG971" s="1187"/>
      <c r="AH971" s="1187"/>
      <c r="AI971" s="1187"/>
      <c r="AJ971" s="1187"/>
      <c r="AK971" s="1188"/>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0"/>
      <c r="AE972" s="1189"/>
      <c r="AF972" s="1189"/>
      <c r="AG972" s="1189"/>
      <c r="AH972" s="1189"/>
      <c r="AI972" s="1189"/>
      <c r="AJ972" s="1189"/>
      <c r="AK972" s="1190"/>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3"/>
      <c r="AE973" s="1494"/>
      <c r="AF973" s="1494"/>
      <c r="AG973" s="1494"/>
      <c r="AH973" s="1494"/>
      <c r="AI973" s="1494"/>
      <c r="AJ973" s="1494"/>
      <c r="AK973" s="1495"/>
      <c r="AL973" s="105"/>
    </row>
    <row r="974" spans="1:96" ht="12.75" customHeight="1">
      <c r="A974" s="51"/>
      <c r="B974" s="120"/>
      <c r="C974" s="121" t="s">
        <v>233</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1" t="s">
        <v>722</v>
      </c>
      <c r="AB974" s="1432"/>
      <c r="AC974" s="128"/>
      <c r="AD974" s="1439">
        <f>IF(AA974="yes",AD953*AN891,0)</f>
        <v>0</v>
      </c>
      <c r="AE974" s="1187"/>
      <c r="AF974" s="1187"/>
      <c r="AG974" s="1187"/>
      <c r="AH974" s="1187"/>
      <c r="AI974" s="1187"/>
      <c r="AJ974" s="1187"/>
      <c r="AK974" s="1188"/>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0"/>
      <c r="AE975" s="1189"/>
      <c r="AF975" s="1189"/>
      <c r="AG975" s="1189"/>
      <c r="AH975" s="1189"/>
      <c r="AI975" s="1189"/>
      <c r="AJ975" s="1189"/>
      <c r="AK975" s="1190"/>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0"/>
      <c r="AE976" s="1189"/>
      <c r="AF976" s="1189"/>
      <c r="AG976" s="1189"/>
      <c r="AH976" s="1189"/>
      <c r="AI976" s="1189"/>
      <c r="AJ976" s="1189"/>
      <c r="AK976" s="1190"/>
      <c r="AL976" s="105"/>
    </row>
    <row r="977" spans="1:38" ht="13.2">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3"/>
      <c r="AE977" s="1494"/>
      <c r="AF977" s="1494"/>
      <c r="AG977" s="1494"/>
      <c r="AH977" s="1494"/>
      <c r="AI977" s="1494"/>
      <c r="AJ977" s="1494"/>
      <c r="AK977" s="1495"/>
      <c r="AL977" s="105"/>
    </row>
    <row r="978" spans="1:38" ht="12.75" customHeight="1">
      <c r="A978" s="51"/>
      <c r="B978" s="120"/>
      <c r="C978" s="121" t="s">
        <v>238</v>
      </c>
      <c r="D978" s="1107" t="s">
        <v>1616</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7" t="s">
        <v>722</v>
      </c>
      <c r="AB978" s="1498"/>
      <c r="AC978" s="51"/>
      <c r="AD978" s="1531"/>
      <c r="AE978" s="1532"/>
      <c r="AF978" s="1532"/>
      <c r="AG978" s="1532"/>
      <c r="AH978" s="1532"/>
      <c r="AI978" s="1532"/>
      <c r="AJ978" s="1532"/>
      <c r="AK978" s="1533"/>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1">
        <f>IF(AA978="yes","Please Select Type and Enter Amount:",0)</f>
        <v>0</v>
      </c>
      <c r="AA979" s="1221"/>
      <c r="AB979" s="1221"/>
      <c r="AC979" s="1222"/>
      <c r="AD979" s="1534"/>
      <c r="AE979" s="1535"/>
      <c r="AF979" s="1535"/>
      <c r="AG979" s="1535"/>
      <c r="AH979" s="1535"/>
      <c r="AI979" s="1535"/>
      <c r="AJ979" s="1535"/>
      <c r="AK979" s="1536"/>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20"/>
      <c r="AA980" s="1221"/>
      <c r="AB980" s="1221"/>
      <c r="AC980" s="1222"/>
      <c r="AD980" s="1534"/>
      <c r="AE980" s="1535"/>
      <c r="AF980" s="1535"/>
      <c r="AG980" s="1535"/>
      <c r="AH980" s="1535"/>
      <c r="AI980" s="1535"/>
      <c r="AJ980" s="1535"/>
      <c r="AK980" s="1536"/>
      <c r="AL980" s="105"/>
    </row>
    <row r="981" spans="1:38" s="743" customFormat="1" ht="13.2">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20"/>
      <c r="AA981" s="1221"/>
      <c r="AB981" s="1221"/>
      <c r="AC981" s="1222"/>
      <c r="AD981" s="1534"/>
      <c r="AE981" s="1535"/>
      <c r="AF981" s="1535"/>
      <c r="AG981" s="1535"/>
      <c r="AH981" s="1535"/>
      <c r="AI981" s="1535"/>
      <c r="AJ981" s="1535"/>
      <c r="AK981" s="1536"/>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20"/>
      <c r="AA982" s="1221"/>
      <c r="AB982" s="1221"/>
      <c r="AC982" s="1222"/>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0" t="s">
        <v>641</v>
      </c>
      <c r="K983" s="1541"/>
      <c r="L983" s="1541"/>
      <c r="M983" s="1541"/>
      <c r="N983" s="1541"/>
      <c r="O983" s="1541"/>
      <c r="P983" s="1541"/>
      <c r="Q983" s="1542"/>
      <c r="R983" s="7"/>
      <c r="S983" s="7"/>
      <c r="T983" s="164"/>
      <c r="U983" s="7"/>
      <c r="V983" s="1525" t="str">
        <f>IF(AA978="yes",(AD953*0.15),"")</f>
        <v/>
      </c>
      <c r="W983" s="1525"/>
      <c r="X983" s="1525"/>
      <c r="Y983" s="1526"/>
      <c r="Z983" s="1223"/>
      <c r="AA983" s="1224"/>
      <c r="AB983" s="1224"/>
      <c r="AC983" s="1225"/>
      <c r="AD983" s="1537"/>
      <c r="AE983" s="1538"/>
      <c r="AF983" s="1538"/>
      <c r="AG983" s="1538"/>
      <c r="AH983" s="1538"/>
      <c r="AI983" s="1538"/>
      <c r="AJ983" s="1538"/>
      <c r="AK983" s="1539"/>
      <c r="AL983" s="105"/>
    </row>
    <row r="984" spans="1:38" ht="12.75" customHeight="1">
      <c r="A984" s="51"/>
      <c r="B984" s="120"/>
      <c r="C984" s="121" t="s">
        <v>244</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7" t="s">
        <v>722</v>
      </c>
      <c r="AB984" s="1498"/>
      <c r="AC984" s="51"/>
      <c r="AD984" s="1531"/>
      <c r="AE984" s="1532"/>
      <c r="AF984" s="1532"/>
      <c r="AG984" s="1532"/>
      <c r="AH984" s="1532"/>
      <c r="AI984" s="1532"/>
      <c r="AJ984" s="1532"/>
      <c r="AK984" s="1533"/>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9">
        <f>IF(AA984="yes","Please Enter Amount:",0)</f>
        <v>0</v>
      </c>
      <c r="AA985" s="1530"/>
      <c r="AB985" s="1530"/>
      <c r="AC985" s="1530"/>
      <c r="AD985" s="1534"/>
      <c r="AE985" s="1535"/>
      <c r="AF985" s="1535"/>
      <c r="AG985" s="1535"/>
      <c r="AH985" s="1535"/>
      <c r="AI985" s="1535"/>
      <c r="AJ985" s="1535"/>
      <c r="AK985" s="1536"/>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9"/>
      <c r="AA986" s="1530"/>
      <c r="AB986" s="1530"/>
      <c r="AC986" s="1530"/>
      <c r="AD986" s="1534"/>
      <c r="AE986" s="1535"/>
      <c r="AF986" s="1535"/>
      <c r="AG986" s="1535"/>
      <c r="AH986" s="1535"/>
      <c r="AI986" s="1535"/>
      <c r="AJ986" s="1535"/>
      <c r="AK986" s="1536"/>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9"/>
      <c r="AA987" s="1530"/>
      <c r="AB987" s="1530"/>
      <c r="AC987" s="1530"/>
      <c r="AD987" s="1537"/>
      <c r="AE987" s="1538"/>
      <c r="AF987" s="1538"/>
      <c r="AG987" s="1538"/>
      <c r="AH987" s="1538"/>
      <c r="AI987" s="1538"/>
      <c r="AJ987" s="1538"/>
      <c r="AK987" s="1539"/>
      <c r="AL987" s="105"/>
    </row>
    <row r="988" spans="1:38" ht="12.75" customHeight="1">
      <c r="A988" s="51"/>
      <c r="B988" s="120"/>
      <c r="C988" s="121" t="s">
        <v>249</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1" t="s">
        <v>591</v>
      </c>
      <c r="AB988" s="1432"/>
      <c r="AC988" s="127"/>
      <c r="AD988" s="1439">
        <f>ROUND(IF(AA988="yes",(AD953*0.1),0),0)</f>
        <v>2555497</v>
      </c>
      <c r="AE988" s="1187"/>
      <c r="AF988" s="1187"/>
      <c r="AG988" s="1187"/>
      <c r="AH988" s="1187"/>
      <c r="AI988" s="1187"/>
      <c r="AJ988" s="1187"/>
      <c r="AK988" s="1188"/>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0"/>
      <c r="AE989" s="1189"/>
      <c r="AF989" s="1189"/>
      <c r="AG989" s="1189"/>
      <c r="AH989" s="1189"/>
      <c r="AI989" s="1189"/>
      <c r="AJ989" s="1189"/>
      <c r="AK989" s="1190"/>
      <c r="AL989" s="105"/>
    </row>
    <row r="990" spans="1:38" ht="13.2">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0"/>
      <c r="AE990" s="1189"/>
      <c r="AF990" s="1189"/>
      <c r="AG990" s="1189"/>
      <c r="AH990" s="1189"/>
      <c r="AI990" s="1189"/>
      <c r="AJ990" s="1189"/>
      <c r="AK990" s="1190"/>
      <c r="AL990" s="105"/>
    </row>
    <row r="991" spans="1:38" ht="12.75" customHeight="1">
      <c r="A991" s="51"/>
      <c r="B991" s="120"/>
      <c r="C991" s="555" t="s">
        <v>741</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1" t="s">
        <v>722</v>
      </c>
      <c r="AB991" s="1432"/>
      <c r="AC991" s="127"/>
      <c r="AD991" s="1439">
        <f>ROUND(IF(AA991="yes",(AD953*0.1),0),0)</f>
        <v>0</v>
      </c>
      <c r="AE991" s="1187"/>
      <c r="AF991" s="1187"/>
      <c r="AG991" s="1187"/>
      <c r="AH991" s="1187"/>
      <c r="AI991" s="1187"/>
      <c r="AJ991" s="1187"/>
      <c r="AK991" s="1188"/>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0"/>
      <c r="AE992" s="1189"/>
      <c r="AF992" s="1189"/>
      <c r="AG992" s="1189"/>
      <c r="AH992" s="1189"/>
      <c r="AI992" s="1189"/>
      <c r="AJ992" s="1189"/>
      <c r="AK992" s="1190"/>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3" t="str">
        <f>IF(X999&gt;0,"Yes","No")</f>
        <v>Yes</v>
      </c>
      <c r="AB996" s="1234"/>
      <c r="AC996" s="128"/>
      <c r="AD996" s="1235">
        <f>IF((X999=0),"",AO906*AD953)</f>
        <v>11244188.560000001</v>
      </c>
      <c r="AE996" s="1236"/>
      <c r="AF996" s="1236"/>
      <c r="AG996" s="1236"/>
      <c r="AH996" s="1236"/>
      <c r="AI996" s="1236"/>
      <c r="AJ996" s="1236"/>
      <c r="AK996" s="1237"/>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27">
        <f>AM905</f>
        <v>58</v>
      </c>
      <c r="J999" s="1528"/>
      <c r="K999" s="51"/>
      <c r="L999" s="104"/>
      <c r="M999" s="208"/>
      <c r="N999" s="208"/>
      <c r="O999" s="208"/>
      <c r="P999" s="208"/>
      <c r="Q999" s="208"/>
      <c r="R999" s="208"/>
      <c r="S999" s="208"/>
      <c r="T999" s="208"/>
      <c r="U999" s="208"/>
      <c r="V999" s="104"/>
      <c r="W999" s="209" t="s">
        <v>1082</v>
      </c>
      <c r="X999" s="1426">
        <f>AT614</f>
        <v>26</v>
      </c>
      <c r="Y999" s="1427"/>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1155</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3" t="str">
        <f>IF(X1003&gt;0,"Yes","No")</f>
        <v>Yes</v>
      </c>
      <c r="AB1000" s="1234"/>
      <c r="AC1000" s="124"/>
      <c r="AD1000" s="1235">
        <f>IF((X1003=0)," ",(2*AO907)*AD953)</f>
        <v>28110471.400000002</v>
      </c>
      <c r="AE1000" s="1236"/>
      <c r="AF1000" s="1236"/>
      <c r="AG1000" s="1236"/>
      <c r="AH1000" s="1236"/>
      <c r="AI1000" s="1236"/>
      <c r="AJ1000" s="1236"/>
      <c r="AK1000" s="1237"/>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27">
        <f>AM905</f>
        <v>58</v>
      </c>
      <c r="J1003" s="1528"/>
      <c r="K1003" s="51"/>
      <c r="L1003" s="208"/>
      <c r="M1003" s="208"/>
      <c r="N1003" s="208"/>
      <c r="O1003" s="208"/>
      <c r="P1003" s="208"/>
      <c r="Q1003" s="208"/>
      <c r="R1003" s="208"/>
      <c r="S1003" s="208"/>
      <c r="T1003" s="208"/>
      <c r="U1003" s="208"/>
      <c r="V1003" s="208"/>
      <c r="W1003" s="209" t="s">
        <v>1083</v>
      </c>
      <c r="X1003" s="1426">
        <f>AX614</f>
        <v>32</v>
      </c>
      <c r="Y1003" s="1427"/>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7" t="s">
        <v>559</v>
      </c>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8"/>
      <c r="AD1004" s="1436">
        <f>SUM(AD953:AK1003)</f>
        <v>67465130.960000008</v>
      </c>
      <c r="AE1004" s="1437"/>
      <c r="AF1004" s="1437"/>
      <c r="AG1004" s="1437"/>
      <c r="AH1004" s="1437"/>
      <c r="AI1004" s="1437"/>
      <c r="AJ1004" s="1437"/>
      <c r="AK1004" s="143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9"/>
      <c r="Y1007" s="1569"/>
      <c r="Z1007" s="1569"/>
      <c r="AA1007" s="1569"/>
      <c r="AB1007" s="1569"/>
      <c r="AC1007" s="156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0"/>
      <c r="Y1008" s="1570"/>
      <c r="Z1008" s="1570"/>
      <c r="AA1008" s="1570"/>
      <c r="AB1008" s="1570"/>
      <c r="AC1008" s="1570"/>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7" t="s">
        <v>875</v>
      </c>
      <c r="B1015" s="1547"/>
      <c r="C1015" s="1547"/>
      <c r="D1015" s="1547"/>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7"/>
      <c r="AF1015" s="1547"/>
      <c r="AG1015" s="1547"/>
      <c r="AH1015" s="1547"/>
      <c r="AI1015" s="1547"/>
      <c r="AJ1015" s="1547"/>
      <c r="AK1015" s="1547"/>
      <c r="AL1015" s="154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641</v>
      </c>
      <c r="B1019" s="1114"/>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641</v>
      </c>
      <c r="B1025" s="1114"/>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641</v>
      </c>
      <c r="B1031" s="1114"/>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641</v>
      </c>
      <c r="B1038" s="1114"/>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641</v>
      </c>
      <c r="B1041" s="1114"/>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641</v>
      </c>
      <c r="B1046" s="1114"/>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641</v>
      </c>
      <c r="B1049" s="1114"/>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641</v>
      </c>
      <c r="B1053" s="1114"/>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641</v>
      </c>
      <c r="B1057" s="1114"/>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1"/>
    <hyperlink ref="D164" r:id="rId2" display="http://www.treasurer.ca.gov/ctcac/2019/lra/contact.pdf"/>
    <hyperlink ref="D164:AH164" r:id="rId3" display="http://www.treasurer.ca.gov/ctcac/2018/lra/contact.pdf"/>
  </hyperlinks>
  <printOptions horizontalCentered="1"/>
  <pageMargins left="0.5" right="0.5" top="1" bottom="1" header="0.5" footer="0.5"/>
  <pageSetup scale="98" fitToHeight="26" orientation="portrait" useFirstPageNumber="1"/>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4"/>
  <legacyDrawing r:id="rId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125" zoomScaleNormal="125" zoomScaleSheetLayoutView="100" zoomScalePageLayoutView="125" workbookViewId="0">
      <pane xSplit="7392" activePane="topRight"/>
      <selection activeCell="A52" sqref="A52"/>
      <selection pane="topRight" activeCell="S53" sqref="S53"/>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595</v>
      </c>
      <c r="B1" s="197"/>
      <c r="C1" s="197"/>
      <c r="D1" s="197"/>
      <c r="E1" s="198"/>
      <c r="F1" s="1601" t="s">
        <v>671</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1)MOHCD PASS Loan - Market Rate Tranche</v>
      </c>
      <c r="G2" s="217" t="str">
        <f>Application!B619&amp;Application!C619</f>
        <v>2)MOHCD PASS Loan - Below Market Rate Tranche</v>
      </c>
      <c r="H2" s="217" t="str">
        <f>Application!B620&amp;Application!C620</f>
        <v>3)MOHCD PASS Loan - Deferred Payment Tranche</v>
      </c>
      <c r="I2" s="217" t="str">
        <f>Application!B621&amp;Application!C621</f>
        <v>4)SF MOHCD Predev/Perm Loan</v>
      </c>
      <c r="J2" s="217" t="str">
        <f>Application!B622&amp;Application!C622</f>
        <v>5)Seller Carryback Loan</v>
      </c>
      <c r="K2" s="217" t="str">
        <f>Application!B623&amp;Application!C623</f>
        <v>6)SF MOHCD CDBG Loan</v>
      </c>
      <c r="L2" s="217" t="str">
        <f>Application!B624&amp;Application!C624</f>
        <v>7)Income from Operations/Accrued Interest on Soft Loans</v>
      </c>
      <c r="M2" s="217" t="str">
        <f>Application!B625&amp;Application!C625</f>
        <v>8)HCD LPR CHRP Loan</v>
      </c>
      <c r="N2" s="217" t="str">
        <f>Application!B626&amp;Application!C626</f>
        <v>9)Deferred Developer Fees/GP Capital/GP Capital (Reserves)</v>
      </c>
      <c r="O2" s="217" t="str">
        <f>Application!B627&amp;Application!C627</f>
        <v>10)HCD MHP-SH Loan</v>
      </c>
      <c r="P2" s="217" t="str">
        <f>Application!B628&amp;Application!C628</f>
        <v>11)Sponsor Seller Carryback Loan</v>
      </c>
      <c r="Q2" s="217" t="str">
        <f>Application!B629&amp;Application!C629</f>
        <v>12)FHLB AHP</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510000</v>
      </c>
      <c r="C4" s="225">
        <v>459000</v>
      </c>
      <c r="D4" s="225">
        <v>51000</v>
      </c>
      <c r="E4" s="225"/>
      <c r="F4" s="225"/>
      <c r="G4" s="225"/>
      <c r="H4" s="225"/>
      <c r="I4" s="225"/>
      <c r="J4" s="225">
        <f>B4</f>
        <v>510000</v>
      </c>
      <c r="K4" s="225"/>
      <c r="L4" s="225"/>
      <c r="M4" s="225"/>
      <c r="N4" s="225"/>
      <c r="O4" s="225"/>
      <c r="P4" s="225"/>
      <c r="Q4" s="225"/>
      <c r="R4" s="916">
        <f>SUM(E4:Q4)</f>
        <v>510000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643</v>
      </c>
      <c r="B8" s="224">
        <f>SUM(C8:D8)</f>
        <v>510000</v>
      </c>
      <c r="C8" s="224">
        <f t="shared" ref="C8:Q8" si="0">SUM(C4:C7)</f>
        <v>459000</v>
      </c>
      <c r="D8" s="224">
        <f t="shared" si="0"/>
        <v>51000</v>
      </c>
      <c r="E8" s="224">
        <f t="shared" si="0"/>
        <v>0</v>
      </c>
      <c r="F8" s="224">
        <f t="shared" si="0"/>
        <v>0</v>
      </c>
      <c r="G8" s="224">
        <f t="shared" si="0"/>
        <v>0</v>
      </c>
      <c r="H8" s="224">
        <f t="shared" si="0"/>
        <v>0</v>
      </c>
      <c r="I8" s="224">
        <f t="shared" si="0"/>
        <v>0</v>
      </c>
      <c r="J8" s="224">
        <f t="shared" si="0"/>
        <v>510000</v>
      </c>
      <c r="K8" s="224">
        <f t="shared" si="0"/>
        <v>0</v>
      </c>
      <c r="L8" s="224">
        <f t="shared" si="0"/>
        <v>0</v>
      </c>
      <c r="M8" s="224">
        <f t="shared" si="0"/>
        <v>0</v>
      </c>
      <c r="N8" s="224">
        <f t="shared" si="0"/>
        <v>0</v>
      </c>
      <c r="O8" s="224">
        <f t="shared" si="0"/>
        <v>0</v>
      </c>
      <c r="P8" s="224"/>
      <c r="Q8" s="224">
        <f t="shared" si="0"/>
        <v>0</v>
      </c>
      <c r="R8" s="558">
        <f>SUM(R4:R7)</f>
        <v>510000</v>
      </c>
      <c r="S8" s="226"/>
      <c r="T8" s="226"/>
      <c r="U8" s="221"/>
    </row>
    <row r="9" spans="1:21" s="222" customFormat="1">
      <c r="A9" s="223" t="s">
        <v>644</v>
      </c>
      <c r="B9" s="224">
        <f>SUM(C9+D9)</f>
        <v>19490000</v>
      </c>
      <c r="C9" s="225">
        <v>16141000</v>
      </c>
      <c r="D9" s="225">
        <v>3349000</v>
      </c>
      <c r="E9" s="225">
        <f>B9-SUM(F9:Q9)</f>
        <v>266118</v>
      </c>
      <c r="F9" s="225"/>
      <c r="G9" s="225"/>
      <c r="H9" s="225"/>
      <c r="I9" s="225"/>
      <c r="J9" s="225">
        <f>Application!AG622-J4</f>
        <v>12060375</v>
      </c>
      <c r="K9" s="225">
        <f>Application!AG623</f>
        <v>2116506</v>
      </c>
      <c r="L9" s="225"/>
      <c r="M9" s="225">
        <f>Application!AG625</f>
        <v>3047001</v>
      </c>
      <c r="N9" s="225"/>
      <c r="O9" s="225"/>
      <c r="P9" s="225">
        <v>2000000</v>
      </c>
      <c r="Q9" s="225"/>
      <c r="R9" s="916">
        <f>SUM(E9:Q9)</f>
        <v>19490000</v>
      </c>
      <c r="S9" s="226"/>
      <c r="T9" s="225">
        <f>C9</f>
        <v>16141000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646</v>
      </c>
      <c r="B11" s="224">
        <f>SUM(C11:D11)</f>
        <v>19490000</v>
      </c>
      <c r="C11" s="224">
        <f t="shared" ref="C11:Q11" si="1">SUM(C9:C10)</f>
        <v>16141000</v>
      </c>
      <c r="D11" s="224">
        <f t="shared" si="1"/>
        <v>3349000</v>
      </c>
      <c r="E11" s="224">
        <f t="shared" si="1"/>
        <v>266118</v>
      </c>
      <c r="F11" s="224">
        <f t="shared" si="1"/>
        <v>0</v>
      </c>
      <c r="G11" s="224">
        <f t="shared" si="1"/>
        <v>0</v>
      </c>
      <c r="H11" s="224">
        <f t="shared" si="1"/>
        <v>0</v>
      </c>
      <c r="I11" s="224">
        <f t="shared" si="1"/>
        <v>0</v>
      </c>
      <c r="J11" s="224">
        <f t="shared" si="1"/>
        <v>12060375</v>
      </c>
      <c r="K11" s="224">
        <f t="shared" si="1"/>
        <v>2116506</v>
      </c>
      <c r="L11" s="224">
        <f t="shared" si="1"/>
        <v>0</v>
      </c>
      <c r="M11" s="224">
        <f t="shared" si="1"/>
        <v>3047001</v>
      </c>
      <c r="N11" s="224">
        <f t="shared" si="1"/>
        <v>0</v>
      </c>
      <c r="O11" s="224">
        <f t="shared" si="1"/>
        <v>0</v>
      </c>
      <c r="P11" s="224"/>
      <c r="Q11" s="224">
        <f t="shared" si="1"/>
        <v>0</v>
      </c>
      <c r="R11" s="558">
        <f>SUM(R9:R10)</f>
        <v>19490000</v>
      </c>
      <c r="S11" s="226"/>
      <c r="T11" s="228">
        <f>SUM(T9:T10)</f>
        <v>16141000</v>
      </c>
      <c r="U11" s="221"/>
    </row>
    <row r="12" spans="1:21" s="222" customFormat="1" ht="12">
      <c r="A12" s="227" t="s">
        <v>91</v>
      </c>
      <c r="B12" s="224">
        <f t="shared" ref="B12:Q12" si="2">SUM(B8+B11)</f>
        <v>20000000</v>
      </c>
      <c r="C12" s="224">
        <f t="shared" si="2"/>
        <v>16600000</v>
      </c>
      <c r="D12" s="224">
        <f t="shared" si="2"/>
        <v>3400000</v>
      </c>
      <c r="E12" s="224">
        <f t="shared" si="2"/>
        <v>266118</v>
      </c>
      <c r="F12" s="224">
        <f t="shared" si="2"/>
        <v>0</v>
      </c>
      <c r="G12" s="224">
        <f t="shared" si="2"/>
        <v>0</v>
      </c>
      <c r="H12" s="224">
        <f t="shared" si="2"/>
        <v>0</v>
      </c>
      <c r="I12" s="224">
        <f t="shared" si="2"/>
        <v>0</v>
      </c>
      <c r="J12" s="224">
        <f t="shared" si="2"/>
        <v>12570375</v>
      </c>
      <c r="K12" s="224">
        <f t="shared" si="2"/>
        <v>2116506</v>
      </c>
      <c r="L12" s="224">
        <f t="shared" si="2"/>
        <v>0</v>
      </c>
      <c r="M12" s="224">
        <f t="shared" si="2"/>
        <v>3047001</v>
      </c>
      <c r="N12" s="224">
        <f t="shared" si="2"/>
        <v>0</v>
      </c>
      <c r="O12" s="224">
        <f t="shared" si="2"/>
        <v>0</v>
      </c>
      <c r="P12" s="224"/>
      <c r="Q12" s="224">
        <f t="shared" si="2"/>
        <v>0</v>
      </c>
      <c r="R12" s="558">
        <f>SUM(R8+R11)</f>
        <v>20000000</v>
      </c>
      <c r="S12" s="226"/>
      <c r="T12" s="226"/>
      <c r="U12" s="221"/>
    </row>
    <row r="13" spans="1:21" s="222" customFormat="1">
      <c r="A13" s="466" t="s">
        <v>1000</v>
      </c>
      <c r="B13" s="224">
        <f>SUM(C13+D13)</f>
        <v>635594</v>
      </c>
      <c r="C13" s="225">
        <f>589014+46580</f>
        <v>635594</v>
      </c>
      <c r="D13" s="225"/>
      <c r="E13" s="225">
        <f t="shared" ref="E13:E15" si="3">B13-SUM(F13:Q13)</f>
        <v>635594</v>
      </c>
      <c r="F13" s="225"/>
      <c r="G13" s="225"/>
      <c r="H13" s="225"/>
      <c r="I13" s="225"/>
      <c r="J13" s="225"/>
      <c r="K13" s="225"/>
      <c r="L13" s="225"/>
      <c r="M13" s="225"/>
      <c r="N13" s="225"/>
      <c r="O13" s="225"/>
      <c r="P13" s="225"/>
      <c r="Q13" s="225"/>
      <c r="R13" s="916">
        <f>SUM(E13:Q13)</f>
        <v>635594</v>
      </c>
      <c r="S13" s="225"/>
      <c r="T13" s="225"/>
      <c r="U13" s="221"/>
    </row>
    <row r="14" spans="1:21" s="222" customFormat="1" ht="22.8">
      <c r="A14" s="467" t="s">
        <v>1001</v>
      </c>
      <c r="B14" s="224">
        <f>SUM(C14+D14)</f>
        <v>0</v>
      </c>
      <c r="C14" s="225"/>
      <c r="D14" s="225"/>
      <c r="E14" s="225">
        <f t="shared" si="3"/>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3"/>
        <v>0</v>
      </c>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4">SUM(C17+D17)</f>
        <v>0</v>
      </c>
      <c r="C17" s="225"/>
      <c r="D17" s="225"/>
      <c r="E17" s="225">
        <f t="shared" ref="E17:E24" si="5">B17-SUM(F17:Q17)</f>
        <v>0</v>
      </c>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4"/>
        <v>13544002</v>
      </c>
      <c r="C18" s="225">
        <v>13544002</v>
      </c>
      <c r="D18" s="225"/>
      <c r="E18" s="225">
        <f t="shared" si="5"/>
        <v>0</v>
      </c>
      <c r="F18" s="225">
        <f>Application!AG618</f>
        <v>3866667</v>
      </c>
      <c r="G18" s="225">
        <f>Application!AG619</f>
        <v>2133333</v>
      </c>
      <c r="H18" s="225">
        <f>Application!AG620</f>
        <v>350000</v>
      </c>
      <c r="I18" s="225">
        <f>Application!AG621</f>
        <v>450000</v>
      </c>
      <c r="J18" s="225"/>
      <c r="K18" s="225"/>
      <c r="L18" s="225">
        <v>589000</v>
      </c>
      <c r="M18" s="225"/>
      <c r="N18" s="225"/>
      <c r="O18" s="225">
        <f>MIN(Application!AG627,B18-SUM(F18:N18)-SUM(P18:Q18))</f>
        <v>5405002</v>
      </c>
      <c r="P18" s="225"/>
      <c r="Q18" s="225">
        <f>Application!AG629</f>
        <v>750000</v>
      </c>
      <c r="R18" s="916">
        <f>SUM(E18:Q18)</f>
        <v>13544002</v>
      </c>
      <c r="S18" s="225">
        <f>C18</f>
        <v>13544002</v>
      </c>
      <c r="T18" s="225"/>
      <c r="U18" s="221"/>
    </row>
    <row r="19" spans="1:21" s="222" customFormat="1">
      <c r="A19" s="223" t="s">
        <v>650</v>
      </c>
      <c r="B19" s="224">
        <f t="shared" si="4"/>
        <v>999329</v>
      </c>
      <c r="C19" s="225">
        <v>999329</v>
      </c>
      <c r="D19" s="225"/>
      <c r="E19" s="225">
        <f t="shared" si="5"/>
        <v>0</v>
      </c>
      <c r="F19" s="225"/>
      <c r="G19" s="225"/>
      <c r="H19" s="225"/>
      <c r="I19" s="225"/>
      <c r="J19" s="225"/>
      <c r="K19" s="225"/>
      <c r="L19" s="225"/>
      <c r="M19" s="225"/>
      <c r="N19" s="225"/>
      <c r="O19" s="225">
        <f>C19</f>
        <v>999329</v>
      </c>
      <c r="P19" s="225"/>
      <c r="Q19" s="225"/>
      <c r="R19" s="916">
        <f>SUM(E19:Q19)</f>
        <v>999329</v>
      </c>
      <c r="S19" s="225">
        <f>C19</f>
        <v>999329</v>
      </c>
      <c r="T19" s="225"/>
      <c r="U19" s="221"/>
    </row>
    <row r="20" spans="1:21" s="222" customFormat="1">
      <c r="A20" s="223" t="s">
        <v>144</v>
      </c>
      <c r="B20" s="224">
        <f t="shared" si="4"/>
        <v>880856</v>
      </c>
      <c r="C20" s="225">
        <v>880856</v>
      </c>
      <c r="D20" s="225"/>
      <c r="E20" s="225">
        <f t="shared" si="5"/>
        <v>0</v>
      </c>
      <c r="F20" s="225"/>
      <c r="G20" s="225"/>
      <c r="H20" s="225"/>
      <c r="I20" s="225"/>
      <c r="J20" s="225"/>
      <c r="K20" s="225"/>
      <c r="L20" s="225"/>
      <c r="M20" s="225"/>
      <c r="N20" s="225"/>
      <c r="O20" s="225">
        <f>C20</f>
        <v>880856</v>
      </c>
      <c r="P20" s="225"/>
      <c r="Q20" s="225"/>
      <c r="R20" s="916">
        <f t="shared" ref="R20:R26" si="6">SUM(E20:Q20)</f>
        <v>880856</v>
      </c>
      <c r="S20" s="225">
        <f t="shared" ref="S20:S24" si="7">C20</f>
        <v>880856</v>
      </c>
      <c r="T20" s="225"/>
      <c r="U20" s="221"/>
    </row>
    <row r="21" spans="1:21" s="222" customFormat="1">
      <c r="A21" s="223" t="s">
        <v>145</v>
      </c>
      <c r="B21" s="224">
        <f t="shared" si="4"/>
        <v>0</v>
      </c>
      <c r="C21" s="225"/>
      <c r="D21" s="225"/>
      <c r="E21" s="225">
        <f t="shared" si="5"/>
        <v>0</v>
      </c>
      <c r="F21" s="225"/>
      <c r="G21" s="225"/>
      <c r="H21" s="225"/>
      <c r="I21" s="225"/>
      <c r="J21" s="225"/>
      <c r="K21" s="225"/>
      <c r="L21" s="225"/>
      <c r="M21" s="225"/>
      <c r="N21" s="225"/>
      <c r="O21" s="225"/>
      <c r="P21" s="225"/>
      <c r="Q21" s="225"/>
      <c r="R21" s="916">
        <f t="shared" si="6"/>
        <v>0</v>
      </c>
      <c r="S21" s="225">
        <f t="shared" si="7"/>
        <v>0</v>
      </c>
      <c r="T21" s="225"/>
      <c r="U21" s="221"/>
    </row>
    <row r="22" spans="1:21" s="222" customFormat="1">
      <c r="A22" s="223" t="s">
        <v>146</v>
      </c>
      <c r="B22" s="224">
        <f t="shared" si="4"/>
        <v>0</v>
      </c>
      <c r="C22" s="225"/>
      <c r="D22" s="225"/>
      <c r="E22" s="225">
        <f t="shared" si="5"/>
        <v>0</v>
      </c>
      <c r="F22" s="225"/>
      <c r="G22" s="225"/>
      <c r="H22" s="225"/>
      <c r="I22" s="225"/>
      <c r="J22" s="225"/>
      <c r="K22" s="225"/>
      <c r="L22" s="225"/>
      <c r="M22" s="225"/>
      <c r="N22" s="225"/>
      <c r="O22" s="225"/>
      <c r="P22" s="225"/>
      <c r="Q22" s="225"/>
      <c r="R22" s="916">
        <f t="shared" si="6"/>
        <v>0</v>
      </c>
      <c r="S22" s="225">
        <f t="shared" si="7"/>
        <v>0</v>
      </c>
      <c r="T22" s="225"/>
      <c r="U22" s="221"/>
    </row>
    <row r="23" spans="1:21" s="222" customFormat="1">
      <c r="A23" s="223" t="s">
        <v>147</v>
      </c>
      <c r="B23" s="224">
        <f t="shared" si="4"/>
        <v>332009</v>
      </c>
      <c r="C23" s="225">
        <v>332009</v>
      </c>
      <c r="D23" s="225"/>
      <c r="E23" s="225">
        <f t="shared" si="5"/>
        <v>0</v>
      </c>
      <c r="F23" s="225"/>
      <c r="G23" s="225"/>
      <c r="H23" s="225"/>
      <c r="I23" s="225"/>
      <c r="J23" s="225"/>
      <c r="K23" s="225"/>
      <c r="L23" s="225"/>
      <c r="M23" s="225"/>
      <c r="N23" s="225"/>
      <c r="O23" s="225">
        <f>C23</f>
        <v>332009</v>
      </c>
      <c r="P23" s="225"/>
      <c r="Q23" s="225"/>
      <c r="R23" s="916">
        <f t="shared" si="6"/>
        <v>332009</v>
      </c>
      <c r="S23" s="225">
        <f t="shared" si="7"/>
        <v>332009</v>
      </c>
      <c r="T23" s="225"/>
      <c r="U23" s="221"/>
    </row>
    <row r="24" spans="1:21" s="222" customFormat="1">
      <c r="A24" s="955" t="s">
        <v>1756</v>
      </c>
      <c r="B24" s="224">
        <f t="shared" si="4"/>
        <v>50000</v>
      </c>
      <c r="C24" s="225">
        <v>50000</v>
      </c>
      <c r="D24" s="225"/>
      <c r="E24" s="225">
        <f t="shared" si="5"/>
        <v>0</v>
      </c>
      <c r="F24" s="225"/>
      <c r="G24" s="225"/>
      <c r="H24" s="225"/>
      <c r="I24" s="225"/>
      <c r="J24" s="225"/>
      <c r="K24" s="225"/>
      <c r="L24" s="225"/>
      <c r="M24" s="225"/>
      <c r="N24" s="225"/>
      <c r="O24" s="225">
        <f>C24</f>
        <v>50000</v>
      </c>
      <c r="P24" s="225"/>
      <c r="Q24" s="225"/>
      <c r="R24" s="916">
        <f t="shared" si="6"/>
        <v>50000</v>
      </c>
      <c r="S24" s="225">
        <f t="shared" si="7"/>
        <v>50000</v>
      </c>
      <c r="T24" s="225"/>
      <c r="U24" s="221"/>
    </row>
    <row r="25" spans="1:21" s="222" customFormat="1" ht="12">
      <c r="A25" s="227" t="s">
        <v>140</v>
      </c>
      <c r="B25" s="224">
        <f t="shared" si="4"/>
        <v>15806196</v>
      </c>
      <c r="C25" s="224">
        <f>SUM(C17:C24)</f>
        <v>15806196</v>
      </c>
      <c r="D25" s="224">
        <f t="shared" ref="D25:Q25" si="8">SUM(D17:D24)</f>
        <v>0</v>
      </c>
      <c r="E25" s="224">
        <f t="shared" si="8"/>
        <v>0</v>
      </c>
      <c r="F25" s="224">
        <f t="shared" si="8"/>
        <v>3866667</v>
      </c>
      <c r="G25" s="224">
        <f t="shared" si="8"/>
        <v>2133333</v>
      </c>
      <c r="H25" s="224">
        <f t="shared" si="8"/>
        <v>350000</v>
      </c>
      <c r="I25" s="224">
        <f t="shared" si="8"/>
        <v>450000</v>
      </c>
      <c r="J25" s="224">
        <f t="shared" si="8"/>
        <v>0</v>
      </c>
      <c r="K25" s="224">
        <f t="shared" si="8"/>
        <v>0</v>
      </c>
      <c r="L25" s="224">
        <f t="shared" si="8"/>
        <v>589000</v>
      </c>
      <c r="M25" s="224">
        <f t="shared" si="8"/>
        <v>0</v>
      </c>
      <c r="N25" s="224">
        <f t="shared" si="8"/>
        <v>0</v>
      </c>
      <c r="O25" s="224">
        <f t="shared" si="8"/>
        <v>7667196</v>
      </c>
      <c r="P25" s="224">
        <f t="shared" si="8"/>
        <v>0</v>
      </c>
      <c r="Q25" s="224">
        <f t="shared" si="8"/>
        <v>750000</v>
      </c>
      <c r="R25" s="558">
        <f>SUM(R17:R24)</f>
        <v>15806196</v>
      </c>
      <c r="S25" s="228">
        <f>SUM(S17:S24)</f>
        <v>15806196</v>
      </c>
      <c r="T25" s="228">
        <f>SUM(T17:T24)</f>
        <v>0</v>
      </c>
      <c r="U25" s="221"/>
    </row>
    <row r="26" spans="1:21" s="222" customFormat="1" ht="12">
      <c r="A26" s="227" t="s">
        <v>148</v>
      </c>
      <c r="B26" s="224">
        <f>SUM(C26:D26)</f>
        <v>1385640</v>
      </c>
      <c r="C26" s="225">
        <v>1385640</v>
      </c>
      <c r="D26" s="225"/>
      <c r="E26" s="225">
        <f>B26-SUM(F26:Q26)</f>
        <v>908883</v>
      </c>
      <c r="F26" s="225"/>
      <c r="G26" s="225"/>
      <c r="H26" s="225"/>
      <c r="I26" s="225"/>
      <c r="J26" s="225"/>
      <c r="K26" s="225"/>
      <c r="L26" s="225"/>
      <c r="M26" s="225"/>
      <c r="N26" s="225"/>
      <c r="O26" s="225">
        <f>Application!AG627-'Sources and Uses Budget'!O25</f>
        <v>476757</v>
      </c>
      <c r="P26" s="225"/>
      <c r="Q26" s="225"/>
      <c r="R26" s="916">
        <f t="shared" si="6"/>
        <v>1385640</v>
      </c>
      <c r="S26" s="225">
        <f>C26</f>
        <v>1385640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649</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650</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ht="12">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1301176</v>
      </c>
      <c r="C38" s="225">
        <v>1301176</v>
      </c>
      <c r="D38" s="225"/>
      <c r="E38" s="225">
        <f t="shared" ref="E38:E39" si="12">B38-SUM(F38:Q38)</f>
        <v>1301176</v>
      </c>
      <c r="F38" s="225"/>
      <c r="G38" s="225"/>
      <c r="H38" s="225"/>
      <c r="I38" s="225"/>
      <c r="J38" s="225"/>
      <c r="K38" s="225"/>
      <c r="L38" s="225"/>
      <c r="M38" s="225"/>
      <c r="N38" s="225"/>
      <c r="O38" s="225"/>
      <c r="P38" s="225"/>
      <c r="Q38" s="225"/>
      <c r="R38" s="916">
        <f>SUM(E38:Q38)</f>
        <v>1301176</v>
      </c>
      <c r="S38" s="225">
        <f>C38</f>
        <v>1301176</v>
      </c>
      <c r="T38" s="225"/>
      <c r="U38" s="221"/>
    </row>
    <row r="39" spans="1:21" s="222" customFormat="1">
      <c r="A39" s="223" t="s">
        <v>153</v>
      </c>
      <c r="B39" s="224">
        <f>SUM(C39+D39)</f>
        <v>0</v>
      </c>
      <c r="C39" s="225"/>
      <c r="D39" s="225"/>
      <c r="E39" s="225">
        <f t="shared" si="12"/>
        <v>0</v>
      </c>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1301176</v>
      </c>
      <c r="C40" s="224">
        <f>SUM(C37:C39)</f>
        <v>1301176</v>
      </c>
      <c r="D40" s="224">
        <f>SUM(D37:D39)</f>
        <v>0</v>
      </c>
      <c r="E40" s="224">
        <f t="shared" ref="E40:T40" si="13">SUM(E38:E39)</f>
        <v>1301176</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1301176</v>
      </c>
      <c r="S40" s="228">
        <f t="shared" si="13"/>
        <v>1301176</v>
      </c>
      <c r="T40" s="228">
        <f t="shared" si="13"/>
        <v>0</v>
      </c>
      <c r="U40" s="221"/>
    </row>
    <row r="41" spans="1:21" s="222" customFormat="1" ht="12">
      <c r="A41" s="227" t="s">
        <v>155</v>
      </c>
      <c r="B41" s="224">
        <f>SUM(C41:D41)</f>
        <v>120954</v>
      </c>
      <c r="C41" s="225">
        <v>120954</v>
      </c>
      <c r="D41" s="225"/>
      <c r="E41" s="225">
        <f>B41-SUM(F41:Q41)</f>
        <v>120954</v>
      </c>
      <c r="F41" s="225"/>
      <c r="G41" s="225"/>
      <c r="H41" s="225"/>
      <c r="I41" s="225"/>
      <c r="J41" s="225"/>
      <c r="K41" s="225"/>
      <c r="L41" s="225"/>
      <c r="M41" s="225"/>
      <c r="N41" s="225"/>
      <c r="O41" s="225"/>
      <c r="P41" s="225"/>
      <c r="Q41" s="225"/>
      <c r="R41" s="916">
        <f>SUM(E41:Q41)</f>
        <v>120954</v>
      </c>
      <c r="S41" s="225">
        <f>C41</f>
        <v>120954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4">SUM(C43+D43)</f>
        <v>1439763</v>
      </c>
      <c r="C43" s="225">
        <v>1439763</v>
      </c>
      <c r="D43" s="225"/>
      <c r="E43" s="225">
        <f t="shared" ref="E43:E52" si="15">B43-SUM(F43:Q43)</f>
        <v>1439763</v>
      </c>
      <c r="F43" s="225"/>
      <c r="G43" s="225"/>
      <c r="H43" s="225"/>
      <c r="I43" s="225"/>
      <c r="J43" s="225"/>
      <c r="K43" s="225"/>
      <c r="L43" s="225"/>
      <c r="M43" s="225"/>
      <c r="N43" s="225"/>
      <c r="O43" s="225"/>
      <c r="P43" s="225"/>
      <c r="Q43" s="225"/>
      <c r="R43" s="916">
        <f t="shared" ref="R43:R52" si="16">SUM(E43:Q43)</f>
        <v>1439763</v>
      </c>
      <c r="S43" s="225">
        <v>775895</v>
      </c>
      <c r="T43" s="225"/>
      <c r="U43" s="221"/>
    </row>
    <row r="44" spans="1:21" s="222" customFormat="1">
      <c r="A44" s="223" t="s">
        <v>158</v>
      </c>
      <c r="B44" s="224">
        <f t="shared" si="14"/>
        <v>333638</v>
      </c>
      <c r="C44" s="225">
        <f>288638+45000</f>
        <v>333638</v>
      </c>
      <c r="D44" s="225"/>
      <c r="E44" s="225">
        <f t="shared" si="15"/>
        <v>333638</v>
      </c>
      <c r="F44" s="225"/>
      <c r="G44" s="225"/>
      <c r="H44" s="225"/>
      <c r="I44" s="225"/>
      <c r="J44" s="225"/>
      <c r="K44" s="225"/>
      <c r="L44" s="225"/>
      <c r="M44" s="225"/>
      <c r="N44" s="225"/>
      <c r="O44" s="225"/>
      <c r="P44" s="225"/>
      <c r="Q44" s="225"/>
      <c r="R44" s="916">
        <f t="shared" si="16"/>
        <v>333638</v>
      </c>
      <c r="S44" s="225">
        <f>155548+24251</f>
        <v>179799</v>
      </c>
      <c r="T44" s="225"/>
      <c r="U44" s="221"/>
    </row>
    <row r="45" spans="1:21" s="222" customFormat="1">
      <c r="A45" s="307" t="s">
        <v>159</v>
      </c>
      <c r="B45" s="224">
        <f t="shared" si="14"/>
        <v>0</v>
      </c>
      <c r="C45" s="225"/>
      <c r="D45" s="225"/>
      <c r="E45" s="225">
        <f t="shared" si="15"/>
        <v>0</v>
      </c>
      <c r="F45" s="225"/>
      <c r="G45" s="225"/>
      <c r="H45" s="225"/>
      <c r="I45" s="225"/>
      <c r="J45" s="225"/>
      <c r="K45" s="225"/>
      <c r="L45" s="225"/>
      <c r="M45" s="225"/>
      <c r="N45" s="225"/>
      <c r="O45" s="225"/>
      <c r="P45" s="225"/>
      <c r="Q45" s="225"/>
      <c r="R45" s="916">
        <f t="shared" si="16"/>
        <v>0</v>
      </c>
      <c r="S45" s="225"/>
      <c r="T45" s="225"/>
      <c r="U45" s="221"/>
    </row>
    <row r="46" spans="1:21" s="222" customFormat="1">
      <c r="A46" s="223" t="s">
        <v>160</v>
      </c>
      <c r="B46" s="224">
        <f t="shared" si="14"/>
        <v>235275</v>
      </c>
      <c r="C46" s="225">
        <v>235275</v>
      </c>
      <c r="D46" s="225"/>
      <c r="E46" s="225">
        <f t="shared" si="15"/>
        <v>235275</v>
      </c>
      <c r="F46" s="225"/>
      <c r="G46" s="225"/>
      <c r="H46" s="225"/>
      <c r="I46" s="225"/>
      <c r="J46" s="225"/>
      <c r="K46" s="225"/>
      <c r="L46" s="225"/>
      <c r="M46" s="225"/>
      <c r="N46" s="225"/>
      <c r="O46" s="225"/>
      <c r="P46" s="225"/>
      <c r="Q46" s="225"/>
      <c r="R46" s="916">
        <f t="shared" si="16"/>
        <v>235275</v>
      </c>
      <c r="S46" s="225">
        <f>C46</f>
        <v>235275</v>
      </c>
      <c r="T46" s="225"/>
      <c r="U46" s="221"/>
    </row>
    <row r="47" spans="1:21" s="222" customFormat="1">
      <c r="A47" s="223" t="s">
        <v>62</v>
      </c>
      <c r="B47" s="224">
        <f t="shared" si="14"/>
        <v>295501</v>
      </c>
      <c r="C47" s="225">
        <f>66000+10000+10000+72160+108239+6000+10102+3000+10000</f>
        <v>295501</v>
      </c>
      <c r="D47" s="225"/>
      <c r="E47" s="225">
        <f t="shared" si="15"/>
        <v>295501</v>
      </c>
      <c r="F47" s="225"/>
      <c r="G47" s="225"/>
      <c r="H47" s="225"/>
      <c r="I47" s="225"/>
      <c r="J47" s="225"/>
      <c r="K47" s="225"/>
      <c r="L47" s="225"/>
      <c r="M47" s="225"/>
      <c r="N47" s="225"/>
      <c r="O47" s="225"/>
      <c r="P47" s="225"/>
      <c r="Q47" s="225"/>
      <c r="R47" s="916">
        <f t="shared" si="16"/>
        <v>295501</v>
      </c>
      <c r="S47" s="225"/>
      <c r="T47" s="225"/>
      <c r="U47" s="221"/>
    </row>
    <row r="48" spans="1:21" s="222" customFormat="1">
      <c r="A48" s="223" t="s">
        <v>163</v>
      </c>
      <c r="B48" s="224">
        <f t="shared" si="14"/>
        <v>20000</v>
      </c>
      <c r="C48" s="225">
        <v>20000</v>
      </c>
      <c r="D48" s="225"/>
      <c r="E48" s="225">
        <f t="shared" si="15"/>
        <v>20000</v>
      </c>
      <c r="F48" s="225"/>
      <c r="G48" s="225"/>
      <c r="H48" s="225"/>
      <c r="I48" s="225"/>
      <c r="J48" s="225"/>
      <c r="K48" s="225"/>
      <c r="L48" s="225"/>
      <c r="M48" s="225"/>
      <c r="N48" s="225"/>
      <c r="O48" s="225"/>
      <c r="P48" s="225"/>
      <c r="Q48" s="225"/>
      <c r="R48" s="916">
        <f t="shared" si="16"/>
        <v>20000</v>
      </c>
      <c r="S48" s="225">
        <f>C48</f>
        <v>20000</v>
      </c>
      <c r="T48" s="225"/>
      <c r="U48" s="221"/>
    </row>
    <row r="49" spans="1:21" s="222" customFormat="1">
      <c r="A49" s="457" t="s">
        <v>161</v>
      </c>
      <c r="B49" s="224">
        <f t="shared" si="14"/>
        <v>155640</v>
      </c>
      <c r="C49" s="225">
        <v>155640</v>
      </c>
      <c r="D49" s="225"/>
      <c r="E49" s="225">
        <f t="shared" si="15"/>
        <v>155640</v>
      </c>
      <c r="F49" s="225"/>
      <c r="G49" s="225"/>
      <c r="H49" s="225"/>
      <c r="I49" s="225"/>
      <c r="J49" s="225"/>
      <c r="K49" s="225"/>
      <c r="L49" s="225"/>
      <c r="M49" s="225"/>
      <c r="N49" s="225"/>
      <c r="O49" s="225"/>
      <c r="P49" s="225"/>
      <c r="Q49" s="225"/>
      <c r="R49" s="916">
        <f t="shared" si="16"/>
        <v>155640</v>
      </c>
      <c r="S49" s="225">
        <v>0</v>
      </c>
      <c r="T49" s="225"/>
      <c r="U49" s="221"/>
    </row>
    <row r="50" spans="1:21" s="222" customFormat="1">
      <c r="A50" s="223" t="s">
        <v>162</v>
      </c>
      <c r="B50" s="224">
        <f t="shared" si="14"/>
        <v>250000</v>
      </c>
      <c r="C50" s="225">
        <v>250000</v>
      </c>
      <c r="D50" s="225"/>
      <c r="E50" s="225">
        <f t="shared" si="15"/>
        <v>250000</v>
      </c>
      <c r="F50" s="225"/>
      <c r="G50" s="225"/>
      <c r="H50" s="225"/>
      <c r="I50" s="225"/>
      <c r="J50" s="225"/>
      <c r="K50" s="225"/>
      <c r="L50" s="225"/>
      <c r="M50" s="225"/>
      <c r="N50" s="225"/>
      <c r="O50" s="225"/>
      <c r="P50" s="225"/>
      <c r="Q50" s="225"/>
      <c r="R50" s="916">
        <f t="shared" si="16"/>
        <v>250000</v>
      </c>
      <c r="S50" s="225">
        <f>C50</f>
        <v>250000</v>
      </c>
      <c r="T50" s="225"/>
      <c r="U50" s="221"/>
    </row>
    <row r="51" spans="1:21" s="222" customFormat="1">
      <c r="A51" s="955" t="s">
        <v>1760</v>
      </c>
      <c r="B51" s="224">
        <f t="shared" si="14"/>
        <v>31580</v>
      </c>
      <c r="C51" s="225">
        <f>31580</f>
        <v>31580</v>
      </c>
      <c r="D51" s="225"/>
      <c r="E51" s="225">
        <f t="shared" si="15"/>
        <v>31580</v>
      </c>
      <c r="F51" s="225"/>
      <c r="G51" s="225"/>
      <c r="H51" s="225"/>
      <c r="I51" s="225"/>
      <c r="J51" s="225"/>
      <c r="K51" s="225"/>
      <c r="L51" s="225"/>
      <c r="M51" s="225"/>
      <c r="N51" s="225"/>
      <c r="O51" s="225"/>
      <c r="P51" s="225"/>
      <c r="Q51" s="225"/>
      <c r="R51" s="916">
        <f t="shared" si="16"/>
        <v>31580</v>
      </c>
      <c r="S51" s="225">
        <f>C51</f>
        <v>31580</v>
      </c>
      <c r="T51" s="225"/>
      <c r="U51" s="221"/>
    </row>
    <row r="52" spans="1:21" s="222" customFormat="1">
      <c r="A52" s="955" t="s">
        <v>1761</v>
      </c>
      <c r="B52" s="224">
        <f t="shared" si="14"/>
        <v>421351</v>
      </c>
      <c r="C52" s="225">
        <f>Application!AE554</f>
        <v>421351</v>
      </c>
      <c r="D52" s="225"/>
      <c r="E52" s="225">
        <f t="shared" si="15"/>
        <v>0</v>
      </c>
      <c r="F52" s="225"/>
      <c r="G52" s="225"/>
      <c r="H52" s="225"/>
      <c r="I52" s="225"/>
      <c r="J52" s="225"/>
      <c r="K52" s="225"/>
      <c r="L52" s="225">
        <f>Application!AE554</f>
        <v>421351</v>
      </c>
      <c r="M52" s="225"/>
      <c r="N52" s="225"/>
      <c r="O52" s="225"/>
      <c r="P52" s="225"/>
      <c r="Q52" s="225">
        <v>0</v>
      </c>
      <c r="R52" s="916">
        <f t="shared" si="16"/>
        <v>421351</v>
      </c>
      <c r="S52" s="225">
        <f>5443+70394+11852+17063+1</f>
        <v>104753</v>
      </c>
      <c r="T52" s="225"/>
      <c r="U52" s="221"/>
    </row>
    <row r="53" spans="1:21" s="232" customFormat="1" ht="12">
      <c r="A53" s="227" t="s">
        <v>164</v>
      </c>
      <c r="B53" s="228">
        <f>SUM(C53:D53)</f>
        <v>3182748</v>
      </c>
      <c r="C53" s="228">
        <f t="shared" ref="C53:T53" si="17">SUM(C43:C52)</f>
        <v>3182748</v>
      </c>
      <c r="D53" s="228">
        <f t="shared" si="17"/>
        <v>0</v>
      </c>
      <c r="E53" s="228">
        <f t="shared" si="17"/>
        <v>2761397</v>
      </c>
      <c r="F53" s="228">
        <f t="shared" si="17"/>
        <v>0</v>
      </c>
      <c r="G53" s="228">
        <f t="shared" si="17"/>
        <v>0</v>
      </c>
      <c r="H53" s="228">
        <f t="shared" si="17"/>
        <v>0</v>
      </c>
      <c r="I53" s="228">
        <f t="shared" si="17"/>
        <v>0</v>
      </c>
      <c r="J53" s="228">
        <f t="shared" si="17"/>
        <v>0</v>
      </c>
      <c r="K53" s="228">
        <f t="shared" si="17"/>
        <v>0</v>
      </c>
      <c r="L53" s="228">
        <f t="shared" si="17"/>
        <v>421351</v>
      </c>
      <c r="M53" s="228">
        <f t="shared" si="17"/>
        <v>0</v>
      </c>
      <c r="N53" s="228">
        <f t="shared" si="17"/>
        <v>0</v>
      </c>
      <c r="O53" s="228">
        <f t="shared" si="17"/>
        <v>0</v>
      </c>
      <c r="P53" s="228">
        <f t="shared" si="17"/>
        <v>0</v>
      </c>
      <c r="Q53" s="228">
        <f t="shared" si="17"/>
        <v>0</v>
      </c>
      <c r="R53" s="558">
        <f>SUM(R43:R52)</f>
        <v>3182748</v>
      </c>
      <c r="S53" s="228">
        <f t="shared" si="17"/>
        <v>1597302</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30000</v>
      </c>
      <c r="C55" s="225">
        <v>30000</v>
      </c>
      <c r="D55" s="225"/>
      <c r="E55" s="225">
        <f t="shared" ref="E55:E61" si="19">B55-SUM(F55:Q55)</f>
        <v>30000</v>
      </c>
      <c r="F55" s="225"/>
      <c r="G55" s="225"/>
      <c r="H55" s="225"/>
      <c r="I55" s="225"/>
      <c r="J55" s="225"/>
      <c r="K55" s="225"/>
      <c r="L55" s="225"/>
      <c r="M55" s="225"/>
      <c r="N55" s="225"/>
      <c r="O55" s="225"/>
      <c r="P55" s="225"/>
      <c r="Q55" s="225"/>
      <c r="R55" s="916">
        <f t="shared" ref="R55:R61" si="20">SUM(E55:Q55)</f>
        <v>30000</v>
      </c>
      <c r="S55" s="226"/>
      <c r="T55" s="226"/>
      <c r="U55" s="221"/>
    </row>
    <row r="56" spans="1:21" s="313" customFormat="1">
      <c r="A56" s="307" t="s">
        <v>159</v>
      </c>
      <c r="B56" s="314">
        <f t="shared" si="18"/>
        <v>0</v>
      </c>
      <c r="C56" s="311"/>
      <c r="D56" s="311"/>
      <c r="E56" s="225">
        <f t="shared" si="19"/>
        <v>0</v>
      </c>
      <c r="F56" s="311"/>
      <c r="G56" s="311"/>
      <c r="H56" s="311"/>
      <c r="I56" s="311"/>
      <c r="J56" s="311"/>
      <c r="K56" s="311"/>
      <c r="L56" s="311"/>
      <c r="M56" s="311"/>
      <c r="N56" s="311"/>
      <c r="O56" s="311"/>
      <c r="P56" s="311"/>
      <c r="Q56" s="311"/>
      <c r="R56" s="916">
        <f t="shared" si="20"/>
        <v>0</v>
      </c>
      <c r="S56" s="315"/>
      <c r="T56" s="315"/>
      <c r="U56" s="312"/>
    </row>
    <row r="57" spans="1:21" s="222" customFormat="1">
      <c r="A57" s="223" t="s">
        <v>163</v>
      </c>
      <c r="B57" s="224">
        <f t="shared" si="18"/>
        <v>15000</v>
      </c>
      <c r="C57" s="225">
        <v>15000</v>
      </c>
      <c r="D57" s="225"/>
      <c r="E57" s="225">
        <f t="shared" si="19"/>
        <v>15000</v>
      </c>
      <c r="F57" s="225"/>
      <c r="G57" s="225"/>
      <c r="H57" s="225"/>
      <c r="I57" s="225"/>
      <c r="J57" s="225"/>
      <c r="K57" s="225"/>
      <c r="L57" s="225"/>
      <c r="M57" s="225"/>
      <c r="N57" s="225"/>
      <c r="O57" s="225"/>
      <c r="P57" s="225"/>
      <c r="Q57" s="225"/>
      <c r="R57" s="916">
        <f t="shared" si="20"/>
        <v>15000</v>
      </c>
      <c r="S57" s="226"/>
      <c r="T57" s="226"/>
      <c r="U57" s="221"/>
    </row>
    <row r="58" spans="1:21" s="222" customFormat="1">
      <c r="A58" s="457" t="s">
        <v>161</v>
      </c>
      <c r="B58" s="224">
        <f t="shared" si="18"/>
        <v>0</v>
      </c>
      <c r="C58" s="225"/>
      <c r="D58" s="225"/>
      <c r="E58" s="225">
        <f t="shared" si="19"/>
        <v>0</v>
      </c>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8"/>
        <v>0</v>
      </c>
      <c r="C59" s="225"/>
      <c r="D59" s="225"/>
      <c r="E59" s="225">
        <f t="shared" si="19"/>
        <v>0</v>
      </c>
      <c r="F59" s="225"/>
      <c r="G59" s="225"/>
      <c r="H59" s="225"/>
      <c r="I59" s="225"/>
      <c r="J59" s="225"/>
      <c r="K59" s="225"/>
      <c r="L59" s="225"/>
      <c r="M59" s="225"/>
      <c r="N59" s="225"/>
      <c r="O59" s="225"/>
      <c r="P59" s="225"/>
      <c r="Q59" s="225"/>
      <c r="R59" s="916">
        <f t="shared" si="20"/>
        <v>0</v>
      </c>
      <c r="S59" s="226"/>
      <c r="T59" s="226"/>
      <c r="U59" s="221"/>
    </row>
    <row r="60" spans="1:21" s="222" customFormat="1">
      <c r="A60" s="955" t="s">
        <v>1766</v>
      </c>
      <c r="B60" s="224">
        <f t="shared" si="18"/>
        <v>40000</v>
      </c>
      <c r="C60" s="225">
        <f>40000</f>
        <v>40000</v>
      </c>
      <c r="D60" s="225"/>
      <c r="E60" s="225">
        <f t="shared" si="19"/>
        <v>40000</v>
      </c>
      <c r="F60" s="225"/>
      <c r="G60" s="225"/>
      <c r="H60" s="225"/>
      <c r="I60" s="225"/>
      <c r="J60" s="225"/>
      <c r="K60" s="225"/>
      <c r="L60" s="225"/>
      <c r="M60" s="225"/>
      <c r="N60" s="225"/>
      <c r="O60" s="225"/>
      <c r="P60" s="225"/>
      <c r="Q60" s="225"/>
      <c r="R60" s="916">
        <f t="shared" si="20"/>
        <v>40000</v>
      </c>
      <c r="S60" s="226"/>
      <c r="T60" s="226"/>
      <c r="U60" s="221"/>
    </row>
    <row r="61" spans="1:21" s="222" customFormat="1">
      <c r="A61" s="230" t="s">
        <v>37</v>
      </c>
      <c r="B61" s="224">
        <f t="shared" si="18"/>
        <v>0</v>
      </c>
      <c r="C61" s="225"/>
      <c r="D61" s="225"/>
      <c r="E61" s="225">
        <f t="shared" si="19"/>
        <v>0</v>
      </c>
      <c r="F61" s="225"/>
      <c r="G61" s="225"/>
      <c r="H61" s="225"/>
      <c r="I61" s="225"/>
      <c r="J61" s="225"/>
      <c r="K61" s="225"/>
      <c r="L61" s="225"/>
      <c r="M61" s="225"/>
      <c r="N61" s="225"/>
      <c r="O61" s="225"/>
      <c r="P61" s="225"/>
      <c r="Q61" s="225"/>
      <c r="R61" s="916">
        <f t="shared" si="20"/>
        <v>0</v>
      </c>
      <c r="S61" s="226"/>
      <c r="T61" s="226"/>
      <c r="U61" s="221"/>
    </row>
    <row r="62" spans="1:21" s="222" customFormat="1" ht="13.65" customHeight="1">
      <c r="A62" s="227" t="s">
        <v>320</v>
      </c>
      <c r="B62" s="224">
        <f>SUM(C62:D62)</f>
        <v>85000</v>
      </c>
      <c r="C62" s="224">
        <f t="shared" ref="C62:Q62" si="21">SUM(C55:C61)</f>
        <v>85000</v>
      </c>
      <c r="D62" s="224">
        <f t="shared" si="21"/>
        <v>0</v>
      </c>
      <c r="E62" s="224">
        <f t="shared" si="21"/>
        <v>85000</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85000</v>
      </c>
      <c r="S62" s="226"/>
      <c r="T62" s="226"/>
      <c r="U62" s="221"/>
    </row>
    <row r="63" spans="1:21" s="222" customFormat="1">
      <c r="A63" s="233" t="s">
        <v>321</v>
      </c>
      <c r="B63" s="224">
        <f>SUM(B8+B11+B13+B14+B15+B25+B26+B36+B40+B41+B53+B62)</f>
        <v>42517308</v>
      </c>
      <c r="C63" s="224">
        <f t="shared" ref="C63:Q63" si="22">SUM(C8+C11+C13+C14+C15+C25+C26+C36+C40+C41+C53+C62)</f>
        <v>39117308</v>
      </c>
      <c r="D63" s="224">
        <f t="shared" si="22"/>
        <v>3400000</v>
      </c>
      <c r="E63" s="224">
        <f t="shared" si="22"/>
        <v>6079122</v>
      </c>
      <c r="F63" s="224">
        <f t="shared" si="22"/>
        <v>3866667</v>
      </c>
      <c r="G63" s="224">
        <f t="shared" si="22"/>
        <v>2133333</v>
      </c>
      <c r="H63" s="224">
        <f t="shared" si="22"/>
        <v>350000</v>
      </c>
      <c r="I63" s="224">
        <f t="shared" si="22"/>
        <v>450000</v>
      </c>
      <c r="J63" s="224">
        <f t="shared" si="22"/>
        <v>12570375</v>
      </c>
      <c r="K63" s="224">
        <f t="shared" si="22"/>
        <v>2116506</v>
      </c>
      <c r="L63" s="224">
        <f t="shared" si="22"/>
        <v>1010351</v>
      </c>
      <c r="M63" s="224">
        <f t="shared" si="22"/>
        <v>3047001</v>
      </c>
      <c r="N63" s="224">
        <f t="shared" si="22"/>
        <v>0</v>
      </c>
      <c r="O63" s="224">
        <f t="shared" si="22"/>
        <v>8143953</v>
      </c>
      <c r="P63" s="224">
        <f t="shared" si="22"/>
        <v>0</v>
      </c>
      <c r="Q63" s="224">
        <f t="shared" si="22"/>
        <v>750000</v>
      </c>
      <c r="R63" s="558">
        <f>SUM(R8+R11+R13+R14+R15+R25+R26+R36+R40+R41+R53+R62)</f>
        <v>42517308</v>
      </c>
      <c r="S63" s="224">
        <f>SUM(S10+S13+S14+S15+S25+S26+S36+S40+S41+S53)</f>
        <v>20211268</v>
      </c>
      <c r="T63" s="224">
        <f>SUM(T11+T13+T14+T15+T25+T26+T36+T40+T41+T53)</f>
        <v>16141000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85000</v>
      </c>
      <c r="C65" s="225">
        <f>65000+20000</f>
        <v>85000</v>
      </c>
      <c r="D65" s="225"/>
      <c r="E65" s="225">
        <f t="shared" ref="E65:E66" si="23">B65-SUM(F65:Q65)</f>
        <v>85000</v>
      </c>
      <c r="F65" s="225"/>
      <c r="G65" s="225"/>
      <c r="H65" s="225"/>
      <c r="I65" s="225"/>
      <c r="J65" s="225"/>
      <c r="K65" s="225"/>
      <c r="L65" s="225"/>
      <c r="M65" s="225"/>
      <c r="N65" s="225"/>
      <c r="O65" s="225"/>
      <c r="P65" s="225"/>
      <c r="Q65" s="225"/>
      <c r="R65" s="916">
        <f>SUM(E65:Q65)</f>
        <v>85000</v>
      </c>
      <c r="S65" s="225">
        <v>35029</v>
      </c>
      <c r="T65" s="225"/>
      <c r="U65" s="221"/>
    </row>
    <row r="66" spans="1:21" s="222" customFormat="1">
      <c r="A66" s="955" t="s">
        <v>1763</v>
      </c>
      <c r="B66" s="224">
        <f>SUM(C66+D66)</f>
        <v>151268</v>
      </c>
      <c r="C66" s="225">
        <f>30000+10000+5000+45000+61268</f>
        <v>151268</v>
      </c>
      <c r="D66" s="225"/>
      <c r="E66" s="225">
        <f t="shared" si="23"/>
        <v>151268</v>
      </c>
      <c r="F66" s="225"/>
      <c r="G66" s="225"/>
      <c r="H66" s="225"/>
      <c r="I66" s="225"/>
      <c r="J66" s="225"/>
      <c r="K66" s="225"/>
      <c r="L66" s="225"/>
      <c r="M66" s="225"/>
      <c r="N66" s="225"/>
      <c r="O66" s="225"/>
      <c r="P66" s="225"/>
      <c r="Q66" s="225"/>
      <c r="R66" s="916">
        <f>SUM(E66:Q66)</f>
        <v>151268</v>
      </c>
      <c r="S66" s="225">
        <f>30000</f>
        <v>30000</v>
      </c>
      <c r="T66" s="225"/>
      <c r="U66" s="221"/>
    </row>
    <row r="67" spans="1:21" s="222" customFormat="1" ht="12">
      <c r="A67" s="227" t="s">
        <v>651</v>
      </c>
      <c r="B67" s="224">
        <f>SUM(C67:D67)</f>
        <v>236268</v>
      </c>
      <c r="C67" s="224">
        <f>SUM(C64:C66)</f>
        <v>236268</v>
      </c>
      <c r="D67" s="224">
        <f>SUM(D64:D66)</f>
        <v>0</v>
      </c>
      <c r="E67" s="224">
        <f t="shared" ref="E67:T67" si="24">SUM(E65:E66)</f>
        <v>236268</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236268</v>
      </c>
      <c r="S67" s="228">
        <f>SUM(S65:S66)</f>
        <v>65029</v>
      </c>
      <c r="T67" s="228">
        <f t="shared" si="24"/>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5">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5"/>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158000</v>
      </c>
      <c r="C71" s="225">
        <v>158000</v>
      </c>
      <c r="D71" s="225"/>
      <c r="E71" s="225">
        <f t="shared" si="25"/>
        <v>158000</v>
      </c>
      <c r="F71" s="225"/>
      <c r="G71" s="225"/>
      <c r="H71" s="225"/>
      <c r="I71" s="225"/>
      <c r="J71" s="225"/>
      <c r="K71" s="225"/>
      <c r="L71" s="225"/>
      <c r="M71" s="225"/>
      <c r="N71" s="225"/>
      <c r="O71" s="225"/>
      <c r="P71" s="225"/>
      <c r="Q71" s="225"/>
      <c r="R71" s="916">
        <f>SUM(E71:Q71)</f>
        <v>158000</v>
      </c>
      <c r="S71" s="226"/>
      <c r="T71" s="226"/>
      <c r="U71" s="221"/>
    </row>
    <row r="72" spans="1:21" s="222" customFormat="1">
      <c r="A72" s="223" t="s">
        <v>655</v>
      </c>
      <c r="B72" s="224">
        <f>SUM(C72+D72)</f>
        <v>354241</v>
      </c>
      <c r="C72" s="225">
        <v>354241</v>
      </c>
      <c r="D72" s="225"/>
      <c r="E72" s="225">
        <f t="shared" si="25"/>
        <v>354241</v>
      </c>
      <c r="F72" s="225"/>
      <c r="G72" s="225"/>
      <c r="H72" s="225"/>
      <c r="I72" s="225"/>
      <c r="J72" s="225"/>
      <c r="K72" s="225"/>
      <c r="L72" s="225"/>
      <c r="M72" s="225"/>
      <c r="N72" s="225"/>
      <c r="O72" s="225"/>
      <c r="P72" s="225"/>
      <c r="Q72" s="225"/>
      <c r="R72" s="916">
        <f>SUM(E72:Q72)</f>
        <v>354241</v>
      </c>
      <c r="S72" s="226"/>
      <c r="T72" s="226"/>
      <c r="U72" s="221"/>
    </row>
    <row r="73" spans="1:21" s="222" customFormat="1">
      <c r="A73" s="955" t="s">
        <v>1765</v>
      </c>
      <c r="B73" s="224">
        <f>SUM(C73+D73)</f>
        <v>1668784</v>
      </c>
      <c r="C73" s="225">
        <v>1668784</v>
      </c>
      <c r="D73" s="225"/>
      <c r="E73" s="225">
        <f t="shared" si="25"/>
        <v>1668784</v>
      </c>
      <c r="F73" s="225"/>
      <c r="G73" s="225"/>
      <c r="H73" s="225"/>
      <c r="I73" s="225"/>
      <c r="J73" s="225"/>
      <c r="K73" s="225"/>
      <c r="L73" s="225"/>
      <c r="M73" s="225"/>
      <c r="N73" s="225"/>
      <c r="O73" s="225"/>
      <c r="P73" s="225"/>
      <c r="Q73" s="225"/>
      <c r="R73" s="916">
        <f>SUM(E73:Q73)</f>
        <v>1668784</v>
      </c>
      <c r="S73" s="226"/>
      <c r="T73" s="226"/>
      <c r="U73" s="221"/>
    </row>
    <row r="74" spans="1:21" s="222" customFormat="1" ht="12">
      <c r="A74" s="227" t="s">
        <v>656</v>
      </c>
      <c r="B74" s="224">
        <f>SUM(C74:D74)</f>
        <v>2181025</v>
      </c>
      <c r="C74" s="224">
        <f>SUM(C69:C73)</f>
        <v>2181025</v>
      </c>
      <c r="D74" s="224">
        <f>SUM(D69:D73)</f>
        <v>0</v>
      </c>
      <c r="E74" s="224">
        <f t="shared" ref="E74:Q74" si="26">SUM(E69:E73)</f>
        <v>2181025</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2181025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4299367</v>
      </c>
      <c r="C76" s="225">
        <f>1645076+2654291</f>
        <v>4299367</v>
      </c>
      <c r="D76" s="225"/>
      <c r="E76" s="225">
        <f t="shared" ref="E76:E77" si="27">B76-SUM(F76:Q76)</f>
        <v>4299367</v>
      </c>
      <c r="F76" s="225"/>
      <c r="G76" s="225"/>
      <c r="H76" s="225"/>
      <c r="I76" s="225"/>
      <c r="J76" s="225"/>
      <c r="K76" s="225"/>
      <c r="L76" s="225"/>
      <c r="M76" s="225"/>
      <c r="N76" s="225"/>
      <c r="O76" s="225"/>
      <c r="P76" s="225"/>
      <c r="Q76" s="225"/>
      <c r="R76" s="916">
        <f>SUM(E76:Q76)</f>
        <v>4299367</v>
      </c>
      <c r="S76" s="225">
        <f>C76</f>
        <v>4299367</v>
      </c>
      <c r="T76" s="225"/>
      <c r="U76" s="221"/>
    </row>
    <row r="77" spans="1:21" s="222" customFormat="1">
      <c r="A77" s="457" t="s">
        <v>63</v>
      </c>
      <c r="B77" s="224">
        <f>SUM(C77:D77)</f>
        <v>370058</v>
      </c>
      <c r="C77" s="225">
        <v>370058</v>
      </c>
      <c r="D77" s="225"/>
      <c r="E77" s="225">
        <f t="shared" si="27"/>
        <v>370058</v>
      </c>
      <c r="F77" s="225"/>
      <c r="G77" s="225"/>
      <c r="H77" s="225"/>
      <c r="I77" s="225"/>
      <c r="J77" s="225"/>
      <c r="K77" s="225"/>
      <c r="L77" s="225"/>
      <c r="M77" s="225"/>
      <c r="N77" s="225"/>
      <c r="O77" s="225"/>
      <c r="P77" s="225"/>
      <c r="Q77" s="225"/>
      <c r="R77" s="916">
        <f>SUM(E77:Q77)</f>
        <v>370058</v>
      </c>
      <c r="S77" s="225">
        <f>C77</f>
        <v>370058</v>
      </c>
      <c r="T77" s="225"/>
      <c r="U77" s="221"/>
    </row>
    <row r="78" spans="1:21" s="222" customFormat="1" ht="12">
      <c r="A78" s="227" t="s">
        <v>1468</v>
      </c>
      <c r="B78" s="224">
        <f>SUM(C78:D78)</f>
        <v>4669425</v>
      </c>
      <c r="C78" s="890">
        <f>SUM(C76:C77)</f>
        <v>4669425</v>
      </c>
      <c r="D78" s="890">
        <f t="shared" ref="D78:T78" si="28">SUM(D76:D77)</f>
        <v>0</v>
      </c>
      <c r="E78" s="890">
        <f t="shared" si="28"/>
        <v>4669425</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4669425</v>
      </c>
      <c r="S78" s="890">
        <f t="shared" si="28"/>
        <v>4669425</v>
      </c>
      <c r="T78" s="890">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844</v>
      </c>
      <c r="B80" s="224">
        <f t="shared" ref="B80:B94" si="29">SUM(C80+D80)</f>
        <v>44265</v>
      </c>
      <c r="C80" s="225">
        <v>44265</v>
      </c>
      <c r="D80" s="225"/>
      <c r="E80" s="225">
        <f t="shared" ref="E80:E94" si="30">B80-SUM(F80:Q80)</f>
        <v>44265</v>
      </c>
      <c r="F80" s="225"/>
      <c r="G80" s="225"/>
      <c r="H80" s="225"/>
      <c r="I80" s="225"/>
      <c r="J80" s="225"/>
      <c r="K80" s="225"/>
      <c r="L80" s="225"/>
      <c r="M80" s="225"/>
      <c r="N80" s="225"/>
      <c r="O80" s="225"/>
      <c r="P80" s="225"/>
      <c r="Q80" s="225"/>
      <c r="R80" s="916">
        <f t="shared" ref="R80:R94" si="31">SUM(E80:Q80)</f>
        <v>44265</v>
      </c>
      <c r="S80" s="226"/>
      <c r="T80" s="226"/>
      <c r="U80" s="221"/>
    </row>
    <row r="81" spans="1:21" s="222" customFormat="1">
      <c r="A81" s="223" t="s">
        <v>845</v>
      </c>
      <c r="B81" s="224">
        <f t="shared" si="29"/>
        <v>31000</v>
      </c>
      <c r="C81" s="225">
        <v>31000</v>
      </c>
      <c r="D81" s="225"/>
      <c r="E81" s="225">
        <f t="shared" si="30"/>
        <v>31000</v>
      </c>
      <c r="F81" s="225"/>
      <c r="G81" s="225"/>
      <c r="H81" s="225"/>
      <c r="I81" s="225"/>
      <c r="J81" s="225"/>
      <c r="K81" s="225"/>
      <c r="L81" s="225"/>
      <c r="M81" s="225"/>
      <c r="N81" s="225"/>
      <c r="O81" s="225"/>
      <c r="P81" s="225"/>
      <c r="Q81" s="225"/>
      <c r="R81" s="916">
        <f t="shared" si="31"/>
        <v>31000</v>
      </c>
      <c r="S81" s="225">
        <f>C81</f>
        <v>31000</v>
      </c>
      <c r="T81" s="225"/>
      <c r="U81" s="221"/>
    </row>
    <row r="82" spans="1:21" s="222" customFormat="1">
      <c r="A82" s="223" t="s">
        <v>846</v>
      </c>
      <c r="B82" s="224">
        <f t="shared" si="29"/>
        <v>0</v>
      </c>
      <c r="C82" s="225">
        <v>0</v>
      </c>
      <c r="D82" s="225"/>
      <c r="E82" s="225">
        <f t="shared" si="30"/>
        <v>0</v>
      </c>
      <c r="F82" s="225"/>
      <c r="G82" s="225"/>
      <c r="H82" s="225"/>
      <c r="I82" s="225"/>
      <c r="J82" s="225"/>
      <c r="K82" s="225"/>
      <c r="L82" s="225"/>
      <c r="M82" s="225"/>
      <c r="N82" s="225"/>
      <c r="O82" s="225"/>
      <c r="P82" s="225"/>
      <c r="Q82" s="225"/>
      <c r="R82" s="916">
        <f t="shared" si="31"/>
        <v>0</v>
      </c>
      <c r="S82" s="225"/>
      <c r="T82" s="225"/>
      <c r="U82" s="221"/>
    </row>
    <row r="83" spans="1:21" s="222" customFormat="1">
      <c r="A83" s="223" t="s">
        <v>847</v>
      </c>
      <c r="B83" s="224">
        <f t="shared" si="29"/>
        <v>115000</v>
      </c>
      <c r="C83" s="225">
        <v>115000</v>
      </c>
      <c r="D83" s="225"/>
      <c r="E83" s="225">
        <f t="shared" si="30"/>
        <v>115000</v>
      </c>
      <c r="F83" s="225"/>
      <c r="G83" s="225"/>
      <c r="H83" s="225"/>
      <c r="I83" s="225"/>
      <c r="J83" s="225"/>
      <c r="K83" s="225"/>
      <c r="L83" s="225"/>
      <c r="M83" s="225"/>
      <c r="N83" s="225"/>
      <c r="O83" s="225"/>
      <c r="P83" s="225"/>
      <c r="Q83" s="225"/>
      <c r="R83" s="916">
        <f t="shared" si="31"/>
        <v>115000</v>
      </c>
      <c r="S83" s="225">
        <f>C83</f>
        <v>115000</v>
      </c>
      <c r="T83" s="225"/>
      <c r="U83" s="221"/>
    </row>
    <row r="84" spans="1:21" s="222" customFormat="1">
      <c r="A84" s="223" t="s">
        <v>848</v>
      </c>
      <c r="B84" s="224">
        <f t="shared" si="29"/>
        <v>0</v>
      </c>
      <c r="C84" s="225"/>
      <c r="D84" s="225"/>
      <c r="E84" s="225">
        <f t="shared" si="30"/>
        <v>0</v>
      </c>
      <c r="F84" s="225"/>
      <c r="G84" s="225"/>
      <c r="H84" s="225"/>
      <c r="I84" s="225"/>
      <c r="J84" s="225"/>
      <c r="K84" s="225"/>
      <c r="L84" s="225"/>
      <c r="M84" s="225"/>
      <c r="N84" s="225"/>
      <c r="O84" s="225"/>
      <c r="P84" s="225"/>
      <c r="Q84" s="225"/>
      <c r="R84" s="916">
        <f t="shared" si="31"/>
        <v>0</v>
      </c>
      <c r="S84" s="225"/>
      <c r="T84" s="225"/>
      <c r="U84" s="221"/>
    </row>
    <row r="85" spans="1:21" s="222" customFormat="1">
      <c r="A85" s="223" t="s">
        <v>849</v>
      </c>
      <c r="B85" s="224">
        <f t="shared" si="29"/>
        <v>58000</v>
      </c>
      <c r="C85" s="225">
        <v>58000</v>
      </c>
      <c r="D85" s="225"/>
      <c r="E85" s="225">
        <f t="shared" si="30"/>
        <v>58000</v>
      </c>
      <c r="F85" s="225"/>
      <c r="G85" s="225"/>
      <c r="H85" s="225"/>
      <c r="I85" s="225"/>
      <c r="J85" s="225"/>
      <c r="K85" s="225"/>
      <c r="L85" s="225"/>
      <c r="M85" s="225"/>
      <c r="N85" s="225"/>
      <c r="O85" s="225"/>
      <c r="P85" s="225"/>
      <c r="Q85" s="225"/>
      <c r="R85" s="916">
        <f t="shared" si="31"/>
        <v>58000</v>
      </c>
      <c r="S85" s="226"/>
      <c r="T85" s="226"/>
      <c r="U85" s="221"/>
    </row>
    <row r="86" spans="1:21" s="222" customFormat="1">
      <c r="A86" s="223" t="s">
        <v>850</v>
      </c>
      <c r="B86" s="224">
        <f t="shared" si="29"/>
        <v>207700</v>
      </c>
      <c r="C86" s="225">
        <v>207700</v>
      </c>
      <c r="D86" s="225"/>
      <c r="E86" s="225">
        <f t="shared" si="30"/>
        <v>207700</v>
      </c>
      <c r="F86" s="225"/>
      <c r="G86" s="225"/>
      <c r="H86" s="225"/>
      <c r="I86" s="225"/>
      <c r="J86" s="225"/>
      <c r="K86" s="225"/>
      <c r="L86" s="225"/>
      <c r="M86" s="225"/>
      <c r="N86" s="225"/>
      <c r="O86" s="225"/>
      <c r="P86" s="225"/>
      <c r="Q86" s="225"/>
      <c r="R86" s="916">
        <f t="shared" si="31"/>
        <v>207700</v>
      </c>
      <c r="S86" s="225">
        <f>C86</f>
        <v>207700</v>
      </c>
      <c r="T86" s="225"/>
      <c r="U86" s="221"/>
    </row>
    <row r="87" spans="1:21" s="222" customFormat="1">
      <c r="A87" s="223" t="s">
        <v>851</v>
      </c>
      <c r="B87" s="224">
        <f t="shared" si="29"/>
        <v>17500</v>
      </c>
      <c r="C87" s="225">
        <v>17500</v>
      </c>
      <c r="D87" s="225"/>
      <c r="E87" s="225">
        <f t="shared" si="30"/>
        <v>17500</v>
      </c>
      <c r="F87" s="225"/>
      <c r="G87" s="225"/>
      <c r="H87" s="225"/>
      <c r="I87" s="225"/>
      <c r="J87" s="225"/>
      <c r="K87" s="225"/>
      <c r="L87" s="225"/>
      <c r="M87" s="225"/>
      <c r="N87" s="225"/>
      <c r="O87" s="225"/>
      <c r="P87" s="225"/>
      <c r="Q87" s="225"/>
      <c r="R87" s="916">
        <f t="shared" si="31"/>
        <v>17500</v>
      </c>
      <c r="S87" s="225"/>
      <c r="T87" s="225"/>
      <c r="U87" s="221"/>
    </row>
    <row r="88" spans="1:21" s="222" customFormat="1">
      <c r="A88" s="234" t="s">
        <v>404</v>
      </c>
      <c r="B88" s="224">
        <f t="shared" si="29"/>
        <v>40000</v>
      </c>
      <c r="C88" s="225">
        <v>40000</v>
      </c>
      <c r="D88" s="225"/>
      <c r="E88" s="225">
        <f t="shared" si="30"/>
        <v>40000</v>
      </c>
      <c r="F88" s="225"/>
      <c r="G88" s="225"/>
      <c r="H88" s="225"/>
      <c r="I88" s="225"/>
      <c r="J88" s="225"/>
      <c r="K88" s="225"/>
      <c r="L88" s="225"/>
      <c r="M88" s="225"/>
      <c r="N88" s="225"/>
      <c r="O88" s="225"/>
      <c r="P88" s="225"/>
      <c r="Q88" s="225"/>
      <c r="R88" s="916">
        <f t="shared" si="31"/>
        <v>40000</v>
      </c>
      <c r="S88" s="225"/>
      <c r="T88" s="225"/>
      <c r="U88" s="221"/>
    </row>
    <row r="89" spans="1:21" s="222" customFormat="1">
      <c r="A89" s="889" t="s">
        <v>1470</v>
      </c>
      <c r="B89" s="224">
        <f t="shared" si="29"/>
        <v>15000</v>
      </c>
      <c r="C89" s="225">
        <v>15000</v>
      </c>
      <c r="D89" s="225"/>
      <c r="E89" s="225">
        <f t="shared" si="30"/>
        <v>15000</v>
      </c>
      <c r="F89" s="225"/>
      <c r="G89" s="225"/>
      <c r="H89" s="225"/>
      <c r="I89" s="225"/>
      <c r="J89" s="225"/>
      <c r="K89" s="225"/>
      <c r="L89" s="225"/>
      <c r="M89" s="225"/>
      <c r="N89" s="225"/>
      <c r="O89" s="225"/>
      <c r="P89" s="225"/>
      <c r="Q89" s="225"/>
      <c r="R89" s="916">
        <f t="shared" si="31"/>
        <v>15000</v>
      </c>
      <c r="S89" s="225">
        <f>C89</f>
        <v>15000</v>
      </c>
      <c r="T89" s="225"/>
      <c r="U89" s="221"/>
    </row>
    <row r="90" spans="1:21" s="222" customFormat="1">
      <c r="A90" s="955" t="s">
        <v>1764</v>
      </c>
      <c r="B90" s="224">
        <f t="shared" si="29"/>
        <v>637263</v>
      </c>
      <c r="C90" s="225">
        <f>550000+58263+29000</f>
        <v>637263</v>
      </c>
      <c r="D90" s="225"/>
      <c r="E90" s="225">
        <f t="shared" si="30"/>
        <v>637263</v>
      </c>
      <c r="F90" s="225"/>
      <c r="G90" s="225"/>
      <c r="H90" s="225"/>
      <c r="I90" s="225"/>
      <c r="J90" s="225"/>
      <c r="K90" s="225"/>
      <c r="L90" s="225"/>
      <c r="M90" s="225"/>
      <c r="N90" s="225"/>
      <c r="O90" s="225"/>
      <c r="P90" s="225"/>
      <c r="Q90" s="225"/>
      <c r="R90" s="916">
        <f t="shared" si="31"/>
        <v>637263</v>
      </c>
      <c r="S90" s="225"/>
      <c r="T90" s="225">
        <v>606401</v>
      </c>
      <c r="U90" s="221"/>
    </row>
    <row r="91" spans="1:21" s="222" customFormat="1" ht="22.8">
      <c r="A91" s="955" t="s">
        <v>1757</v>
      </c>
      <c r="B91" s="224">
        <f t="shared" si="29"/>
        <v>85000</v>
      </c>
      <c r="C91" s="225">
        <v>85000</v>
      </c>
      <c r="D91" s="225"/>
      <c r="E91" s="225">
        <f t="shared" si="30"/>
        <v>85000</v>
      </c>
      <c r="F91" s="225"/>
      <c r="G91" s="225"/>
      <c r="H91" s="225"/>
      <c r="I91" s="225"/>
      <c r="J91" s="225"/>
      <c r="K91" s="225"/>
      <c r="L91" s="225"/>
      <c r="M91" s="225"/>
      <c r="N91" s="225"/>
      <c r="O91" s="225"/>
      <c r="P91" s="225"/>
      <c r="Q91" s="225"/>
      <c r="R91" s="916">
        <f t="shared" si="31"/>
        <v>85000</v>
      </c>
      <c r="S91" s="225">
        <f>C91</f>
        <v>85000</v>
      </c>
      <c r="T91" s="225"/>
      <c r="U91" s="221"/>
    </row>
    <row r="92" spans="1:21" s="222" customFormat="1">
      <c r="A92" s="955" t="s">
        <v>1758</v>
      </c>
      <c r="B92" s="224">
        <f t="shared" si="29"/>
        <v>58724</v>
      </c>
      <c r="C92" s="225">
        <v>58724</v>
      </c>
      <c r="D92" s="225"/>
      <c r="E92" s="225">
        <f t="shared" si="30"/>
        <v>58724</v>
      </c>
      <c r="F92" s="225"/>
      <c r="G92" s="225"/>
      <c r="H92" s="225"/>
      <c r="I92" s="225"/>
      <c r="J92" s="225"/>
      <c r="K92" s="225"/>
      <c r="L92" s="225"/>
      <c r="M92" s="225"/>
      <c r="N92" s="225"/>
      <c r="O92" s="225"/>
      <c r="P92" s="225"/>
      <c r="Q92" s="225"/>
      <c r="R92" s="916">
        <f t="shared" si="31"/>
        <v>58724</v>
      </c>
      <c r="S92" s="225">
        <f>C92</f>
        <v>58724</v>
      </c>
      <c r="T92" s="225"/>
      <c r="U92" s="221"/>
    </row>
    <row r="93" spans="1:21" s="222" customFormat="1" ht="22.8">
      <c r="A93" s="955" t="s">
        <v>1759</v>
      </c>
      <c r="B93" s="224">
        <f t="shared" si="29"/>
        <v>247188</v>
      </c>
      <c r="C93" s="225">
        <f>102324+144865-1</f>
        <v>247188</v>
      </c>
      <c r="D93" s="225"/>
      <c r="E93" s="225">
        <f t="shared" si="30"/>
        <v>247188</v>
      </c>
      <c r="F93" s="225"/>
      <c r="G93" s="225"/>
      <c r="H93" s="225"/>
      <c r="I93" s="225"/>
      <c r="J93" s="225"/>
      <c r="K93" s="225"/>
      <c r="L93" s="225"/>
      <c r="M93" s="225"/>
      <c r="N93" s="225"/>
      <c r="O93" s="225"/>
      <c r="P93" s="225"/>
      <c r="Q93" s="225"/>
      <c r="R93" s="916">
        <f t="shared" si="31"/>
        <v>247188</v>
      </c>
      <c r="S93" s="225">
        <f>C93</f>
        <v>247188</v>
      </c>
      <c r="T93" s="225"/>
      <c r="U93" s="221"/>
    </row>
    <row r="94" spans="1:21" s="222" customFormat="1">
      <c r="A94" s="955" t="s">
        <v>1762</v>
      </c>
      <c r="B94" s="224">
        <f t="shared" si="29"/>
        <v>22500</v>
      </c>
      <c r="C94" s="225">
        <v>22500</v>
      </c>
      <c r="D94" s="225"/>
      <c r="E94" s="225">
        <f t="shared" si="30"/>
        <v>22500</v>
      </c>
      <c r="F94" s="225"/>
      <c r="G94" s="225"/>
      <c r="H94" s="225"/>
      <c r="I94" s="225"/>
      <c r="J94" s="225"/>
      <c r="K94" s="225"/>
      <c r="L94" s="225"/>
      <c r="M94" s="225"/>
      <c r="N94" s="225"/>
      <c r="O94" s="225"/>
      <c r="P94" s="225"/>
      <c r="Q94" s="225"/>
      <c r="R94" s="916">
        <f t="shared" si="31"/>
        <v>22500</v>
      </c>
      <c r="S94" s="225"/>
      <c r="T94" s="225"/>
      <c r="U94" s="221"/>
    </row>
    <row r="95" spans="1:21" s="222" customFormat="1" ht="12">
      <c r="A95" s="227" t="s">
        <v>852</v>
      </c>
      <c r="B95" s="224">
        <f>SUM(C95:D95)</f>
        <v>1579140</v>
      </c>
      <c r="C95" s="224">
        <f t="shared" ref="C95:Q95" si="32">SUM(C80:C94)</f>
        <v>1579140</v>
      </c>
      <c r="D95" s="224">
        <f t="shared" si="32"/>
        <v>0</v>
      </c>
      <c r="E95" s="224">
        <f t="shared" si="32"/>
        <v>1579140</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1579140</v>
      </c>
      <c r="S95" s="228">
        <f>SUM(S81:S84,S86:S94)</f>
        <v>759612</v>
      </c>
      <c r="T95" s="224">
        <f>SUM(T81:T84,T86:T94)</f>
        <v>606401</v>
      </c>
      <c r="U95" s="221"/>
    </row>
    <row r="96" spans="1:21" s="222" customFormat="1" ht="12">
      <c r="A96" s="227" t="s">
        <v>853</v>
      </c>
      <c r="B96" s="224">
        <f>SUM(C96:D96)</f>
        <v>51183166</v>
      </c>
      <c r="C96" s="224">
        <f>SUM(C63+C67+C74+C78+C95)</f>
        <v>47783166</v>
      </c>
      <c r="D96" s="224">
        <f t="shared" ref="D96:R96" si="33">SUM(D63+D67+D74+D78+D95)</f>
        <v>3400000</v>
      </c>
      <c r="E96" s="224">
        <f t="shared" si="33"/>
        <v>14744980</v>
      </c>
      <c r="F96" s="224">
        <f t="shared" si="33"/>
        <v>3866667</v>
      </c>
      <c r="G96" s="224">
        <f t="shared" si="33"/>
        <v>2133333</v>
      </c>
      <c r="H96" s="224">
        <f t="shared" si="33"/>
        <v>350000</v>
      </c>
      <c r="I96" s="224">
        <f t="shared" si="33"/>
        <v>450000</v>
      </c>
      <c r="J96" s="224">
        <f t="shared" si="33"/>
        <v>12570375</v>
      </c>
      <c r="K96" s="224">
        <f t="shared" si="33"/>
        <v>2116506</v>
      </c>
      <c r="L96" s="224">
        <f t="shared" si="33"/>
        <v>1010351</v>
      </c>
      <c r="M96" s="224">
        <f t="shared" si="33"/>
        <v>3047001</v>
      </c>
      <c r="N96" s="224">
        <f t="shared" si="33"/>
        <v>0</v>
      </c>
      <c r="O96" s="224">
        <f t="shared" si="33"/>
        <v>8143953</v>
      </c>
      <c r="P96" s="224">
        <f t="shared" si="33"/>
        <v>0</v>
      </c>
      <c r="Q96" s="224">
        <f t="shared" si="33"/>
        <v>750000</v>
      </c>
      <c r="R96" s="224">
        <f t="shared" si="33"/>
        <v>51183166</v>
      </c>
      <c r="S96" s="224">
        <f>SUM(S63+S67+S78+S95)</f>
        <v>25705334</v>
      </c>
      <c r="T96" s="224">
        <f>SUM(T63+T67+T78+T95)</f>
        <v>16747401</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5731119</v>
      </c>
      <c r="C98" s="225">
        <v>5731119</v>
      </c>
      <c r="D98" s="225"/>
      <c r="E98" s="225">
        <f>B98-SUM(F98:Q98)</f>
        <v>1520115</v>
      </c>
      <c r="F98" s="225"/>
      <c r="G98" s="225"/>
      <c r="H98" s="225"/>
      <c r="I98" s="225"/>
      <c r="J98" s="225"/>
      <c r="K98" s="225"/>
      <c r="L98" s="225"/>
      <c r="M98" s="225"/>
      <c r="N98" s="225">
        <f>Application!AG626</f>
        <v>4211004</v>
      </c>
      <c r="O98" s="225"/>
      <c r="P98" s="225"/>
      <c r="Q98" s="225"/>
      <c r="R98" s="916">
        <f t="shared" ref="R98:R103" si="35">SUM(E98:Q98)</f>
        <v>5731119</v>
      </c>
      <c r="S98" s="225">
        <f>0.15*S96</f>
        <v>3855800.0999999996</v>
      </c>
      <c r="T98" s="225">
        <f>C98-S98</f>
        <v>1875318.9000000004</v>
      </c>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ht="12">
      <c r="A104" s="227" t="s">
        <v>860</v>
      </c>
      <c r="B104" s="224">
        <f>SUM(C104:D104)</f>
        <v>5731119</v>
      </c>
      <c r="C104" s="224">
        <f t="shared" ref="C104:T104" si="36">SUM(C98:C103)</f>
        <v>5731119</v>
      </c>
      <c r="D104" s="224">
        <f t="shared" si="36"/>
        <v>0</v>
      </c>
      <c r="E104" s="224">
        <f t="shared" si="36"/>
        <v>1520115</v>
      </c>
      <c r="F104" s="224">
        <f t="shared" si="36"/>
        <v>0</v>
      </c>
      <c r="G104" s="224">
        <f t="shared" si="36"/>
        <v>0</v>
      </c>
      <c r="H104" s="224">
        <f t="shared" si="36"/>
        <v>0</v>
      </c>
      <c r="I104" s="224">
        <f t="shared" si="36"/>
        <v>0</v>
      </c>
      <c r="J104" s="224">
        <f t="shared" si="36"/>
        <v>0</v>
      </c>
      <c r="K104" s="224">
        <f t="shared" si="36"/>
        <v>0</v>
      </c>
      <c r="L104" s="224">
        <f t="shared" si="36"/>
        <v>0</v>
      </c>
      <c r="M104" s="224">
        <f t="shared" si="36"/>
        <v>0</v>
      </c>
      <c r="N104" s="224">
        <f t="shared" si="36"/>
        <v>4211004</v>
      </c>
      <c r="O104" s="224">
        <f t="shared" si="36"/>
        <v>0</v>
      </c>
      <c r="P104" s="224">
        <f t="shared" si="36"/>
        <v>0</v>
      </c>
      <c r="Q104" s="224">
        <f t="shared" si="36"/>
        <v>0</v>
      </c>
      <c r="R104" s="558">
        <f>SUM(R98:R103)</f>
        <v>5731119</v>
      </c>
      <c r="S104" s="228">
        <f t="shared" si="36"/>
        <v>3855800.0999999996</v>
      </c>
      <c r="T104" s="228">
        <f t="shared" si="36"/>
        <v>1875318.9000000004</v>
      </c>
      <c r="U104" s="221"/>
    </row>
    <row r="105" spans="1:21" s="222" customFormat="1" ht="12">
      <c r="A105" s="227" t="s">
        <v>861</v>
      </c>
      <c r="B105" s="228">
        <f>SUM(C105:D105)</f>
        <v>56914285</v>
      </c>
      <c r="C105" s="228">
        <f t="shared" ref="C105:R105" si="37">SUM(C96+C104)</f>
        <v>53514285</v>
      </c>
      <c r="D105" s="228">
        <f t="shared" si="37"/>
        <v>3400000</v>
      </c>
      <c r="E105" s="228">
        <f t="shared" si="37"/>
        <v>16265095</v>
      </c>
      <c r="F105" s="228">
        <f t="shared" si="37"/>
        <v>3866667</v>
      </c>
      <c r="G105" s="228">
        <f t="shared" si="37"/>
        <v>2133333</v>
      </c>
      <c r="H105" s="228">
        <f t="shared" si="37"/>
        <v>350000</v>
      </c>
      <c r="I105" s="228">
        <f t="shared" si="37"/>
        <v>450000</v>
      </c>
      <c r="J105" s="228">
        <f t="shared" si="37"/>
        <v>12570375</v>
      </c>
      <c r="K105" s="228">
        <f t="shared" si="37"/>
        <v>2116506</v>
      </c>
      <c r="L105" s="228">
        <f t="shared" si="37"/>
        <v>1010351</v>
      </c>
      <c r="M105" s="228">
        <f t="shared" si="37"/>
        <v>3047001</v>
      </c>
      <c r="N105" s="228">
        <f t="shared" si="37"/>
        <v>4211004</v>
      </c>
      <c r="O105" s="228">
        <f t="shared" si="37"/>
        <v>8143953</v>
      </c>
      <c r="P105" s="228">
        <f t="shared" si="37"/>
        <v>0</v>
      </c>
      <c r="Q105" s="228">
        <f t="shared" si="37"/>
        <v>750000</v>
      </c>
      <c r="R105" s="558">
        <f t="shared" si="37"/>
        <v>56914285</v>
      </c>
      <c r="S105" s="228">
        <f>S96+S104</f>
        <v>29561134.100000001</v>
      </c>
      <c r="T105" s="228">
        <f>T96+T104</f>
        <v>18622719.899999999</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29561134.100000001</v>
      </c>
      <c r="T107" s="242">
        <f>T105+T106</f>
        <v>18622719.899999999</v>
      </c>
    </row>
    <row r="108" spans="1:21" s="310" customFormat="1" ht="12">
      <c r="A108" s="241" t="s">
        <v>973</v>
      </c>
      <c r="B108" s="236"/>
      <c r="C108" s="236"/>
      <c r="D108" s="236"/>
      <c r="E108" s="481">
        <f>Application!AG631</f>
        <v>16265095</v>
      </c>
      <c r="F108" s="481">
        <f>Application!AG618</f>
        <v>3866667</v>
      </c>
      <c r="G108" s="481">
        <f>Application!AG619</f>
        <v>2133333</v>
      </c>
      <c r="H108" s="481">
        <f>Application!AG620</f>
        <v>350000</v>
      </c>
      <c r="I108" s="481">
        <f>Application!AG621</f>
        <v>450000</v>
      </c>
      <c r="J108" s="481">
        <f>Application!AG622</f>
        <v>12570375</v>
      </c>
      <c r="K108" s="481">
        <f>Application!AG623</f>
        <v>2116506</v>
      </c>
      <c r="L108" s="481">
        <f>Application!AG624</f>
        <v>1010351</v>
      </c>
      <c r="M108" s="481">
        <f>Application!AG625</f>
        <v>3047001</v>
      </c>
      <c r="N108" s="481">
        <f>Application!AG626</f>
        <v>4211004</v>
      </c>
      <c r="O108" s="481">
        <f>Application!AG627</f>
        <v>8143953</v>
      </c>
      <c r="P108" s="481">
        <f>Application!AG628</f>
        <v>2000000</v>
      </c>
      <c r="Q108" s="481">
        <f>Application!AG629</f>
        <v>750000</v>
      </c>
      <c r="R108" s="237"/>
      <c r="S108" s="237"/>
      <c r="T108" s="237"/>
      <c r="U108" s="309"/>
    </row>
    <row r="109" spans="1:21" ht="10.35"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3.2">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3.2">
      <c r="A125" s="534" t="s">
        <v>1137</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3.2">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3.2">
      <c r="A139" s="1593" t="s">
        <v>1148</v>
      </c>
      <c r="B139" s="1594"/>
      <c r="C139" s="1594"/>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50" stopIfTrue="1">
      <formula>T9&gt;C9</formula>
    </cfRule>
  </conditionalFormatting>
  <conditionalFormatting sqref="S10">
    <cfRule type="expression" dxfId="141" priority="249" stopIfTrue="1">
      <formula>(S10+T10)&gt;C10</formula>
    </cfRule>
  </conditionalFormatting>
  <conditionalFormatting sqref="R8">
    <cfRule type="cellIs" dxfId="140" priority="238" stopIfTrue="1" operator="notEqual">
      <formula>$B8</formula>
    </cfRule>
    <cfRule type="cellIs" priority="241" stopIfTrue="1" operator="notEqual">
      <formula>$B8</formula>
    </cfRule>
  </conditionalFormatting>
  <conditionalFormatting sqref="R4:R7">
    <cfRule type="cellIs" dxfId="139" priority="240" stopIfTrue="1" operator="notEqual">
      <formula>$B4</formula>
    </cfRule>
  </conditionalFormatting>
  <conditionalFormatting sqref="R9:R10">
    <cfRule type="cellIs" dxfId="138" priority="239" stopIfTrue="1" operator="notEqual">
      <formula>$B9</formula>
    </cfRule>
  </conditionalFormatting>
  <conditionalFormatting sqref="R11:R12">
    <cfRule type="cellIs" dxfId="137" priority="236" stopIfTrue="1" operator="notEqual">
      <formula>$B11</formula>
    </cfRule>
    <cfRule type="cellIs" priority="237" stopIfTrue="1" operator="notEqual">
      <formula>$B11</formula>
    </cfRule>
  </conditionalFormatting>
  <conditionalFormatting sqref="R13:R15">
    <cfRule type="cellIs" dxfId="136" priority="235" stopIfTrue="1" operator="notEqual">
      <formula>$B13</formula>
    </cfRule>
  </conditionalFormatting>
  <conditionalFormatting sqref="R25">
    <cfRule type="cellIs" dxfId="135" priority="233" stopIfTrue="1" operator="notEqual">
      <formula>$B25</formula>
    </cfRule>
    <cfRule type="cellIs" priority="234" stopIfTrue="1" operator="notEqual">
      <formula>$B25</formula>
    </cfRule>
  </conditionalFormatting>
  <conditionalFormatting sqref="R17:R24">
    <cfRule type="cellIs" dxfId="134" priority="232" stopIfTrue="1" operator="notEqual">
      <formula>$B17</formula>
    </cfRule>
  </conditionalFormatting>
  <conditionalFormatting sqref="R26">
    <cfRule type="cellIs" dxfId="133" priority="231" stopIfTrue="1" operator="notEqual">
      <formula>$B26</formula>
    </cfRule>
  </conditionalFormatting>
  <conditionalFormatting sqref="R36">
    <cfRule type="cellIs" dxfId="132" priority="229" stopIfTrue="1" operator="notEqual">
      <formula>$B36</formula>
    </cfRule>
    <cfRule type="cellIs" priority="230" stopIfTrue="1" operator="notEqual">
      <formula>$B36</formula>
    </cfRule>
  </conditionalFormatting>
  <conditionalFormatting sqref="R28:R35">
    <cfRule type="cellIs" dxfId="131" priority="228" stopIfTrue="1" operator="notEqual">
      <formula>$B28</formula>
    </cfRule>
  </conditionalFormatting>
  <conditionalFormatting sqref="R40">
    <cfRule type="cellIs" dxfId="130" priority="226" stopIfTrue="1" operator="notEqual">
      <formula>$B40</formula>
    </cfRule>
    <cfRule type="cellIs" priority="227" stopIfTrue="1" operator="notEqual">
      <formula>$B40</formula>
    </cfRule>
  </conditionalFormatting>
  <conditionalFormatting sqref="R38:R39">
    <cfRule type="cellIs" dxfId="129" priority="225" stopIfTrue="1" operator="notEqual">
      <formula>$B38</formula>
    </cfRule>
  </conditionalFormatting>
  <conditionalFormatting sqref="R41">
    <cfRule type="cellIs" dxfId="128" priority="224" stopIfTrue="1" operator="notEqual">
      <formula>$B41</formula>
    </cfRule>
  </conditionalFormatting>
  <conditionalFormatting sqref="R53">
    <cfRule type="cellIs" dxfId="127" priority="222" stopIfTrue="1" operator="notEqual">
      <formula>$B53</formula>
    </cfRule>
    <cfRule type="cellIs" priority="223" stopIfTrue="1" operator="notEqual">
      <formula>$B53</formula>
    </cfRule>
  </conditionalFormatting>
  <conditionalFormatting sqref="R43:R52">
    <cfRule type="cellIs" dxfId="126" priority="221" stopIfTrue="1" operator="notEqual">
      <formula>$B43</formula>
    </cfRule>
  </conditionalFormatting>
  <conditionalFormatting sqref="R62:R63">
    <cfRule type="cellIs" dxfId="125" priority="219" stopIfTrue="1" operator="notEqual">
      <formula>$B62</formula>
    </cfRule>
    <cfRule type="cellIs" priority="220" stopIfTrue="1" operator="notEqual">
      <formula>$B62</formula>
    </cfRule>
  </conditionalFormatting>
  <conditionalFormatting sqref="R55:R61">
    <cfRule type="cellIs" dxfId="124" priority="218" stopIfTrue="1" operator="notEqual">
      <formula>$B55</formula>
    </cfRule>
  </conditionalFormatting>
  <conditionalFormatting sqref="R67">
    <cfRule type="cellIs" dxfId="123" priority="216" stopIfTrue="1" operator="notEqual">
      <formula>$B67</formula>
    </cfRule>
    <cfRule type="cellIs" priority="217" stopIfTrue="1" operator="notEqual">
      <formula>$B67</formula>
    </cfRule>
  </conditionalFormatting>
  <conditionalFormatting sqref="R65:R66">
    <cfRule type="cellIs" dxfId="122" priority="215" stopIfTrue="1" operator="notEqual">
      <formula>$B65</formula>
    </cfRule>
  </conditionalFormatting>
  <conditionalFormatting sqref="R74">
    <cfRule type="cellIs" dxfId="121" priority="213" stopIfTrue="1" operator="notEqual">
      <formula>$B74</formula>
    </cfRule>
    <cfRule type="cellIs" priority="214" stopIfTrue="1" operator="notEqual">
      <formula>$B74</formula>
    </cfRule>
  </conditionalFormatting>
  <conditionalFormatting sqref="R95">
    <cfRule type="cellIs" dxfId="120" priority="211" stopIfTrue="1" operator="notEqual">
      <formula>$B95</formula>
    </cfRule>
    <cfRule type="cellIs" priority="212" stopIfTrue="1" operator="notEqual">
      <formula>$B95</formula>
    </cfRule>
  </conditionalFormatting>
  <conditionalFormatting sqref="R69:R73">
    <cfRule type="cellIs" dxfId="119" priority="210" stopIfTrue="1" operator="notEqual">
      <formula>$B69</formula>
    </cfRule>
  </conditionalFormatting>
  <conditionalFormatting sqref="R76:R77">
    <cfRule type="cellIs" dxfId="118" priority="209" stopIfTrue="1" operator="notEqual">
      <formula>$B76</formula>
    </cfRule>
  </conditionalFormatting>
  <conditionalFormatting sqref="R80:R94">
    <cfRule type="cellIs" dxfId="117" priority="208" stopIfTrue="1" operator="notEqual">
      <formula>$B80</formula>
    </cfRule>
  </conditionalFormatting>
  <conditionalFormatting sqref="R104:R105">
    <cfRule type="cellIs" dxfId="116" priority="206" stopIfTrue="1" operator="notEqual">
      <formula>$B104</formula>
    </cfRule>
    <cfRule type="cellIs" priority="207" stopIfTrue="1" operator="notEqual">
      <formula>$B104</formula>
    </cfRule>
  </conditionalFormatting>
  <conditionalFormatting sqref="R98:R103">
    <cfRule type="cellIs" dxfId="115" priority="205" stopIfTrue="1" operator="notEqual">
      <formula>$B98</formula>
    </cfRule>
  </conditionalFormatting>
  <conditionalFormatting sqref="E105:Q105">
    <cfRule type="cellIs" dxfId="114" priority="204" stopIfTrue="1" operator="notEqual">
      <formula>E$108</formula>
    </cfRule>
  </conditionalFormatting>
  <conditionalFormatting sqref="S13">
    <cfRule type="expression" dxfId="113" priority="201" stopIfTrue="1">
      <formula>(S13+T13)&gt;C13</formula>
    </cfRule>
  </conditionalFormatting>
  <conditionalFormatting sqref="S14">
    <cfRule type="expression" dxfId="112" priority="198" stopIfTrue="1">
      <formula>(S14+T14)&gt;C14</formula>
    </cfRule>
  </conditionalFormatting>
  <conditionalFormatting sqref="S17">
    <cfRule type="expression" dxfId="111" priority="197" stopIfTrue="1">
      <formula>(S17+T17)&gt;C17</formula>
    </cfRule>
  </conditionalFormatting>
  <conditionalFormatting sqref="S18">
    <cfRule type="expression" dxfId="110" priority="189" stopIfTrue="1">
      <formula>(S18+T18)&gt;C18</formula>
    </cfRule>
  </conditionalFormatting>
  <conditionalFormatting sqref="S19">
    <cfRule type="expression" dxfId="109" priority="187" stopIfTrue="1">
      <formula>(S19+T19)&gt;C19</formula>
    </cfRule>
  </conditionalFormatting>
  <conditionalFormatting sqref="S28">
    <cfRule type="expression" dxfId="108" priority="173" stopIfTrue="1">
      <formula>(S28+T28)&gt;C28</formula>
    </cfRule>
  </conditionalFormatting>
  <conditionalFormatting sqref="S29">
    <cfRule type="expression" dxfId="107" priority="171" stopIfTrue="1">
      <formula>(S29+T29)&gt;C29</formula>
    </cfRule>
  </conditionalFormatting>
  <conditionalFormatting sqref="S30">
    <cfRule type="expression" dxfId="106" priority="170" stopIfTrue="1">
      <formula>(S30+T30)&gt;C30</formula>
    </cfRule>
  </conditionalFormatting>
  <conditionalFormatting sqref="S31">
    <cfRule type="expression" dxfId="105" priority="169" stopIfTrue="1">
      <formula>(S31+T31)&gt;C31</formula>
    </cfRule>
  </conditionalFormatting>
  <conditionalFormatting sqref="S32">
    <cfRule type="expression" dxfId="104" priority="168" stopIfTrue="1">
      <formula>(S32+T32)&gt;C32</formula>
    </cfRule>
  </conditionalFormatting>
  <conditionalFormatting sqref="S33">
    <cfRule type="expression" dxfId="103" priority="167" stopIfTrue="1">
      <formula>(S33+T33)&gt;C33</formula>
    </cfRule>
  </conditionalFormatting>
  <conditionalFormatting sqref="S34">
    <cfRule type="expression" dxfId="102" priority="166" stopIfTrue="1">
      <formula>(S34+T34)&gt;C34</formula>
    </cfRule>
  </conditionalFormatting>
  <conditionalFormatting sqref="S35">
    <cfRule type="expression" dxfId="101" priority="165" stopIfTrue="1">
      <formula>(S35+T35)&gt;C35</formula>
    </cfRule>
  </conditionalFormatting>
  <conditionalFormatting sqref="S38">
    <cfRule type="expression" dxfId="100" priority="157" stopIfTrue="1">
      <formula>(S38+T38)&gt;C38</formula>
    </cfRule>
  </conditionalFormatting>
  <conditionalFormatting sqref="S39">
    <cfRule type="expression" dxfId="99" priority="156" stopIfTrue="1">
      <formula>(S39+T39)&gt;C39</formula>
    </cfRule>
  </conditionalFormatting>
  <conditionalFormatting sqref="S41">
    <cfRule type="expression" dxfId="98" priority="153" stopIfTrue="1">
      <formula>(S41+T41)&gt;C41</formula>
    </cfRule>
  </conditionalFormatting>
  <conditionalFormatting sqref="S43">
    <cfRule type="expression" dxfId="97" priority="151" stopIfTrue="1">
      <formula>(S43+T43)&gt;C43</formula>
    </cfRule>
  </conditionalFormatting>
  <conditionalFormatting sqref="S44">
    <cfRule type="expression" dxfId="96" priority="146" stopIfTrue="1">
      <formula>(S44+T44)&gt;C44</formula>
    </cfRule>
  </conditionalFormatting>
  <conditionalFormatting sqref="S45">
    <cfRule type="expression" dxfId="95" priority="145" stopIfTrue="1">
      <formula>(S45+T45)&gt;C45</formula>
    </cfRule>
  </conditionalFormatting>
  <conditionalFormatting sqref="S46">
    <cfRule type="expression" dxfId="94" priority="144" stopIfTrue="1">
      <formula>(S46+T46)&gt;C46</formula>
    </cfRule>
  </conditionalFormatting>
  <conditionalFormatting sqref="S47">
    <cfRule type="expression" dxfId="93" priority="143" stopIfTrue="1">
      <formula>(S47+T47)&gt;C47</formula>
    </cfRule>
  </conditionalFormatting>
  <conditionalFormatting sqref="S48">
    <cfRule type="expression" dxfId="92" priority="142" stopIfTrue="1">
      <formula>(S48+T48)&gt;C48</formula>
    </cfRule>
  </conditionalFormatting>
  <conditionalFormatting sqref="S51">
    <cfRule type="expression" dxfId="91" priority="139" stopIfTrue="1">
      <formula>(S51+T51)&gt;C51</formula>
    </cfRule>
  </conditionalFormatting>
  <conditionalFormatting sqref="S52">
    <cfRule type="expression" dxfId="90" priority="138" stopIfTrue="1">
      <formula>(S52+T52)&gt;C52</formula>
    </cfRule>
  </conditionalFormatting>
  <conditionalFormatting sqref="S65">
    <cfRule type="expression" dxfId="89" priority="128" stopIfTrue="1">
      <formula>(S65+T65)&gt;C65</formula>
    </cfRule>
  </conditionalFormatting>
  <conditionalFormatting sqref="S66">
    <cfRule type="expression" dxfId="88" priority="127" stopIfTrue="1">
      <formula>(S66+T66)&gt;C66</formula>
    </cfRule>
  </conditionalFormatting>
  <conditionalFormatting sqref="S76">
    <cfRule type="expression" dxfId="87" priority="124" stopIfTrue="1">
      <formula>(S76+T76)&gt;C76</formula>
    </cfRule>
  </conditionalFormatting>
  <conditionalFormatting sqref="S77">
    <cfRule type="expression" dxfId="86" priority="123" stopIfTrue="1">
      <formula>(S77+T77)&gt;C77</formula>
    </cfRule>
  </conditionalFormatting>
  <conditionalFormatting sqref="S81">
    <cfRule type="expression" dxfId="85" priority="120" stopIfTrue="1">
      <formula>(S81+T81)&gt;C81</formula>
    </cfRule>
  </conditionalFormatting>
  <conditionalFormatting sqref="S82">
    <cfRule type="expression" dxfId="84" priority="119" stopIfTrue="1">
      <formula>(S82+T82)&gt;C82</formula>
    </cfRule>
  </conditionalFormatting>
  <conditionalFormatting sqref="S83">
    <cfRule type="expression" dxfId="83" priority="118" stopIfTrue="1">
      <formula>(S83+T83)&gt;C83</formula>
    </cfRule>
  </conditionalFormatting>
  <conditionalFormatting sqref="S84">
    <cfRule type="expression" dxfId="82" priority="117" stopIfTrue="1">
      <formula>(S84+T84)&gt;C84</formula>
    </cfRule>
  </conditionalFormatting>
  <conditionalFormatting sqref="S86">
    <cfRule type="expression" dxfId="81" priority="112" stopIfTrue="1">
      <formula>(S86+T86)&gt;C86</formula>
    </cfRule>
  </conditionalFormatting>
  <conditionalFormatting sqref="S87">
    <cfRule type="expression" dxfId="80" priority="111" stopIfTrue="1">
      <formula>(S87+T87)&gt;C87</formula>
    </cfRule>
  </conditionalFormatting>
  <conditionalFormatting sqref="S88">
    <cfRule type="expression" dxfId="79" priority="110" stopIfTrue="1">
      <formula>(S88+T88)&gt;C88</formula>
    </cfRule>
  </conditionalFormatting>
  <conditionalFormatting sqref="S89">
    <cfRule type="expression" dxfId="78" priority="109" stopIfTrue="1">
      <formula>(S89+T89)&gt;C89</formula>
    </cfRule>
  </conditionalFormatting>
  <conditionalFormatting sqref="S90">
    <cfRule type="expression" dxfId="77" priority="108" stopIfTrue="1">
      <formula>(S90+T90)&gt;C90</formula>
    </cfRule>
  </conditionalFormatting>
  <conditionalFormatting sqref="S91">
    <cfRule type="expression" dxfId="76" priority="107" stopIfTrue="1">
      <formula>(S91+T91)&gt;C91</formula>
    </cfRule>
  </conditionalFormatting>
  <conditionalFormatting sqref="S92">
    <cfRule type="expression" dxfId="75" priority="106" stopIfTrue="1">
      <formula>(S92+T92)&gt;C92</formula>
    </cfRule>
  </conditionalFormatting>
  <conditionalFormatting sqref="S93">
    <cfRule type="expression" dxfId="74" priority="105" stopIfTrue="1">
      <formula>(S93+T93)&gt;C93</formula>
    </cfRule>
  </conditionalFormatting>
  <conditionalFormatting sqref="S94">
    <cfRule type="expression" dxfId="73" priority="104" stopIfTrue="1">
      <formula>(S94+T94)&gt;C94</formula>
    </cfRule>
  </conditionalFormatting>
  <conditionalFormatting sqref="S98">
    <cfRule type="expression" dxfId="72" priority="94" stopIfTrue="1">
      <formula>(S98+T98)&gt;C98</formula>
    </cfRule>
  </conditionalFormatting>
  <conditionalFormatting sqref="S99">
    <cfRule type="expression" dxfId="71" priority="93" stopIfTrue="1">
      <formula>(S99+T99)&gt;C99</formula>
    </cfRule>
  </conditionalFormatting>
  <conditionalFormatting sqref="S100">
    <cfRule type="expression" dxfId="70" priority="92" stopIfTrue="1">
      <formula>(S100+T100)&gt;C100</formula>
    </cfRule>
  </conditionalFormatting>
  <conditionalFormatting sqref="S101">
    <cfRule type="expression" dxfId="69" priority="91" stopIfTrue="1">
      <formula>(S101+T101)&gt;C101</formula>
    </cfRule>
  </conditionalFormatting>
  <conditionalFormatting sqref="S102">
    <cfRule type="expression" dxfId="68" priority="90" stopIfTrue="1">
      <formula>(S102+T102)&gt;C102</formula>
    </cfRule>
  </conditionalFormatting>
  <conditionalFormatting sqref="S103">
    <cfRule type="expression" dxfId="67" priority="89" stopIfTrue="1">
      <formula>(S103+T103)&gt;C103</formula>
    </cfRule>
  </conditionalFormatting>
  <conditionalFormatting sqref="C10">
    <cfRule type="expression" dxfId="66" priority="81">
      <formula>"(S10+T10)&gt;C10 "</formula>
    </cfRule>
  </conditionalFormatting>
  <conditionalFormatting sqref="T10">
    <cfRule type="expression" dxfId="65" priority="79" stopIfTrue="1">
      <formula>(S10+T10)&gt;C10</formula>
    </cfRule>
  </conditionalFormatting>
  <conditionalFormatting sqref="T13">
    <cfRule type="expression" dxfId="64" priority="77" stopIfTrue="1">
      <formula>(S13+T13)&gt;C13</formula>
    </cfRule>
  </conditionalFormatting>
  <conditionalFormatting sqref="T14">
    <cfRule type="expression" dxfId="63" priority="76" stopIfTrue="1">
      <formula>(S14+T14)&gt;C14</formula>
    </cfRule>
  </conditionalFormatting>
  <conditionalFormatting sqref="T17">
    <cfRule type="expression" dxfId="62" priority="75" stopIfTrue="1">
      <formula>(S17+T17)&gt;C17</formula>
    </cfRule>
  </conditionalFormatting>
  <conditionalFormatting sqref="T18">
    <cfRule type="expression" dxfId="61" priority="58" stopIfTrue="1">
      <formula>(S18+T18)&gt;C18</formula>
    </cfRule>
  </conditionalFormatting>
  <conditionalFormatting sqref="T19">
    <cfRule type="expression" dxfId="60" priority="57" stopIfTrue="1">
      <formula>(S19+T19)&gt;C19</formula>
    </cfRule>
  </conditionalFormatting>
  <conditionalFormatting sqref="T20">
    <cfRule type="expression" dxfId="59" priority="56" stopIfTrue="1">
      <formula>(S20+T20)&gt;C20</formula>
    </cfRule>
  </conditionalFormatting>
  <conditionalFormatting sqref="T21">
    <cfRule type="expression" dxfId="58" priority="55" stopIfTrue="1">
      <formula>(S21+T21)&gt;C21</formula>
    </cfRule>
  </conditionalFormatting>
  <conditionalFormatting sqref="T22">
    <cfRule type="expression" dxfId="57" priority="54" stopIfTrue="1">
      <formula>(S22+T22)&gt;C22</formula>
    </cfRule>
  </conditionalFormatting>
  <conditionalFormatting sqref="T23">
    <cfRule type="expression" dxfId="56" priority="53" stopIfTrue="1">
      <formula>(S23+T23)&gt;C23</formula>
    </cfRule>
  </conditionalFormatting>
  <conditionalFormatting sqref="T24">
    <cfRule type="expression" dxfId="55" priority="52" stopIfTrue="1">
      <formula>(S24+T24)&gt;C24</formula>
    </cfRule>
  </conditionalFormatting>
  <conditionalFormatting sqref="T26">
    <cfRule type="expression" dxfId="54" priority="50" stopIfTrue="1">
      <formula>(S26+T26)&gt;C26</formula>
    </cfRule>
  </conditionalFormatting>
  <conditionalFormatting sqref="T28">
    <cfRule type="expression" dxfId="53" priority="49" stopIfTrue="1">
      <formula>(S28+T28)&gt;C28</formula>
    </cfRule>
  </conditionalFormatting>
  <conditionalFormatting sqref="T29">
    <cfRule type="expression" dxfId="52" priority="47" stopIfTrue="1">
      <formula>(S29+T29)&gt;C29</formula>
    </cfRule>
  </conditionalFormatting>
  <conditionalFormatting sqref="T30">
    <cfRule type="expression" dxfId="51" priority="46" stopIfTrue="1">
      <formula>(S30+T30)&gt;C30</formula>
    </cfRule>
  </conditionalFormatting>
  <conditionalFormatting sqref="T31">
    <cfRule type="expression" dxfId="50" priority="45" stopIfTrue="1">
      <formula>(S31+T31)&gt;C31</formula>
    </cfRule>
  </conditionalFormatting>
  <conditionalFormatting sqref="T32">
    <cfRule type="expression" dxfId="49" priority="44" stopIfTrue="1">
      <formula>(S32+T32)&gt;C32</formula>
    </cfRule>
  </conditionalFormatting>
  <conditionalFormatting sqref="T33">
    <cfRule type="expression" dxfId="48" priority="43" stopIfTrue="1">
      <formula>(S33+T33)&gt;C33</formula>
    </cfRule>
  </conditionalFormatting>
  <conditionalFormatting sqref="T34">
    <cfRule type="expression" dxfId="47" priority="42" stopIfTrue="1">
      <formula>(S34+T34)&gt;C34</formula>
    </cfRule>
  </conditionalFormatting>
  <conditionalFormatting sqref="T35">
    <cfRule type="expression" dxfId="46" priority="41" stopIfTrue="1">
      <formula>(S35+T35)&gt;C35</formula>
    </cfRule>
  </conditionalFormatting>
  <conditionalFormatting sqref="T38">
    <cfRule type="expression" dxfId="45" priority="40" stopIfTrue="1">
      <formula>(S38+T38)&gt;C38</formula>
    </cfRule>
  </conditionalFormatting>
  <conditionalFormatting sqref="T39">
    <cfRule type="expression" dxfId="44" priority="39" stopIfTrue="1">
      <formula>(S39+T39)&gt;C39</formula>
    </cfRule>
  </conditionalFormatting>
  <conditionalFormatting sqref="T41">
    <cfRule type="expression" dxfId="43" priority="38" stopIfTrue="1">
      <formula>(S41+T41)&gt;C41</formula>
    </cfRule>
  </conditionalFormatting>
  <conditionalFormatting sqref="T43">
    <cfRule type="expression" dxfId="42" priority="37" stopIfTrue="1">
      <formula>(S43+T43)&gt;C43</formula>
    </cfRule>
  </conditionalFormatting>
  <conditionalFormatting sqref="T44">
    <cfRule type="expression" dxfId="41" priority="36" stopIfTrue="1">
      <formula>(S44+T44)&gt;C44</formula>
    </cfRule>
  </conditionalFormatting>
  <conditionalFormatting sqref="T45">
    <cfRule type="expression" dxfId="40" priority="35" stopIfTrue="1">
      <formula>(S45+T45)&gt;C45</formula>
    </cfRule>
  </conditionalFormatting>
  <conditionalFormatting sqref="T46">
    <cfRule type="expression" dxfId="39" priority="34" stopIfTrue="1">
      <formula>(S46+T46)&gt;C46</formula>
    </cfRule>
  </conditionalFormatting>
  <conditionalFormatting sqref="T47">
    <cfRule type="expression" dxfId="38" priority="33" stopIfTrue="1">
      <formula>(S47+T47)&gt;C47</formula>
    </cfRule>
  </conditionalFormatting>
  <conditionalFormatting sqref="T48">
    <cfRule type="expression" dxfId="37" priority="32" stopIfTrue="1">
      <formula>(S48+T48)&gt;C48</formula>
    </cfRule>
  </conditionalFormatting>
  <conditionalFormatting sqref="T49">
    <cfRule type="expression" dxfId="36" priority="31" stopIfTrue="1">
      <formula>(S49+T49)&gt;C49</formula>
    </cfRule>
  </conditionalFormatting>
  <conditionalFormatting sqref="T50">
    <cfRule type="expression" dxfId="35" priority="30" stopIfTrue="1">
      <formula>(S50+T50)&gt;C50</formula>
    </cfRule>
  </conditionalFormatting>
  <conditionalFormatting sqref="T51">
    <cfRule type="expression" dxfId="34" priority="29" stopIfTrue="1">
      <formula>(S51+T51)&gt;C51</formula>
    </cfRule>
  </conditionalFormatting>
  <conditionalFormatting sqref="T52">
    <cfRule type="expression" dxfId="33" priority="28" stopIfTrue="1">
      <formula>(S52+T52)&gt;C52</formula>
    </cfRule>
  </conditionalFormatting>
  <conditionalFormatting sqref="T65">
    <cfRule type="expression" dxfId="32" priority="27" stopIfTrue="1">
      <formula>(S65+T65)&gt;C65</formula>
    </cfRule>
  </conditionalFormatting>
  <conditionalFormatting sqref="T66">
    <cfRule type="expression" dxfId="31" priority="26" stopIfTrue="1">
      <formula>(S66+T66)&gt;C66</formula>
    </cfRule>
  </conditionalFormatting>
  <conditionalFormatting sqref="T76">
    <cfRule type="expression" dxfId="30" priority="25" stopIfTrue="1">
      <formula>(S76+T76)&gt;C76</formula>
    </cfRule>
  </conditionalFormatting>
  <conditionalFormatting sqref="T77">
    <cfRule type="expression" dxfId="29" priority="24" stopIfTrue="1">
      <formula>(S77+T77)&gt;C77</formula>
    </cfRule>
  </conditionalFormatting>
  <conditionalFormatting sqref="T81">
    <cfRule type="expression" dxfId="28" priority="23" stopIfTrue="1">
      <formula>(S81+T81)&gt;C81</formula>
    </cfRule>
  </conditionalFormatting>
  <conditionalFormatting sqref="T82">
    <cfRule type="expression" dxfId="27" priority="22" stopIfTrue="1">
      <formula>(S82+T82)&gt;C82</formula>
    </cfRule>
  </conditionalFormatting>
  <conditionalFormatting sqref="T83">
    <cfRule type="expression" dxfId="26" priority="21" stopIfTrue="1">
      <formula>(S83+T83)&gt;C83</formula>
    </cfRule>
  </conditionalFormatting>
  <conditionalFormatting sqref="T84">
    <cfRule type="expression" dxfId="25" priority="20" stopIfTrue="1">
      <formula>(S84+T84)&gt;C84</formula>
    </cfRule>
  </conditionalFormatting>
  <conditionalFormatting sqref="T86">
    <cfRule type="expression" dxfId="24" priority="19" stopIfTrue="1">
      <formula>(S86+T86)&gt;C86</formula>
    </cfRule>
  </conditionalFormatting>
  <conditionalFormatting sqref="T87">
    <cfRule type="expression" dxfId="23" priority="18" stopIfTrue="1">
      <formula>(S87+T87)&gt;C87</formula>
    </cfRule>
  </conditionalFormatting>
  <conditionalFormatting sqref="T88">
    <cfRule type="expression" dxfId="22" priority="17" stopIfTrue="1">
      <formula>(S88+T88)&gt;C88</formula>
    </cfRule>
  </conditionalFormatting>
  <conditionalFormatting sqref="T89">
    <cfRule type="expression" dxfId="21" priority="16" stopIfTrue="1">
      <formula>(S89+T89)&gt;C89</formula>
    </cfRule>
  </conditionalFormatting>
  <conditionalFormatting sqref="T90">
    <cfRule type="expression" dxfId="20" priority="15" stopIfTrue="1">
      <formula>(S90+T90)&gt;C90</formula>
    </cfRule>
  </conditionalFormatting>
  <conditionalFormatting sqref="T91">
    <cfRule type="expression" dxfId="19" priority="14" stopIfTrue="1">
      <formula>(S91+T91)&gt;C91</formula>
    </cfRule>
  </conditionalFormatting>
  <conditionalFormatting sqref="T92">
    <cfRule type="expression" dxfId="18" priority="13" stopIfTrue="1">
      <formula>(S92+T92)&gt;C92</formula>
    </cfRule>
  </conditionalFormatting>
  <conditionalFormatting sqref="T93">
    <cfRule type="expression" dxfId="17" priority="12" stopIfTrue="1">
      <formula>(S93+T93)&gt;C93</formula>
    </cfRule>
  </conditionalFormatting>
  <conditionalFormatting sqref="T94">
    <cfRule type="expression" dxfId="16" priority="11" stopIfTrue="1">
      <formula>(S94+T94)&gt;C94</formula>
    </cfRule>
  </conditionalFormatting>
  <conditionalFormatting sqref="T98">
    <cfRule type="expression" dxfId="15" priority="10" stopIfTrue="1">
      <formula>(S98+T98)&gt;C98</formula>
    </cfRule>
  </conditionalFormatting>
  <conditionalFormatting sqref="T99">
    <cfRule type="expression" dxfId="14" priority="9" stopIfTrue="1">
      <formula>(S99+T99)&gt;C99</formula>
    </cfRule>
  </conditionalFormatting>
  <conditionalFormatting sqref="T100">
    <cfRule type="expression" dxfId="13" priority="8" stopIfTrue="1">
      <formula>(S100+T100)&gt;C100</formula>
    </cfRule>
  </conditionalFormatting>
  <conditionalFormatting sqref="T101">
    <cfRule type="expression" dxfId="12" priority="7" stopIfTrue="1">
      <formula>(S101+T101)&gt;C101</formula>
    </cfRule>
  </conditionalFormatting>
  <conditionalFormatting sqref="T102">
    <cfRule type="expression" dxfId="11" priority="6" stopIfTrue="1">
      <formula>(S102+T102)&gt;C102</formula>
    </cfRule>
  </conditionalFormatting>
  <conditionalFormatting sqref="T103">
    <cfRule type="expression" dxfId="10" priority="5" stopIfTrue="1">
      <formula>(S103+T103)&gt;C103</formula>
    </cfRule>
  </conditionalFormatting>
  <conditionalFormatting sqref="S20:S24">
    <cfRule type="expression" dxfId="9" priority="4" stopIfTrue="1">
      <formula>(S20+T20)&gt;C20</formula>
    </cfRule>
  </conditionalFormatting>
  <conditionalFormatting sqref="S26">
    <cfRule type="expression" dxfId="8" priority="3" stopIfTrue="1">
      <formula>(S26+T26)&gt;C26</formula>
    </cfRule>
  </conditionalFormatting>
  <conditionalFormatting sqref="S49">
    <cfRule type="expression" dxfId="7" priority="2" stopIfTrue="1">
      <formula>(S49+T49)&gt;C49</formula>
    </cfRule>
  </conditionalFormatting>
  <conditionalFormatting sqref="S50">
    <cfRule type="expression" dxfId="6" priority="1" stopIfTrue="1">
      <formula>(S50+T50)&gt;C50</formula>
    </cfRule>
  </conditionalFormatting>
  <printOptions horizontalCentered="1"/>
  <pageMargins left="0.25" right="0.25" top="0.5" bottom="0.5" header="0.25" footer="0.25"/>
  <pageSetup paperSize="5" scale="57" firstPageNumber="26" fitToHeight="2" orientation="landscape" useFirstPageNumber="1" r:id="rId1"/>
  <headerFooter alignWithMargins="0">
    <oddFooter>&amp;C&amp;P&amp;R&amp;A</oddFooter>
  </headerFooter>
  <rowBreaks count="1" manualBreakCount="1">
    <brk id="67"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SheetLayoutView="100" workbookViewId="0">
      <selection activeCell="B2" sqref="B2"/>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459000</v>
      </c>
      <c r="C4" s="590"/>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643</v>
      </c>
      <c r="B8" s="589">
        <f>'Sources and Uses Budget'!C8</f>
        <v>459000</v>
      </c>
      <c r="C8" s="589">
        <f>SUM(C4:C7)</f>
        <v>0</v>
      </c>
      <c r="D8" s="589">
        <f>SUM(D4:D7)</f>
        <v>0</v>
      </c>
      <c r="E8" s="591"/>
      <c r="F8" s="591"/>
      <c r="G8" s="591"/>
      <c r="H8" s="591"/>
      <c r="I8" s="591"/>
      <c r="J8" s="591"/>
      <c r="K8" s="587"/>
    </row>
    <row r="9" spans="1:11" s="588" customFormat="1" ht="11.4">
      <c r="A9" s="592" t="s">
        <v>644</v>
      </c>
      <c r="B9" s="589">
        <f>'Sources and Uses Budget'!C9</f>
        <v>16141000</v>
      </c>
      <c r="C9" s="590"/>
      <c r="D9" s="590"/>
      <c r="E9" s="591"/>
      <c r="F9" s="591"/>
      <c r="G9" s="591"/>
      <c r="H9" s="589">
        <f>'Sources and Uses Budget'!T9</f>
        <v>16141000</v>
      </c>
      <c r="I9" s="590"/>
      <c r="J9" s="590"/>
      <c r="K9" s="587"/>
    </row>
    <row r="10" spans="1:11" s="588" customFormat="1" ht="11.4">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16141000</v>
      </c>
      <c r="C11" s="589">
        <f>SUM(C9:C10)</f>
        <v>0</v>
      </c>
      <c r="D11" s="589">
        <f>SUM(D9:D10)</f>
        <v>0</v>
      </c>
      <c r="E11" s="591"/>
      <c r="F11" s="591"/>
      <c r="G11" s="591"/>
      <c r="H11" s="589">
        <f>'Sources and Uses Budget'!T11</f>
        <v>16141000</v>
      </c>
      <c r="I11" s="589">
        <f>SUM(I9:I10)</f>
        <v>0</v>
      </c>
      <c r="J11" s="589">
        <f>SUM(J9:J10)</f>
        <v>0</v>
      </c>
      <c r="K11" s="587"/>
    </row>
    <row r="12" spans="1:11" s="588" customFormat="1">
      <c r="A12" s="593" t="s">
        <v>91</v>
      </c>
      <c r="B12" s="589">
        <f>'Sources and Uses Budget'!C12</f>
        <v>16600000</v>
      </c>
      <c r="C12" s="589">
        <f>SUM(C8+C11)</f>
        <v>0</v>
      </c>
      <c r="D12" s="589">
        <f>SUM(D8+D11)</f>
        <v>0</v>
      </c>
      <c r="E12" s="591"/>
      <c r="F12" s="591"/>
      <c r="G12" s="591"/>
      <c r="H12" s="591"/>
      <c r="I12" s="591"/>
      <c r="J12" s="591"/>
      <c r="K12" s="587"/>
    </row>
    <row r="13" spans="1:11" s="588" customFormat="1" ht="11.4">
      <c r="A13" s="594" t="s">
        <v>1000</v>
      </c>
      <c r="B13" s="589">
        <f>'Sources and Uses Budget'!C13</f>
        <v>635594</v>
      </c>
      <c r="C13" s="590"/>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647</v>
      </c>
      <c r="B16" s="586"/>
      <c r="C16" s="586"/>
      <c r="D16" s="586"/>
      <c r="E16" s="586"/>
      <c r="F16" s="586"/>
      <c r="G16" s="586"/>
      <c r="H16" s="586"/>
      <c r="I16" s="586"/>
      <c r="J16" s="586"/>
      <c r="K16" s="587"/>
    </row>
    <row r="17" spans="1:11" s="588" customFormat="1" ht="11.4">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649</v>
      </c>
      <c r="B18" s="589">
        <f>'Sources and Uses Budget'!C18</f>
        <v>13544002</v>
      </c>
      <c r="C18" s="590"/>
      <c r="D18" s="590"/>
      <c r="E18" s="589">
        <f>'Sources and Uses Budget'!S18</f>
        <v>13544002</v>
      </c>
      <c r="F18" s="590"/>
      <c r="G18" s="590"/>
      <c r="H18" s="589">
        <f>'Sources and Uses Budget'!T18</f>
        <v>0</v>
      </c>
      <c r="I18" s="590"/>
      <c r="J18" s="590"/>
      <c r="K18" s="587"/>
    </row>
    <row r="19" spans="1:11" s="588" customFormat="1" ht="11.4">
      <c r="A19" s="592" t="s">
        <v>650</v>
      </c>
      <c r="B19" s="589">
        <f>'Sources and Uses Budget'!C19</f>
        <v>999329</v>
      </c>
      <c r="C19" s="590"/>
      <c r="D19" s="590"/>
      <c r="E19" s="589">
        <f>'Sources and Uses Budget'!S19</f>
        <v>999329</v>
      </c>
      <c r="F19" s="590"/>
      <c r="G19" s="590"/>
      <c r="H19" s="589">
        <f>'Sources and Uses Budget'!T19</f>
        <v>0</v>
      </c>
      <c r="I19" s="590"/>
      <c r="J19" s="590"/>
      <c r="K19" s="587"/>
    </row>
    <row r="20" spans="1:11" s="588" customFormat="1" ht="11.4">
      <c r="A20" s="592" t="s">
        <v>144</v>
      </c>
      <c r="B20" s="589">
        <f>'Sources and Uses Budget'!C20</f>
        <v>880856</v>
      </c>
      <c r="C20" s="590"/>
      <c r="D20" s="590"/>
      <c r="E20" s="589">
        <f>'Sources and Uses Budget'!S20</f>
        <v>880856</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332009</v>
      </c>
      <c r="C23" s="590"/>
      <c r="D23" s="590"/>
      <c r="E23" s="589">
        <f>'Sources and Uses Budget'!S23</f>
        <v>332009</v>
      </c>
      <c r="F23" s="590"/>
      <c r="G23" s="590"/>
      <c r="H23" s="589">
        <f>'Sources and Uses Budget'!T23</f>
        <v>0</v>
      </c>
      <c r="I23" s="590"/>
      <c r="J23" s="590"/>
      <c r="K23" s="587"/>
    </row>
    <row r="24" spans="1:11" s="588" customFormat="1" ht="11.4">
      <c r="A24" s="595" t="str">
        <f>'Sources and Uses Budget'!$A24</f>
        <v>Other: Environmental Remediation</v>
      </c>
      <c r="B24" s="589">
        <f>'Sources and Uses Budget'!C24</f>
        <v>50000</v>
      </c>
      <c r="C24" s="590"/>
      <c r="D24" s="590"/>
      <c r="E24" s="589">
        <f>'Sources and Uses Budget'!S24</f>
        <v>50000</v>
      </c>
      <c r="F24" s="590"/>
      <c r="G24" s="590"/>
      <c r="H24" s="589">
        <f>'Sources and Uses Budget'!T24</f>
        <v>0</v>
      </c>
      <c r="I24" s="590"/>
      <c r="J24" s="590"/>
      <c r="K24" s="587"/>
    </row>
    <row r="25" spans="1:11" s="588" customFormat="1">
      <c r="A25" s="593" t="s">
        <v>140</v>
      </c>
      <c r="B25" s="589">
        <f>'Sources and Uses Budget'!C25</f>
        <v>15806196</v>
      </c>
      <c r="C25" s="589">
        <f>SUM(C17:C24)</f>
        <v>0</v>
      </c>
      <c r="D25" s="589">
        <f>SUM(D17:D24)</f>
        <v>0</v>
      </c>
      <c r="E25" s="589">
        <f>'Sources and Uses Budget'!S25</f>
        <v>15806196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1385640</v>
      </c>
      <c r="C26" s="590"/>
      <c r="D26" s="590"/>
      <c r="E26" s="589">
        <f>'Sources and Uses Budget'!S26</f>
        <v>1385640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1301176</v>
      </c>
      <c r="C38" s="590"/>
      <c r="D38" s="590"/>
      <c r="E38" s="589">
        <f>'Sources and Uses Budget'!S38</f>
        <v>1301176</v>
      </c>
      <c r="F38" s="590"/>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1301176</v>
      </c>
      <c r="C40" s="589">
        <f>SUM(C37:C39)</f>
        <v>0</v>
      </c>
      <c r="D40" s="589">
        <f>SUM(D37:D39)</f>
        <v>0</v>
      </c>
      <c r="E40" s="589">
        <f>'Sources and Uses Budget'!S40</f>
        <v>1301176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120954</v>
      </c>
      <c r="C41" s="590"/>
      <c r="D41" s="590"/>
      <c r="E41" s="589">
        <f>'Sources and Uses Budget'!S41</f>
        <v>120954</v>
      </c>
      <c r="F41" s="590"/>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1439763</v>
      </c>
      <c r="C43" s="590"/>
      <c r="D43" s="590"/>
      <c r="E43" s="589">
        <f>'Sources and Uses Budget'!S43</f>
        <v>775895</v>
      </c>
      <c r="F43" s="590"/>
      <c r="G43" s="590"/>
      <c r="H43" s="589">
        <f>'Sources and Uses Budget'!T43</f>
        <v>0</v>
      </c>
      <c r="I43" s="590"/>
      <c r="J43" s="590"/>
      <c r="K43" s="587"/>
    </row>
    <row r="44" spans="1:11" s="588" customFormat="1" ht="11.4">
      <c r="A44" s="592" t="s">
        <v>158</v>
      </c>
      <c r="B44" s="589">
        <f>'Sources and Uses Budget'!C44</f>
        <v>333638</v>
      </c>
      <c r="C44" s="590"/>
      <c r="D44" s="590"/>
      <c r="E44" s="589">
        <f>'Sources and Uses Budget'!S44</f>
        <v>179799</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235275</v>
      </c>
      <c r="C46" s="590"/>
      <c r="D46" s="590"/>
      <c r="E46" s="589">
        <f>'Sources and Uses Budget'!S46</f>
        <v>235275</v>
      </c>
      <c r="F46" s="590"/>
      <c r="G46" s="590"/>
      <c r="H46" s="589">
        <f>'Sources and Uses Budget'!T46</f>
        <v>0</v>
      </c>
      <c r="I46" s="590"/>
      <c r="J46" s="590"/>
      <c r="K46" s="587"/>
    </row>
    <row r="47" spans="1:11" s="588" customFormat="1" ht="11.4">
      <c r="A47" s="457" t="s">
        <v>62</v>
      </c>
      <c r="B47" s="589">
        <f>'Sources and Uses Budget'!C47</f>
        <v>295501</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ht="11.4">
      <c r="A49" s="592" t="s">
        <v>161</v>
      </c>
      <c r="B49" s="589">
        <f>'Sources and Uses Budget'!C49</f>
        <v>155640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250000</v>
      </c>
      <c r="C50" s="590"/>
      <c r="D50" s="590"/>
      <c r="E50" s="589">
        <f>'Sources and Uses Budget'!S50</f>
        <v>250000</v>
      </c>
      <c r="F50" s="590"/>
      <c r="G50" s="590"/>
      <c r="H50" s="589">
        <f>'Sources and Uses Budget'!T50</f>
        <v>0</v>
      </c>
      <c r="I50" s="590"/>
      <c r="J50" s="590"/>
      <c r="K50" s="587"/>
    </row>
    <row r="51" spans="1:11" s="588" customFormat="1" ht="11.4">
      <c r="A51" s="595" t="str">
        <f>'Sources and Uses Budget'!$A60</f>
        <v>Other:  Perm Lender Expenses</v>
      </c>
      <c r="B51" s="589">
        <f>'Sources and Uses Budget'!C51</f>
        <v>31580</v>
      </c>
      <c r="C51" s="590"/>
      <c r="D51" s="590"/>
      <c r="E51" s="589">
        <f>'Sources and Uses Budget'!S51</f>
        <v>31580</v>
      </c>
      <c r="F51" s="590"/>
      <c r="G51" s="590"/>
      <c r="H51" s="589">
        <f>'Sources and Uses Budget'!T51</f>
        <v>0</v>
      </c>
      <c r="I51" s="590"/>
      <c r="J51" s="590"/>
      <c r="K51" s="587"/>
    </row>
    <row r="52" spans="1:11" s="588" customFormat="1" ht="11.4">
      <c r="A52" s="595" t="str">
        <f>'Sources and Uses Budget'!$A61</f>
        <v>Other: (Specify)</v>
      </c>
      <c r="B52" s="589">
        <f>'Sources and Uses Budget'!C52</f>
        <v>421351</v>
      </c>
      <c r="C52" s="590"/>
      <c r="D52" s="590"/>
      <c r="E52" s="589">
        <f>'Sources and Uses Budget'!S52</f>
        <v>104753</v>
      </c>
      <c r="F52" s="590"/>
      <c r="G52" s="590"/>
      <c r="H52" s="589">
        <f>'Sources and Uses Budget'!T52</f>
        <v>0</v>
      </c>
      <c r="I52" s="590"/>
      <c r="J52" s="590"/>
      <c r="K52" s="587"/>
    </row>
    <row r="53" spans="1:11" s="599" customFormat="1">
      <c r="A53" s="593" t="s">
        <v>164</v>
      </c>
      <c r="B53" s="589">
        <f>'Sources and Uses Budget'!C53</f>
        <v>3182748</v>
      </c>
      <c r="C53" s="596">
        <f>SUM(C43:C52)</f>
        <v>0</v>
      </c>
      <c r="D53" s="596">
        <f>SUM(D43:D52)</f>
        <v>0</v>
      </c>
      <c r="E53" s="589">
        <f>'Sources and Uses Budget'!S53</f>
        <v>1597302</v>
      </c>
      <c r="F53" s="596">
        <f>SUM(F43:F52)</f>
        <v>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30000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15000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Perm Lender Expenses</v>
      </c>
      <c r="B60" s="589">
        <f>'Sources and Uses Budget'!C60</f>
        <v>40000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85000</v>
      </c>
      <c r="C62" s="589">
        <f>SUM(C55:C61)</f>
        <v>0</v>
      </c>
      <c r="D62" s="589">
        <f>SUM(D55:D61)</f>
        <v>0</v>
      </c>
      <c r="E62" s="591"/>
      <c r="F62" s="591"/>
      <c r="G62" s="591"/>
      <c r="H62" s="591"/>
      <c r="I62" s="591"/>
      <c r="J62" s="591"/>
      <c r="K62" s="587"/>
    </row>
    <row r="63" spans="1:11" s="588" customFormat="1" ht="11.4">
      <c r="A63" s="600" t="s">
        <v>321</v>
      </c>
      <c r="B63" s="589">
        <f>'Sources and Uses Budget'!C63</f>
        <v>39117308</v>
      </c>
      <c r="C63" s="589">
        <f>SUM(C8+C11+C13+C14+C15+C25+C26+C36+C40+C41+C53+C62)</f>
        <v>0</v>
      </c>
      <c r="D63" s="589">
        <f>SUM(D8+D11+D13+D14+D15+D25+D26+D36+D40+D41+D53+D62)</f>
        <v>0</v>
      </c>
      <c r="E63" s="589">
        <f>'Sources and Uses Budget'!S63</f>
        <v>20211268</v>
      </c>
      <c r="F63" s="589">
        <f>SUM(F10+F13+F14+F15+F25+F26+F36+F40+F41+F53)</f>
        <v>0</v>
      </c>
      <c r="G63" s="589">
        <f>SUM(G10+G13+G14+G15+G25+G26+G36+G40+G41+G53)</f>
        <v>0</v>
      </c>
      <c r="H63" s="589">
        <f>'Sources and Uses Budget'!T63</f>
        <v>16141000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85000</v>
      </c>
      <c r="C65" s="590"/>
      <c r="D65" s="590"/>
      <c r="E65" s="589">
        <f>'Sources and Uses Budget'!S65</f>
        <v>35029</v>
      </c>
      <c r="F65" s="590"/>
      <c r="G65" s="590"/>
      <c r="H65" s="589">
        <f>'Sources and Uses Budget'!T65</f>
        <v>0</v>
      </c>
      <c r="I65" s="590"/>
      <c r="J65" s="590"/>
      <c r="K65" s="587"/>
    </row>
    <row r="66" spans="1:11" s="588" customFormat="1" ht="11.4">
      <c r="A66" s="595" t="str">
        <f>'Sources and Uses Budget'!$A73</f>
        <v>Other: Transition Reserve</v>
      </c>
      <c r="B66" s="589">
        <f>'Sources and Uses Budget'!C66</f>
        <v>151268</v>
      </c>
      <c r="C66" s="590"/>
      <c r="D66" s="590"/>
      <c r="E66" s="589">
        <f>'Sources and Uses Budget'!S66</f>
        <v>30000</v>
      </c>
      <c r="F66" s="590"/>
      <c r="G66" s="590"/>
      <c r="H66" s="589">
        <f>'Sources and Uses Budget'!T66</f>
        <v>0</v>
      </c>
      <c r="I66" s="590"/>
      <c r="J66" s="590"/>
      <c r="K66" s="587"/>
    </row>
    <row r="67" spans="1:11" s="588" customFormat="1">
      <c r="A67" s="593" t="s">
        <v>651</v>
      </c>
      <c r="B67" s="589">
        <f>'Sources and Uses Budget'!C67</f>
        <v>236268</v>
      </c>
      <c r="C67" s="589">
        <f>SUM(C64:C66)</f>
        <v>0</v>
      </c>
      <c r="D67" s="589">
        <f>SUM(D64:D66)</f>
        <v>0</v>
      </c>
      <c r="E67" s="589">
        <f>'Sources and Uses Budget'!S67</f>
        <v>65029</v>
      </c>
      <c r="F67" s="596">
        <f>SUM(F65:F66)</f>
        <v>0</v>
      </c>
      <c r="G67" s="596">
        <f>SUM(G65:G66)</f>
        <v>0</v>
      </c>
      <c r="H67" s="589">
        <f>'Sources and Uses Budget'!T67</f>
        <v>0</v>
      </c>
      <c r="I67" s="596">
        <f>SUM(I65:I66)</f>
        <v>0</v>
      </c>
      <c r="J67" s="596">
        <f>SUM(J65:J66)</f>
        <v>0</v>
      </c>
      <c r="K67" s="587"/>
    </row>
    <row r="68" spans="1:11" s="588" customFormat="1" ht="11.4">
      <c r="A68" s="585" t="s">
        <v>652</v>
      </c>
      <c r="B68" s="586"/>
      <c r="C68" s="586"/>
      <c r="D68" s="586"/>
      <c r="E68" s="586"/>
      <c r="F68" s="586"/>
      <c r="G68" s="586"/>
      <c r="H68" s="586"/>
      <c r="I68" s="586"/>
      <c r="J68" s="586"/>
      <c r="K68" s="587"/>
    </row>
    <row r="69" spans="1:11" s="588" customFormat="1" ht="11.4">
      <c r="A69" s="592" t="s">
        <v>653</v>
      </c>
      <c r="B69" s="589">
        <f>'Sources and Uses Budget'!C69</f>
        <v>0</v>
      </c>
      <c r="C69" s="590"/>
      <c r="D69" s="590"/>
      <c r="E69" s="591"/>
      <c r="F69" s="591"/>
      <c r="G69" s="591"/>
      <c r="H69" s="591"/>
      <c r="I69" s="591"/>
      <c r="J69" s="591"/>
      <c r="K69" s="587"/>
    </row>
    <row r="70" spans="1:11" s="588" customFormat="1" ht="11.4">
      <c r="A70" s="592" t="s">
        <v>654</v>
      </c>
      <c r="B70" s="589">
        <f>'Sources and Uses Budget'!C70</f>
        <v>0</v>
      </c>
      <c r="C70" s="590"/>
      <c r="D70" s="590"/>
      <c r="E70" s="591"/>
      <c r="F70" s="591"/>
      <c r="G70" s="591"/>
      <c r="H70" s="591"/>
      <c r="I70" s="591"/>
      <c r="J70" s="591"/>
      <c r="K70" s="587"/>
    </row>
    <row r="71" spans="1:11" s="588" customFormat="1" ht="11.4">
      <c r="A71" s="763" t="s">
        <v>1123</v>
      </c>
      <c r="B71" s="589">
        <f>'Sources and Uses Budget'!C71</f>
        <v>158000</v>
      </c>
      <c r="C71" s="590"/>
      <c r="D71" s="590"/>
      <c r="E71" s="591"/>
      <c r="F71" s="591"/>
      <c r="G71" s="591"/>
      <c r="H71" s="591"/>
      <c r="I71" s="591"/>
      <c r="J71" s="591"/>
      <c r="K71" s="587"/>
    </row>
    <row r="72" spans="1:11" s="588" customFormat="1" ht="11.4">
      <c r="A72" s="592" t="s">
        <v>655</v>
      </c>
      <c r="B72" s="589">
        <f>'Sources and Uses Budget'!C72</f>
        <v>354241</v>
      </c>
      <c r="C72" s="590"/>
      <c r="D72" s="590"/>
      <c r="E72" s="591"/>
      <c r="F72" s="591"/>
      <c r="G72" s="591"/>
      <c r="H72" s="591"/>
      <c r="I72" s="591"/>
      <c r="J72" s="591"/>
      <c r="K72" s="587"/>
    </row>
    <row r="73" spans="1:11" s="588" customFormat="1" ht="11.4">
      <c r="A73" s="595" t="str">
        <f>'Sources and Uses Budget'!$A73</f>
        <v>Other: Transition Reserve</v>
      </c>
      <c r="B73" s="589">
        <f>'Sources and Uses Budget'!C73</f>
        <v>1668784</v>
      </c>
      <c r="C73" s="590"/>
      <c r="D73" s="590"/>
      <c r="E73" s="591"/>
      <c r="F73" s="591"/>
      <c r="G73" s="591"/>
      <c r="H73" s="591"/>
      <c r="I73" s="591"/>
      <c r="J73" s="591"/>
      <c r="K73" s="587"/>
    </row>
    <row r="74" spans="1:11" s="588" customFormat="1">
      <c r="A74" s="593" t="s">
        <v>656</v>
      </c>
      <c r="B74" s="589">
        <f>'Sources and Uses Budget'!C74</f>
        <v>2181025</v>
      </c>
      <c r="C74" s="589">
        <f>SUM(C69:C73)</f>
        <v>0</v>
      </c>
      <c r="D74" s="589">
        <f>SUM(D69:D73)</f>
        <v>0</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4299367</v>
      </c>
      <c r="C76" s="590"/>
      <c r="D76" s="590"/>
      <c r="E76" s="589">
        <f>'Sources and Uses Budget'!S76</f>
        <v>4299367</v>
      </c>
      <c r="F76" s="590"/>
      <c r="G76" s="590"/>
      <c r="H76" s="589">
        <f>'Sources and Uses Budget'!T76</f>
        <v>0</v>
      </c>
      <c r="I76" s="590"/>
      <c r="J76" s="590"/>
      <c r="K76" s="587"/>
    </row>
    <row r="77" spans="1:11" s="588" customFormat="1" ht="11.4">
      <c r="A77" s="592" t="s">
        <v>63</v>
      </c>
      <c r="B77" s="589">
        <f>'Sources and Uses Budget'!C77</f>
        <v>370058</v>
      </c>
      <c r="C77" s="590"/>
      <c r="D77" s="590"/>
      <c r="E77" s="589">
        <f>'Sources and Uses Budget'!S77</f>
        <v>370058</v>
      </c>
      <c r="F77" s="590"/>
      <c r="G77" s="590"/>
      <c r="H77" s="589">
        <f>'Sources and Uses Budget'!T77</f>
        <v>0</v>
      </c>
      <c r="I77" s="590"/>
      <c r="J77" s="590"/>
      <c r="K77" s="587"/>
    </row>
    <row r="78" spans="1:11" s="588" customFormat="1">
      <c r="A78" s="593" t="s">
        <v>1468</v>
      </c>
      <c r="B78" s="589">
        <f>'Sources and Uses Budget'!C78</f>
        <v>4669425</v>
      </c>
      <c r="C78" s="589">
        <f>SUM(C76:C77)</f>
        <v>0</v>
      </c>
      <c r="D78" s="589">
        <f>SUM(D76:D77)</f>
        <v>0</v>
      </c>
      <c r="E78" s="589">
        <f>'Sources and Uses Budget'!S78</f>
        <v>4669425</v>
      </c>
      <c r="F78" s="589">
        <f>SUM(F76:F77)</f>
        <v>0</v>
      </c>
      <c r="G78" s="589">
        <f>SUM(G76:G77)</f>
        <v>0</v>
      </c>
      <c r="H78" s="589">
        <f>'Sources and Uses Budget'!T78</f>
        <v>0</v>
      </c>
      <c r="I78" s="589">
        <f>SUM(I76:I77)</f>
        <v>0</v>
      </c>
      <c r="J78" s="589">
        <f>SUM(J76:J77)</f>
        <v>0</v>
      </c>
      <c r="K78" s="587"/>
    </row>
    <row r="79" spans="1:11" s="588" customFormat="1" ht="11.4">
      <c r="A79" s="585" t="s">
        <v>843</v>
      </c>
      <c r="B79" s="586"/>
      <c r="C79" s="586"/>
      <c r="D79" s="586"/>
      <c r="E79" s="586"/>
      <c r="F79" s="586"/>
      <c r="G79" s="586"/>
      <c r="H79" s="586"/>
      <c r="I79" s="586"/>
      <c r="J79" s="586"/>
      <c r="K79" s="587"/>
    </row>
    <row r="80" spans="1:11" s="588" customFormat="1" ht="13.65" customHeight="1">
      <c r="A80" s="223" t="s">
        <v>844</v>
      </c>
      <c r="B80" s="589">
        <f>'Sources and Uses Budget'!C80</f>
        <v>44265</v>
      </c>
      <c r="C80" s="590"/>
      <c r="D80" s="590"/>
      <c r="E80" s="591"/>
      <c r="F80" s="591"/>
      <c r="G80" s="591"/>
      <c r="H80" s="591"/>
      <c r="I80" s="591"/>
      <c r="J80" s="591"/>
      <c r="K80" s="587"/>
    </row>
    <row r="81" spans="1:11" s="588" customFormat="1" ht="11.4">
      <c r="A81" s="223" t="s">
        <v>845</v>
      </c>
      <c r="B81" s="589">
        <f>'Sources and Uses Budget'!C81</f>
        <v>31000</v>
      </c>
      <c r="C81" s="590"/>
      <c r="D81" s="590"/>
      <c r="E81" s="589">
        <f>'Sources and Uses Budget'!S81</f>
        <v>31000</v>
      </c>
      <c r="F81" s="590"/>
      <c r="G81" s="590"/>
      <c r="H81" s="589">
        <f>'Sources and Uses Budget'!T81</f>
        <v>0</v>
      </c>
      <c r="I81" s="590"/>
      <c r="J81" s="590"/>
      <c r="K81" s="587"/>
    </row>
    <row r="82" spans="1:11" s="588" customFormat="1" ht="11.4">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847</v>
      </c>
      <c r="B83" s="589">
        <f>'Sources and Uses Budget'!C83</f>
        <v>115000</v>
      </c>
      <c r="C83" s="590"/>
      <c r="D83" s="590"/>
      <c r="E83" s="589">
        <f>'Sources and Uses Budget'!S83</f>
        <v>115000</v>
      </c>
      <c r="F83" s="590"/>
      <c r="G83" s="590"/>
      <c r="H83" s="589">
        <f>'Sources and Uses Budget'!T83</f>
        <v>0</v>
      </c>
      <c r="I83" s="590"/>
      <c r="J83" s="590"/>
      <c r="K83" s="587"/>
    </row>
    <row r="84" spans="1:11" s="588" customFormat="1" ht="11.4">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849</v>
      </c>
      <c r="B85" s="589">
        <f>'Sources and Uses Budget'!C85</f>
        <v>58000</v>
      </c>
      <c r="C85" s="590"/>
      <c r="D85" s="590"/>
      <c r="E85" s="591"/>
      <c r="F85" s="591"/>
      <c r="G85" s="591"/>
      <c r="H85" s="591"/>
      <c r="I85" s="591"/>
      <c r="J85" s="591"/>
      <c r="K85" s="587"/>
    </row>
    <row r="86" spans="1:11" s="588" customFormat="1" ht="11.4">
      <c r="A86" s="223" t="s">
        <v>850</v>
      </c>
      <c r="B86" s="589">
        <f>'Sources and Uses Budget'!C86</f>
        <v>207700</v>
      </c>
      <c r="C86" s="590"/>
      <c r="D86" s="590"/>
      <c r="E86" s="589">
        <f>'Sources and Uses Budget'!S86</f>
        <v>207700</v>
      </c>
      <c r="F86" s="590"/>
      <c r="G86" s="590"/>
      <c r="H86" s="589">
        <f>'Sources and Uses Budget'!T86</f>
        <v>0</v>
      </c>
      <c r="I86" s="590"/>
      <c r="J86" s="590"/>
      <c r="K86" s="587"/>
    </row>
    <row r="87" spans="1:11" s="588" customFormat="1" ht="11.4">
      <c r="A87" s="223" t="s">
        <v>851</v>
      </c>
      <c r="B87" s="589">
        <f>'Sources and Uses Budget'!C87</f>
        <v>17500</v>
      </c>
      <c r="C87" s="590"/>
      <c r="D87" s="590"/>
      <c r="E87" s="589">
        <f>'Sources and Uses Budget'!S87</f>
        <v>0</v>
      </c>
      <c r="F87" s="590"/>
      <c r="G87" s="590"/>
      <c r="H87" s="589">
        <f>'Sources and Uses Budget'!T87</f>
        <v>0</v>
      </c>
      <c r="I87" s="590"/>
      <c r="J87" s="590"/>
      <c r="K87" s="587"/>
    </row>
    <row r="88" spans="1:11" s="588" customFormat="1" ht="11.4">
      <c r="A88" s="234" t="s">
        <v>404</v>
      </c>
      <c r="B88" s="589">
        <f>'Sources and Uses Budget'!C88</f>
        <v>40000</v>
      </c>
      <c r="C88" s="590"/>
      <c r="D88" s="590"/>
      <c r="E88" s="589">
        <f>'Sources and Uses Budget'!S88</f>
        <v>0</v>
      </c>
      <c r="F88" s="590"/>
      <c r="G88" s="590"/>
      <c r="H88" s="589">
        <f>'Sources and Uses Budget'!T88</f>
        <v>0</v>
      </c>
      <c r="I88" s="590"/>
      <c r="J88" s="590"/>
      <c r="K88" s="587"/>
    </row>
    <row r="89" spans="1:11" s="588" customFormat="1" ht="11.4">
      <c r="A89" s="889" t="s">
        <v>1470</v>
      </c>
      <c r="B89" s="589">
        <f>'Sources and Uses Budget'!C89</f>
        <v>15000</v>
      </c>
      <c r="C89" s="590"/>
      <c r="D89" s="590"/>
      <c r="E89" s="589">
        <f>'Sources and Uses Budget'!S89</f>
        <v>15000</v>
      </c>
      <c r="F89" s="590"/>
      <c r="G89" s="590"/>
      <c r="H89" s="589">
        <f>'Sources and Uses Budget'!T89</f>
        <v>0</v>
      </c>
      <c r="I89" s="590"/>
      <c r="J89" s="590"/>
      <c r="K89" s="587"/>
    </row>
    <row r="90" spans="1:11" s="588" customFormat="1" ht="11.4">
      <c r="A90" s="595" t="str">
        <f>'Sources and Uses Budget'!$A90</f>
        <v>Other: Transfer Tax/Acq Legal/Acq Title</v>
      </c>
      <c r="B90" s="589">
        <f>'Sources and Uses Budget'!C90</f>
        <v>637263</v>
      </c>
      <c r="C90" s="590"/>
      <c r="D90" s="590"/>
      <c r="E90" s="589">
        <f>'Sources and Uses Budget'!S90</f>
        <v>0</v>
      </c>
      <c r="F90" s="590"/>
      <c r="G90" s="590"/>
      <c r="H90" s="589">
        <f>'Sources and Uses Budget'!T90</f>
        <v>606401</v>
      </c>
      <c r="I90" s="590"/>
      <c r="J90" s="590"/>
      <c r="K90" s="587"/>
    </row>
    <row r="91" spans="1:11" s="588" customFormat="1" ht="22.8">
      <c r="A91" s="595" t="str">
        <f>'Sources and Uses Budget'!$A91</f>
        <v>Other: Additional Construction Costs Not in Contract</v>
      </c>
      <c r="B91" s="589">
        <f>'Sources and Uses Budget'!C91</f>
        <v>85000</v>
      </c>
      <c r="C91" s="590"/>
      <c r="D91" s="590"/>
      <c r="E91" s="589">
        <f>'Sources and Uses Budget'!S91</f>
        <v>85000</v>
      </c>
      <c r="F91" s="590"/>
      <c r="G91" s="590"/>
      <c r="H91" s="589">
        <f>'Sources and Uses Budget'!T91</f>
        <v>0</v>
      </c>
      <c r="I91" s="590"/>
      <c r="J91" s="590"/>
      <c r="K91" s="587"/>
    </row>
    <row r="92" spans="1:11" s="588" customFormat="1" ht="11.4">
      <c r="A92" s="595" t="str">
        <f>'Sources and Uses Budget'!$A92</f>
        <v>Other: City Tax</v>
      </c>
      <c r="B92" s="589">
        <f>'Sources and Uses Budget'!C92</f>
        <v>58724</v>
      </c>
      <c r="C92" s="590"/>
      <c r="D92" s="590"/>
      <c r="E92" s="589">
        <f>'Sources and Uses Budget'!S92</f>
        <v>58724</v>
      </c>
      <c r="F92" s="590"/>
      <c r="G92" s="590"/>
      <c r="H92" s="589">
        <f>'Sources and Uses Budget'!T92</f>
        <v>0</v>
      </c>
      <c r="I92" s="590"/>
      <c r="J92" s="590"/>
      <c r="K92" s="587"/>
    </row>
    <row r="93" spans="1:11" s="588" customFormat="1" ht="22.8">
      <c r="A93" s="595" t="str">
        <f>'Sources and Uses Budget'!$A93</f>
        <v>Other: Consultants, Architectural/Construction/Planning</v>
      </c>
      <c r="B93" s="589">
        <f>'Sources and Uses Budget'!C93</f>
        <v>247188</v>
      </c>
      <c r="C93" s="590"/>
      <c r="D93" s="590"/>
      <c r="E93" s="589">
        <f>'Sources and Uses Budget'!S93</f>
        <v>247188</v>
      </c>
      <c r="F93" s="590"/>
      <c r="G93" s="590"/>
      <c r="H93" s="589">
        <f>'Sources and Uses Budget'!T93</f>
        <v>0</v>
      </c>
      <c r="I93" s="590"/>
      <c r="J93" s="590"/>
      <c r="K93" s="587"/>
    </row>
    <row r="94" spans="1:11" s="588" customFormat="1" ht="11.4">
      <c r="A94" s="595" t="str">
        <f>'Sources and Uses Budget'!$A94</f>
        <v>Other: Resident Engagement/Planning</v>
      </c>
      <c r="B94" s="589">
        <f>'Sources and Uses Budget'!C94</f>
        <v>22500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1579140</v>
      </c>
      <c r="C95" s="589">
        <f>SUM(C80:C94)</f>
        <v>0</v>
      </c>
      <c r="D95" s="589">
        <f>SUM(D80:D94)</f>
        <v>0</v>
      </c>
      <c r="E95" s="589">
        <f>'Sources and Uses Budget'!S95</f>
        <v>759612</v>
      </c>
      <c r="F95" s="596">
        <f>SUM(F81:F84,F86:F94)</f>
        <v>0</v>
      </c>
      <c r="G95" s="596">
        <f>SUM(G81:G84,G86:G94)</f>
        <v>0</v>
      </c>
      <c r="H95" s="589">
        <f>'Sources and Uses Budget'!T95</f>
        <v>606401</v>
      </c>
      <c r="I95" s="589">
        <f>SUM(I81:I84,I86:I94)</f>
        <v>0</v>
      </c>
      <c r="J95" s="589">
        <f>SUM(J81:J84,J86:J94)</f>
        <v>0</v>
      </c>
      <c r="K95" s="587"/>
    </row>
    <row r="96" spans="1:11" s="588" customFormat="1">
      <c r="A96" s="593" t="s">
        <v>1180</v>
      </c>
      <c r="B96" s="589">
        <f>'Sources and Uses Budget'!C96</f>
        <v>47783166</v>
      </c>
      <c r="C96" s="589">
        <f>SUM(C63+C67+C74+C78+C95)</f>
        <v>0</v>
      </c>
      <c r="D96" s="589">
        <f>SUM(D63+D67+D74+D78+D95)</f>
        <v>0</v>
      </c>
      <c r="E96" s="589">
        <f>'Sources and Uses Budget'!S96</f>
        <v>25705334</v>
      </c>
      <c r="F96" s="596">
        <f>SUM(+F63+F67+F78+F95)</f>
        <v>0</v>
      </c>
      <c r="G96" s="596">
        <f>SUM(+G63+G67+G78+G95)</f>
        <v>0</v>
      </c>
      <c r="H96" s="589">
        <f>'Sources and Uses Budget'!T96</f>
        <v>16747401</v>
      </c>
      <c r="I96" s="596">
        <f>SUM(I63+I67+I78+I95)</f>
        <v>0</v>
      </c>
      <c r="J96" s="596">
        <f>SUM(J63+J67+J78+J95)</f>
        <v>0</v>
      </c>
      <c r="K96" s="587"/>
    </row>
    <row r="97" spans="1:11" s="588" customFormat="1" ht="11.4">
      <c r="A97" s="585" t="s">
        <v>854</v>
      </c>
      <c r="B97" s="586"/>
      <c r="C97" s="586"/>
      <c r="D97" s="586"/>
      <c r="E97" s="586"/>
      <c r="F97" s="586"/>
      <c r="G97" s="586"/>
      <c r="H97" s="586"/>
      <c r="I97" s="586"/>
      <c r="J97" s="586"/>
      <c r="K97" s="587"/>
    </row>
    <row r="98" spans="1:11" s="588" customFormat="1" ht="11.4">
      <c r="A98" s="223" t="s">
        <v>855</v>
      </c>
      <c r="B98" s="589">
        <f>'Sources and Uses Budget'!C98</f>
        <v>5731119</v>
      </c>
      <c r="C98" s="590"/>
      <c r="D98" s="590"/>
      <c r="E98" s="589">
        <f>'Sources and Uses Budget'!S98</f>
        <v>3855800.0999999996</v>
      </c>
      <c r="F98" s="590"/>
      <c r="G98" s="590"/>
      <c r="H98" s="589">
        <f>'Sources and Uses Budget'!T98</f>
        <v>1875318.9000000004</v>
      </c>
      <c r="I98" s="590"/>
      <c r="J98" s="590"/>
      <c r="K98" s="587"/>
    </row>
    <row r="99" spans="1:11" s="588" customFormat="1" ht="11.4">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5731119</v>
      </c>
      <c r="C104" s="589">
        <f>SUM(C98:C103)</f>
        <v>0</v>
      </c>
      <c r="D104" s="589">
        <f>SUM(D98:D103)</f>
        <v>0</v>
      </c>
      <c r="E104" s="589">
        <f>'Sources and Uses Budget'!S104</f>
        <v>3855800.0999999996</v>
      </c>
      <c r="F104" s="596">
        <f>SUM(F98:F103)</f>
        <v>0</v>
      </c>
      <c r="G104" s="596">
        <f>SUM(G98:G103)</f>
        <v>0</v>
      </c>
      <c r="H104" s="589">
        <f>'Sources and Uses Budget'!T104</f>
        <v>1875318.9000000004</v>
      </c>
      <c r="I104" s="596">
        <f>SUM(I98:I103)</f>
        <v>0</v>
      </c>
      <c r="J104" s="596">
        <f>SUM(J98:J103)</f>
        <v>0</v>
      </c>
      <c r="K104" s="587"/>
    </row>
    <row r="105" spans="1:11" s="588" customFormat="1">
      <c r="A105" s="593" t="s">
        <v>1181</v>
      </c>
      <c r="B105" s="589">
        <f>'Sources and Uses Budget'!C105</f>
        <v>53514285</v>
      </c>
      <c r="C105" s="596">
        <f>SUM(C96+C104)</f>
        <v>0</v>
      </c>
      <c r="D105" s="596">
        <f>SUM(D96+D104)</f>
        <v>0</v>
      </c>
      <c r="E105" s="589">
        <f>'Sources and Uses Budget'!S105</f>
        <v>29561134.100000001</v>
      </c>
      <c r="F105" s="596">
        <f>F96+F104</f>
        <v>0</v>
      </c>
      <c r="G105" s="596">
        <f>G96+G104</f>
        <v>0</v>
      </c>
      <c r="H105" s="589">
        <f>'Sources and Uses Budget'!T105</f>
        <v>18622719.899999999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29561134.100000001</v>
      </c>
      <c r="F107" s="605">
        <f>F105+F106</f>
        <v>0</v>
      </c>
      <c r="G107" s="605">
        <f>G105+G106</f>
        <v>0</v>
      </c>
      <c r="H107" s="589">
        <f>'Sources and Uses Budget'!T107</f>
        <v>18622719.899999999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07"/>
      <c r="E124" s="1608"/>
      <c r="F124" s="1608"/>
      <c r="G124" s="1608"/>
      <c r="H124" s="1608"/>
      <c r="I124" s="1608"/>
      <c r="J124" s="607"/>
      <c r="K124" s="587"/>
    </row>
    <row r="125" spans="1:11" s="588" customFormat="1" ht="13.2">
      <c r="A125" s="618"/>
      <c r="B125" s="617"/>
      <c r="C125" s="618"/>
      <c r="D125" s="1608"/>
      <c r="E125" s="1608"/>
      <c r="F125" s="1608"/>
      <c r="G125" s="1608"/>
      <c r="H125" s="1608"/>
      <c r="I125" s="1608"/>
      <c r="J125" s="607"/>
      <c r="K125" s="587"/>
    </row>
    <row r="126" spans="1:11" s="588" customFormat="1" ht="13.2">
      <c r="A126" s="618"/>
      <c r="B126" s="617"/>
      <c r="C126" s="618"/>
      <c r="D126" s="1608"/>
      <c r="E126" s="1608"/>
      <c r="F126" s="1608"/>
      <c r="G126" s="1608"/>
      <c r="H126" s="1608"/>
      <c r="I126" s="1608"/>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SheetLayoutView="100" workbookViewId="0">
      <selection activeCell="AB50" sqref="AB50:AF50"/>
    </sheetView>
  </sheetViews>
  <sheetFormatPr defaultColWidth="0" defaultRowHeight="0" customHeight="1" zeroHeight="1"/>
  <cols>
    <col min="1" max="1" width="1.44140625" style="815" customWidth="1"/>
    <col min="2" max="2" width="0.88671875" style="815" customWidth="1"/>
    <col min="3" max="18" width="2.44140625" style="815" customWidth="1"/>
    <col min="19" max="19" width="4" style="815" customWidth="1"/>
    <col min="20" max="39" width="2.6640625" style="815" customWidth="1"/>
    <col min="40" max="40" width="1.44140625" style="815" customWidth="1"/>
    <col min="41" max="76" width="2.44140625" style="815" hidden="1"/>
    <col min="77" max="256" width="2.44140625" style="641" hidden="1"/>
    <col min="257" max="257" width="1.44140625" style="641" hidden="1" customWidth="1"/>
    <col min="258" max="258" width="0.88671875" style="641" hidden="1" customWidth="1"/>
    <col min="259" max="274" width="2.44140625" style="641" hidden="1" customWidth="1"/>
    <col min="275" max="275" width="4" style="641" hidden="1" customWidth="1"/>
    <col min="276" max="295" width="2.44140625" style="641" hidden="1" customWidth="1"/>
    <col min="296" max="296" width="1.44140625" style="641" hidden="1" customWidth="1"/>
    <col min="297" max="512" width="2.44140625" style="641" hidden="1"/>
    <col min="513" max="513" width="1.44140625" style="641" hidden="1" customWidth="1"/>
    <col min="514" max="514" width="0.88671875" style="641" hidden="1" customWidth="1"/>
    <col min="515" max="530" width="2.44140625" style="641" hidden="1" customWidth="1"/>
    <col min="531" max="531" width="4" style="641" hidden="1" customWidth="1"/>
    <col min="532" max="551" width="2.44140625" style="641" hidden="1" customWidth="1"/>
    <col min="552" max="552" width="1.44140625" style="641" hidden="1" customWidth="1"/>
    <col min="553" max="768" width="2.44140625" style="641" hidden="1"/>
    <col min="769" max="769" width="1.44140625" style="641" hidden="1" customWidth="1"/>
    <col min="770" max="770" width="0.88671875" style="641" hidden="1" customWidth="1"/>
    <col min="771" max="786" width="2.44140625" style="641" hidden="1" customWidth="1"/>
    <col min="787" max="787" width="4" style="641" hidden="1" customWidth="1"/>
    <col min="788" max="807" width="2.44140625" style="641" hidden="1" customWidth="1"/>
    <col min="808" max="808" width="1.44140625" style="641" hidden="1" customWidth="1"/>
    <col min="809" max="1024" width="2.44140625" style="641" hidden="1"/>
    <col min="1025" max="1025" width="1.44140625" style="641" hidden="1" customWidth="1"/>
    <col min="1026" max="1026" width="0.88671875" style="641" hidden="1" customWidth="1"/>
    <col min="1027" max="1042" width="2.44140625" style="641" hidden="1" customWidth="1"/>
    <col min="1043" max="1043" width="4" style="641" hidden="1" customWidth="1"/>
    <col min="1044" max="1063" width="2.44140625" style="641" hidden="1" customWidth="1"/>
    <col min="1064" max="1064" width="1.44140625" style="641" hidden="1" customWidth="1"/>
    <col min="1065" max="1280" width="2.44140625" style="641" hidden="1"/>
    <col min="1281" max="1281" width="1.44140625" style="641" hidden="1" customWidth="1"/>
    <col min="1282" max="1282" width="0.88671875" style="641" hidden="1" customWidth="1"/>
    <col min="1283" max="1298" width="2.44140625" style="641" hidden="1" customWidth="1"/>
    <col min="1299" max="1299" width="4" style="641" hidden="1" customWidth="1"/>
    <col min="1300" max="1319" width="2.44140625" style="641" hidden="1" customWidth="1"/>
    <col min="1320" max="1320" width="1.44140625" style="641" hidden="1" customWidth="1"/>
    <col min="1321" max="1536" width="2.44140625" style="641" hidden="1"/>
    <col min="1537" max="1537" width="1.44140625" style="641" hidden="1" customWidth="1"/>
    <col min="1538" max="1538" width="0.88671875" style="641" hidden="1" customWidth="1"/>
    <col min="1539" max="1554" width="2.44140625" style="641" hidden="1" customWidth="1"/>
    <col min="1555" max="1555" width="4" style="641" hidden="1" customWidth="1"/>
    <col min="1556" max="1575" width="2.44140625" style="641" hidden="1" customWidth="1"/>
    <col min="1576" max="1576" width="1.44140625" style="641" hidden="1" customWidth="1"/>
    <col min="1577" max="1792" width="2.44140625" style="641" hidden="1"/>
    <col min="1793" max="1793" width="1.44140625" style="641" hidden="1" customWidth="1"/>
    <col min="1794" max="1794" width="0.88671875" style="641" hidden="1" customWidth="1"/>
    <col min="1795" max="1810" width="2.44140625" style="641" hidden="1" customWidth="1"/>
    <col min="1811" max="1811" width="4" style="641" hidden="1" customWidth="1"/>
    <col min="1812" max="1831" width="2.44140625" style="641" hidden="1" customWidth="1"/>
    <col min="1832" max="1832" width="1.44140625" style="641" hidden="1" customWidth="1"/>
    <col min="1833" max="2048" width="2.44140625" style="641" hidden="1"/>
    <col min="2049" max="2049" width="1.44140625" style="641" hidden="1" customWidth="1"/>
    <col min="2050" max="2050" width="0.88671875" style="641" hidden="1" customWidth="1"/>
    <col min="2051" max="2066" width="2.44140625" style="641" hidden="1" customWidth="1"/>
    <col min="2067" max="2067" width="4" style="641" hidden="1" customWidth="1"/>
    <col min="2068" max="2087" width="2.44140625" style="641" hidden="1" customWidth="1"/>
    <col min="2088" max="2088" width="1.44140625" style="641" hidden="1" customWidth="1"/>
    <col min="2089" max="2304" width="2.44140625" style="641" hidden="1"/>
    <col min="2305" max="2305" width="1.44140625" style="641" hidden="1" customWidth="1"/>
    <col min="2306" max="2306" width="0.88671875" style="641" hidden="1" customWidth="1"/>
    <col min="2307" max="2322" width="2.44140625" style="641" hidden="1" customWidth="1"/>
    <col min="2323" max="2323" width="4" style="641" hidden="1" customWidth="1"/>
    <col min="2324" max="2343" width="2.44140625" style="641" hidden="1" customWidth="1"/>
    <col min="2344" max="2344" width="1.44140625" style="641" hidden="1" customWidth="1"/>
    <col min="2345" max="2560" width="2.44140625" style="641" hidden="1"/>
    <col min="2561" max="2561" width="1.44140625" style="641" hidden="1" customWidth="1"/>
    <col min="2562" max="2562" width="0.88671875" style="641" hidden="1" customWidth="1"/>
    <col min="2563" max="2578" width="2.44140625" style="641" hidden="1" customWidth="1"/>
    <col min="2579" max="2579" width="4" style="641" hidden="1" customWidth="1"/>
    <col min="2580" max="2599" width="2.44140625" style="641" hidden="1" customWidth="1"/>
    <col min="2600" max="2600" width="1.44140625" style="641" hidden="1" customWidth="1"/>
    <col min="2601" max="2816" width="2.44140625" style="641" hidden="1"/>
    <col min="2817" max="2817" width="1.44140625" style="641" hidden="1" customWidth="1"/>
    <col min="2818" max="2818" width="0.88671875" style="641" hidden="1" customWidth="1"/>
    <col min="2819" max="2834" width="2.44140625" style="641" hidden="1" customWidth="1"/>
    <col min="2835" max="2835" width="4" style="641" hidden="1" customWidth="1"/>
    <col min="2836" max="2855" width="2.44140625" style="641" hidden="1" customWidth="1"/>
    <col min="2856" max="2856" width="1.44140625" style="641" hidden="1" customWidth="1"/>
    <col min="2857" max="3072" width="2.44140625" style="641" hidden="1"/>
    <col min="3073" max="3073" width="1.44140625" style="641" hidden="1" customWidth="1"/>
    <col min="3074" max="3074" width="0.88671875" style="641" hidden="1" customWidth="1"/>
    <col min="3075" max="3090" width="2.44140625" style="641" hidden="1" customWidth="1"/>
    <col min="3091" max="3091" width="4" style="641" hidden="1" customWidth="1"/>
    <col min="3092" max="3111" width="2.44140625" style="641" hidden="1" customWidth="1"/>
    <col min="3112" max="3112" width="1.44140625" style="641" hidden="1" customWidth="1"/>
    <col min="3113" max="3328" width="2.44140625" style="641" hidden="1"/>
    <col min="3329" max="3329" width="1.44140625" style="641" hidden="1" customWidth="1"/>
    <col min="3330" max="3330" width="0.88671875" style="641" hidden="1" customWidth="1"/>
    <col min="3331" max="3346" width="2.44140625" style="641" hidden="1" customWidth="1"/>
    <col min="3347" max="3347" width="4" style="641" hidden="1" customWidth="1"/>
    <col min="3348" max="3367" width="2.44140625" style="641" hidden="1" customWidth="1"/>
    <col min="3368" max="3368" width="1.44140625" style="641" hidden="1" customWidth="1"/>
    <col min="3369" max="3584" width="2.44140625" style="641" hidden="1"/>
    <col min="3585" max="3585" width="1.44140625" style="641" hidden="1" customWidth="1"/>
    <col min="3586" max="3586" width="0.88671875" style="641" hidden="1" customWidth="1"/>
    <col min="3587" max="3602" width="2.44140625" style="641" hidden="1" customWidth="1"/>
    <col min="3603" max="3603" width="4" style="641" hidden="1" customWidth="1"/>
    <col min="3604" max="3623" width="2.44140625" style="641" hidden="1" customWidth="1"/>
    <col min="3624" max="3624" width="1.44140625" style="641" hidden="1" customWidth="1"/>
    <col min="3625" max="3840" width="2.44140625" style="641" hidden="1"/>
    <col min="3841" max="3841" width="1.44140625" style="641" hidden="1" customWidth="1"/>
    <col min="3842" max="3842" width="0.88671875" style="641" hidden="1" customWidth="1"/>
    <col min="3843" max="3858" width="2.44140625" style="641" hidden="1" customWidth="1"/>
    <col min="3859" max="3859" width="4" style="641" hidden="1" customWidth="1"/>
    <col min="3860" max="3879" width="2.44140625" style="641" hidden="1" customWidth="1"/>
    <col min="3880" max="3880" width="1.44140625" style="641" hidden="1" customWidth="1"/>
    <col min="3881" max="4096" width="2.44140625" style="641" hidden="1"/>
    <col min="4097" max="4097" width="1.44140625" style="641" hidden="1" customWidth="1"/>
    <col min="4098" max="4098" width="0.88671875" style="641" hidden="1" customWidth="1"/>
    <col min="4099" max="4114" width="2.44140625" style="641" hidden="1" customWidth="1"/>
    <col min="4115" max="4115" width="4" style="641" hidden="1" customWidth="1"/>
    <col min="4116" max="4135" width="2.44140625" style="641" hidden="1" customWidth="1"/>
    <col min="4136" max="4136" width="1.44140625" style="641" hidden="1" customWidth="1"/>
    <col min="4137" max="4352" width="2.44140625" style="641" hidden="1"/>
    <col min="4353" max="4353" width="1.44140625" style="641" hidden="1" customWidth="1"/>
    <col min="4354" max="4354" width="0.88671875" style="641" hidden="1" customWidth="1"/>
    <col min="4355" max="4370" width="2.44140625" style="641" hidden="1" customWidth="1"/>
    <col min="4371" max="4371" width="4" style="641" hidden="1" customWidth="1"/>
    <col min="4372" max="4391" width="2.44140625" style="641" hidden="1" customWidth="1"/>
    <col min="4392" max="4392" width="1.44140625" style="641" hidden="1" customWidth="1"/>
    <col min="4393" max="4608" width="2.44140625" style="641" hidden="1"/>
    <col min="4609" max="4609" width="1.44140625" style="641" hidden="1" customWidth="1"/>
    <col min="4610" max="4610" width="0.88671875" style="641" hidden="1" customWidth="1"/>
    <col min="4611" max="4626" width="2.44140625" style="641" hidden="1" customWidth="1"/>
    <col min="4627" max="4627" width="4" style="641" hidden="1" customWidth="1"/>
    <col min="4628" max="4647" width="2.44140625" style="641" hidden="1" customWidth="1"/>
    <col min="4648" max="4648" width="1.44140625" style="641" hidden="1" customWidth="1"/>
    <col min="4649" max="4864" width="2.44140625" style="641" hidden="1"/>
    <col min="4865" max="4865" width="1.44140625" style="641" hidden="1" customWidth="1"/>
    <col min="4866" max="4866" width="0.88671875" style="641" hidden="1" customWidth="1"/>
    <col min="4867" max="4882" width="2.44140625" style="641" hidden="1" customWidth="1"/>
    <col min="4883" max="4883" width="4" style="641" hidden="1" customWidth="1"/>
    <col min="4884" max="4903" width="2.44140625" style="641" hidden="1" customWidth="1"/>
    <col min="4904" max="4904" width="1.44140625" style="641" hidden="1" customWidth="1"/>
    <col min="4905" max="5120" width="2.44140625" style="641" hidden="1"/>
    <col min="5121" max="5121" width="1.44140625" style="641" hidden="1" customWidth="1"/>
    <col min="5122" max="5122" width="0.88671875" style="641" hidden="1" customWidth="1"/>
    <col min="5123" max="5138" width="2.44140625" style="641" hidden="1" customWidth="1"/>
    <col min="5139" max="5139" width="4" style="641" hidden="1" customWidth="1"/>
    <col min="5140" max="5159" width="2.44140625" style="641" hidden="1" customWidth="1"/>
    <col min="5160" max="5160" width="1.44140625" style="641" hidden="1" customWidth="1"/>
    <col min="5161" max="5376" width="2.44140625" style="641" hidden="1"/>
    <col min="5377" max="5377" width="1.44140625" style="641" hidden="1" customWidth="1"/>
    <col min="5378" max="5378" width="0.88671875" style="641" hidden="1" customWidth="1"/>
    <col min="5379" max="5394" width="2.44140625" style="641" hidden="1" customWidth="1"/>
    <col min="5395" max="5395" width="4" style="641" hidden="1" customWidth="1"/>
    <col min="5396" max="5415" width="2.44140625" style="641" hidden="1" customWidth="1"/>
    <col min="5416" max="5416" width="1.44140625" style="641" hidden="1" customWidth="1"/>
    <col min="5417" max="5632" width="2.44140625" style="641" hidden="1"/>
    <col min="5633" max="5633" width="1.44140625" style="641" hidden="1" customWidth="1"/>
    <col min="5634" max="5634" width="0.88671875" style="641" hidden="1" customWidth="1"/>
    <col min="5635" max="5650" width="2.44140625" style="641" hidden="1" customWidth="1"/>
    <col min="5651" max="5651" width="4" style="641" hidden="1" customWidth="1"/>
    <col min="5652" max="5671" width="2.44140625" style="641" hidden="1" customWidth="1"/>
    <col min="5672" max="5672" width="1.44140625" style="641" hidden="1" customWidth="1"/>
    <col min="5673" max="5888" width="2.44140625" style="641" hidden="1"/>
    <col min="5889" max="5889" width="1.44140625" style="641" hidden="1" customWidth="1"/>
    <col min="5890" max="5890" width="0.88671875" style="641" hidden="1" customWidth="1"/>
    <col min="5891" max="5906" width="2.44140625" style="641" hidden="1" customWidth="1"/>
    <col min="5907" max="5907" width="4" style="641" hidden="1" customWidth="1"/>
    <col min="5908" max="5927" width="2.44140625" style="641" hidden="1" customWidth="1"/>
    <col min="5928" max="5928" width="1.44140625" style="641" hidden="1" customWidth="1"/>
    <col min="5929" max="6144" width="2.44140625" style="641" hidden="1"/>
    <col min="6145" max="6145" width="1.44140625" style="641" hidden="1" customWidth="1"/>
    <col min="6146" max="6146" width="0.88671875" style="641" hidden="1" customWidth="1"/>
    <col min="6147" max="6162" width="2.44140625" style="641" hidden="1" customWidth="1"/>
    <col min="6163" max="6163" width="4" style="641" hidden="1" customWidth="1"/>
    <col min="6164" max="6183" width="2.44140625" style="641" hidden="1" customWidth="1"/>
    <col min="6184" max="6184" width="1.44140625" style="641" hidden="1" customWidth="1"/>
    <col min="6185" max="6400" width="2.44140625" style="641" hidden="1"/>
    <col min="6401" max="6401" width="1.44140625" style="641" hidden="1" customWidth="1"/>
    <col min="6402" max="6402" width="0.88671875" style="641" hidden="1" customWidth="1"/>
    <col min="6403" max="6418" width="2.44140625" style="641" hidden="1" customWidth="1"/>
    <col min="6419" max="6419" width="4" style="641" hidden="1" customWidth="1"/>
    <col min="6420" max="6439" width="2.44140625" style="641" hidden="1" customWidth="1"/>
    <col min="6440" max="6440" width="1.44140625" style="641" hidden="1" customWidth="1"/>
    <col min="6441" max="6656" width="2.44140625" style="641" hidden="1"/>
    <col min="6657" max="6657" width="1.44140625" style="641" hidden="1" customWidth="1"/>
    <col min="6658" max="6658" width="0.88671875" style="641" hidden="1" customWidth="1"/>
    <col min="6659" max="6674" width="2.44140625" style="641" hidden="1" customWidth="1"/>
    <col min="6675" max="6675" width="4" style="641" hidden="1" customWidth="1"/>
    <col min="6676" max="6695" width="2.44140625" style="641" hidden="1" customWidth="1"/>
    <col min="6696" max="6696" width="1.44140625" style="641" hidden="1" customWidth="1"/>
    <col min="6697" max="6912" width="2.44140625" style="641" hidden="1"/>
    <col min="6913" max="6913" width="1.44140625" style="641" hidden="1" customWidth="1"/>
    <col min="6914" max="6914" width="0.88671875" style="641" hidden="1" customWidth="1"/>
    <col min="6915" max="6930" width="2.44140625" style="641" hidden="1" customWidth="1"/>
    <col min="6931" max="6931" width="4" style="641" hidden="1" customWidth="1"/>
    <col min="6932" max="6951" width="2.44140625" style="641" hidden="1" customWidth="1"/>
    <col min="6952" max="6952" width="1.44140625" style="641" hidden="1" customWidth="1"/>
    <col min="6953" max="7168" width="2.44140625" style="641" hidden="1"/>
    <col min="7169" max="7169" width="1.44140625" style="641" hidden="1" customWidth="1"/>
    <col min="7170" max="7170" width="0.88671875" style="641" hidden="1" customWidth="1"/>
    <col min="7171" max="7186" width="2.44140625" style="641" hidden="1" customWidth="1"/>
    <col min="7187" max="7187" width="4" style="641" hidden="1" customWidth="1"/>
    <col min="7188" max="7207" width="2.44140625" style="641" hidden="1" customWidth="1"/>
    <col min="7208" max="7208" width="1.44140625" style="641" hidden="1" customWidth="1"/>
    <col min="7209" max="7424" width="2.44140625" style="641" hidden="1"/>
    <col min="7425" max="7425" width="1.44140625" style="641" hidden="1" customWidth="1"/>
    <col min="7426" max="7426" width="0.88671875" style="641" hidden="1" customWidth="1"/>
    <col min="7427" max="7442" width="2.44140625" style="641" hidden="1" customWidth="1"/>
    <col min="7443" max="7443" width="4" style="641" hidden="1" customWidth="1"/>
    <col min="7444" max="7463" width="2.44140625" style="641" hidden="1" customWidth="1"/>
    <col min="7464" max="7464" width="1.44140625" style="641" hidden="1" customWidth="1"/>
    <col min="7465" max="7680" width="2.44140625" style="641" hidden="1"/>
    <col min="7681" max="7681" width="1.44140625" style="641" hidden="1" customWidth="1"/>
    <col min="7682" max="7682" width="0.88671875" style="641" hidden="1" customWidth="1"/>
    <col min="7683" max="7698" width="2.44140625" style="641" hidden="1" customWidth="1"/>
    <col min="7699" max="7699" width="4" style="641" hidden="1" customWidth="1"/>
    <col min="7700" max="7719" width="2.44140625" style="641" hidden="1" customWidth="1"/>
    <col min="7720" max="7720" width="1.44140625" style="641" hidden="1" customWidth="1"/>
    <col min="7721" max="7936" width="2.44140625" style="641" hidden="1"/>
    <col min="7937" max="7937" width="1.44140625" style="641" hidden="1" customWidth="1"/>
    <col min="7938" max="7938" width="0.88671875" style="641" hidden="1" customWidth="1"/>
    <col min="7939" max="7954" width="2.44140625" style="641" hidden="1" customWidth="1"/>
    <col min="7955" max="7955" width="4" style="641" hidden="1" customWidth="1"/>
    <col min="7956" max="7975" width="2.44140625" style="641" hidden="1" customWidth="1"/>
    <col min="7976" max="7976" width="1.44140625" style="641" hidden="1" customWidth="1"/>
    <col min="7977" max="8192" width="2.44140625" style="641" hidden="1"/>
    <col min="8193" max="8193" width="1.44140625" style="641" hidden="1" customWidth="1"/>
    <col min="8194" max="8194" width="0.88671875" style="641" hidden="1" customWidth="1"/>
    <col min="8195" max="8210" width="2.44140625" style="641" hidden="1" customWidth="1"/>
    <col min="8211" max="8211" width="4" style="641" hidden="1" customWidth="1"/>
    <col min="8212" max="8231" width="2.44140625" style="641" hidden="1" customWidth="1"/>
    <col min="8232" max="8232" width="1.44140625" style="641" hidden="1" customWidth="1"/>
    <col min="8233" max="8448" width="2.44140625" style="641" hidden="1"/>
    <col min="8449" max="8449" width="1.44140625" style="641" hidden="1" customWidth="1"/>
    <col min="8450" max="8450" width="0.88671875" style="641" hidden="1" customWidth="1"/>
    <col min="8451" max="8466" width="2.44140625" style="641" hidden="1" customWidth="1"/>
    <col min="8467" max="8467" width="4" style="641" hidden="1" customWidth="1"/>
    <col min="8468" max="8487" width="2.44140625" style="641" hidden="1" customWidth="1"/>
    <col min="8488" max="8488" width="1.44140625" style="641" hidden="1" customWidth="1"/>
    <col min="8489" max="8704" width="2.44140625" style="641" hidden="1"/>
    <col min="8705" max="8705" width="1.44140625" style="641" hidden="1" customWidth="1"/>
    <col min="8706" max="8706" width="0.88671875" style="641" hidden="1" customWidth="1"/>
    <col min="8707" max="8722" width="2.44140625" style="641" hidden="1" customWidth="1"/>
    <col min="8723" max="8723" width="4" style="641" hidden="1" customWidth="1"/>
    <col min="8724" max="8743" width="2.44140625" style="641" hidden="1" customWidth="1"/>
    <col min="8744" max="8744" width="1.44140625" style="641" hidden="1" customWidth="1"/>
    <col min="8745" max="8960" width="2.44140625" style="641" hidden="1"/>
    <col min="8961" max="8961" width="1.44140625" style="641" hidden="1" customWidth="1"/>
    <col min="8962" max="8962" width="0.88671875" style="641" hidden="1" customWidth="1"/>
    <col min="8963" max="8978" width="2.44140625" style="641" hidden="1" customWidth="1"/>
    <col min="8979" max="8979" width="4" style="641" hidden="1" customWidth="1"/>
    <col min="8980" max="8999" width="2.44140625" style="641" hidden="1" customWidth="1"/>
    <col min="9000" max="9000" width="1.44140625" style="641" hidden="1" customWidth="1"/>
    <col min="9001" max="9216" width="2.44140625" style="641" hidden="1"/>
    <col min="9217" max="9217" width="1.44140625" style="641" hidden="1" customWidth="1"/>
    <col min="9218" max="9218" width="0.88671875" style="641" hidden="1" customWidth="1"/>
    <col min="9219" max="9234" width="2.44140625" style="641" hidden="1" customWidth="1"/>
    <col min="9235" max="9235" width="4" style="641" hidden="1" customWidth="1"/>
    <col min="9236" max="9255" width="2.44140625" style="641" hidden="1" customWidth="1"/>
    <col min="9256" max="9256" width="1.44140625" style="641" hidden="1" customWidth="1"/>
    <col min="9257" max="9472" width="2.44140625" style="641" hidden="1"/>
    <col min="9473" max="9473" width="1.44140625" style="641" hidden="1" customWidth="1"/>
    <col min="9474" max="9474" width="0.88671875" style="641" hidden="1" customWidth="1"/>
    <col min="9475" max="9490" width="2.44140625" style="641" hidden="1" customWidth="1"/>
    <col min="9491" max="9491" width="4" style="641" hidden="1" customWidth="1"/>
    <col min="9492" max="9511" width="2.44140625" style="641" hidden="1" customWidth="1"/>
    <col min="9512" max="9512" width="1.44140625" style="641" hidden="1" customWidth="1"/>
    <col min="9513" max="9728" width="2.44140625" style="641" hidden="1"/>
    <col min="9729" max="9729" width="1.44140625" style="641" hidden="1" customWidth="1"/>
    <col min="9730" max="9730" width="0.88671875" style="641" hidden="1" customWidth="1"/>
    <col min="9731" max="9746" width="2.44140625" style="641" hidden="1" customWidth="1"/>
    <col min="9747" max="9747" width="4" style="641" hidden="1" customWidth="1"/>
    <col min="9748" max="9767" width="2.44140625" style="641" hidden="1" customWidth="1"/>
    <col min="9768" max="9768" width="1.44140625" style="641" hidden="1" customWidth="1"/>
    <col min="9769" max="9984" width="2.44140625" style="641" hidden="1"/>
    <col min="9985" max="9985" width="1.44140625" style="641" hidden="1" customWidth="1"/>
    <col min="9986" max="9986" width="0.88671875" style="641" hidden="1" customWidth="1"/>
    <col min="9987" max="10002" width="2.44140625" style="641" hidden="1" customWidth="1"/>
    <col min="10003" max="10003" width="4" style="641" hidden="1" customWidth="1"/>
    <col min="10004" max="10023" width="2.44140625" style="641" hidden="1" customWidth="1"/>
    <col min="10024" max="10024" width="1.44140625" style="641" hidden="1" customWidth="1"/>
    <col min="10025" max="10240" width="2.44140625" style="641" hidden="1"/>
    <col min="10241" max="10241" width="1.44140625" style="641" hidden="1" customWidth="1"/>
    <col min="10242" max="10242" width="0.88671875" style="641" hidden="1" customWidth="1"/>
    <col min="10243" max="10258" width="2.44140625" style="641" hidden="1" customWidth="1"/>
    <col min="10259" max="10259" width="4" style="641" hidden="1" customWidth="1"/>
    <col min="10260" max="10279" width="2.44140625" style="641" hidden="1" customWidth="1"/>
    <col min="10280" max="10280" width="1.44140625" style="641" hidden="1" customWidth="1"/>
    <col min="10281" max="10496" width="2.44140625" style="641" hidden="1"/>
    <col min="10497" max="10497" width="1.44140625" style="641" hidden="1" customWidth="1"/>
    <col min="10498" max="10498" width="0.88671875" style="641" hidden="1" customWidth="1"/>
    <col min="10499" max="10514" width="2.44140625" style="641" hidden="1" customWidth="1"/>
    <col min="10515" max="10515" width="4" style="641" hidden="1" customWidth="1"/>
    <col min="10516" max="10535" width="2.44140625" style="641" hidden="1" customWidth="1"/>
    <col min="10536" max="10536" width="1.44140625" style="641" hidden="1" customWidth="1"/>
    <col min="10537" max="10752" width="2.44140625" style="641" hidden="1"/>
    <col min="10753" max="10753" width="1.44140625" style="641" hidden="1" customWidth="1"/>
    <col min="10754" max="10754" width="0.88671875" style="641" hidden="1" customWidth="1"/>
    <col min="10755" max="10770" width="2.44140625" style="641" hidden="1" customWidth="1"/>
    <col min="10771" max="10771" width="4" style="641" hidden="1" customWidth="1"/>
    <col min="10772" max="10791" width="2.44140625" style="641" hidden="1" customWidth="1"/>
    <col min="10792" max="10792" width="1.44140625" style="641" hidden="1" customWidth="1"/>
    <col min="10793" max="11008" width="2.44140625" style="641" hidden="1"/>
    <col min="11009" max="11009" width="1.44140625" style="641" hidden="1" customWidth="1"/>
    <col min="11010" max="11010" width="0.88671875" style="641" hidden="1" customWidth="1"/>
    <col min="11011" max="11026" width="2.44140625" style="641" hidden="1" customWidth="1"/>
    <col min="11027" max="11027" width="4" style="641" hidden="1" customWidth="1"/>
    <col min="11028" max="11047" width="2.44140625" style="641" hidden="1" customWidth="1"/>
    <col min="11048" max="11048" width="1.44140625" style="641" hidden="1" customWidth="1"/>
    <col min="11049" max="11264" width="2.44140625" style="641" hidden="1"/>
    <col min="11265" max="11265" width="1.44140625" style="641" hidden="1" customWidth="1"/>
    <col min="11266" max="11266" width="0.88671875" style="641" hidden="1" customWidth="1"/>
    <col min="11267" max="11282" width="2.44140625" style="641" hidden="1" customWidth="1"/>
    <col min="11283" max="11283" width="4" style="641" hidden="1" customWidth="1"/>
    <col min="11284" max="11303" width="2.44140625" style="641" hidden="1" customWidth="1"/>
    <col min="11304" max="11304" width="1.44140625" style="641" hidden="1" customWidth="1"/>
    <col min="11305" max="11520" width="2.44140625" style="641" hidden="1"/>
    <col min="11521" max="11521" width="1.44140625" style="641" hidden="1" customWidth="1"/>
    <col min="11522" max="11522" width="0.88671875" style="641" hidden="1" customWidth="1"/>
    <col min="11523" max="11538" width="2.44140625" style="641" hidden="1" customWidth="1"/>
    <col min="11539" max="11539" width="4" style="641" hidden="1" customWidth="1"/>
    <col min="11540" max="11559" width="2.44140625" style="641" hidden="1" customWidth="1"/>
    <col min="11560" max="11560" width="1.44140625" style="641" hidden="1" customWidth="1"/>
    <col min="11561" max="11776" width="2.44140625" style="641" hidden="1"/>
    <col min="11777" max="11777" width="1.44140625" style="641" hidden="1" customWidth="1"/>
    <col min="11778" max="11778" width="0.88671875" style="641" hidden="1" customWidth="1"/>
    <col min="11779" max="11794" width="2.44140625" style="641" hidden="1" customWidth="1"/>
    <col min="11795" max="11795" width="4" style="641" hidden="1" customWidth="1"/>
    <col min="11796" max="11815" width="2.44140625" style="641" hidden="1" customWidth="1"/>
    <col min="11816" max="11816" width="1.44140625" style="641" hidden="1" customWidth="1"/>
    <col min="11817" max="12032" width="2.44140625" style="641" hidden="1"/>
    <col min="12033" max="12033" width="1.44140625" style="641" hidden="1" customWidth="1"/>
    <col min="12034" max="12034" width="0.88671875" style="641" hidden="1" customWidth="1"/>
    <col min="12035" max="12050" width="2.44140625" style="641" hidden="1" customWidth="1"/>
    <col min="12051" max="12051" width="4" style="641" hidden="1" customWidth="1"/>
    <col min="12052" max="12071" width="2.44140625" style="641" hidden="1" customWidth="1"/>
    <col min="12072" max="12072" width="1.44140625" style="641" hidden="1" customWidth="1"/>
    <col min="12073" max="12288" width="2.44140625" style="641" hidden="1"/>
    <col min="12289" max="12289" width="1.44140625" style="641" hidden="1" customWidth="1"/>
    <col min="12290" max="12290" width="0.88671875" style="641" hidden="1" customWidth="1"/>
    <col min="12291" max="12306" width="2.44140625" style="641" hidden="1" customWidth="1"/>
    <col min="12307" max="12307" width="4" style="641" hidden="1" customWidth="1"/>
    <col min="12308" max="12327" width="2.44140625" style="641" hidden="1" customWidth="1"/>
    <col min="12328" max="12328" width="1.44140625" style="641" hidden="1" customWidth="1"/>
    <col min="12329" max="12544" width="2.44140625" style="641" hidden="1"/>
    <col min="12545" max="12545" width="1.44140625" style="641" hidden="1" customWidth="1"/>
    <col min="12546" max="12546" width="0.88671875" style="641" hidden="1" customWidth="1"/>
    <col min="12547" max="12562" width="2.44140625" style="641" hidden="1" customWidth="1"/>
    <col min="12563" max="12563" width="4" style="641" hidden="1" customWidth="1"/>
    <col min="12564" max="12583" width="2.44140625" style="641" hidden="1" customWidth="1"/>
    <col min="12584" max="12584" width="1.44140625" style="641" hidden="1" customWidth="1"/>
    <col min="12585" max="12800" width="2.44140625" style="641" hidden="1"/>
    <col min="12801" max="12801" width="1.44140625" style="641" hidden="1" customWidth="1"/>
    <col min="12802" max="12802" width="0.88671875" style="641" hidden="1" customWidth="1"/>
    <col min="12803" max="12818" width="2.44140625" style="641" hidden="1" customWidth="1"/>
    <col min="12819" max="12819" width="4" style="641" hidden="1" customWidth="1"/>
    <col min="12820" max="12839" width="2.44140625" style="641" hidden="1" customWidth="1"/>
    <col min="12840" max="12840" width="1.44140625" style="641" hidden="1" customWidth="1"/>
    <col min="12841" max="13056" width="2.44140625" style="641" hidden="1"/>
    <col min="13057" max="13057" width="1.44140625" style="641" hidden="1" customWidth="1"/>
    <col min="13058" max="13058" width="0.88671875" style="641" hidden="1" customWidth="1"/>
    <col min="13059" max="13074" width="2.44140625" style="641" hidden="1" customWidth="1"/>
    <col min="13075" max="13075" width="4" style="641" hidden="1" customWidth="1"/>
    <col min="13076" max="13095" width="2.44140625" style="641" hidden="1" customWidth="1"/>
    <col min="13096" max="13096" width="1.44140625" style="641" hidden="1" customWidth="1"/>
    <col min="13097" max="13312" width="2.44140625" style="641" hidden="1"/>
    <col min="13313" max="13313" width="1.44140625" style="641" hidden="1" customWidth="1"/>
    <col min="13314" max="13314" width="0.88671875" style="641" hidden="1" customWidth="1"/>
    <col min="13315" max="13330" width="2.44140625" style="641" hidden="1" customWidth="1"/>
    <col min="13331" max="13331" width="4" style="641" hidden="1" customWidth="1"/>
    <col min="13332" max="13351" width="2.44140625" style="641" hidden="1" customWidth="1"/>
    <col min="13352" max="13352" width="1.44140625" style="641" hidden="1" customWidth="1"/>
    <col min="13353" max="13568" width="2.44140625" style="641" hidden="1"/>
    <col min="13569" max="13569" width="1.44140625" style="641" hidden="1" customWidth="1"/>
    <col min="13570" max="13570" width="0.88671875" style="641" hidden="1" customWidth="1"/>
    <col min="13571" max="13586" width="2.44140625" style="641" hidden="1" customWidth="1"/>
    <col min="13587" max="13587" width="4" style="641" hidden="1" customWidth="1"/>
    <col min="13588" max="13607" width="2.44140625" style="641" hidden="1" customWidth="1"/>
    <col min="13608" max="13608" width="1.44140625" style="641" hidden="1" customWidth="1"/>
    <col min="13609" max="13824" width="2.44140625" style="641" hidden="1"/>
    <col min="13825" max="13825" width="1.44140625" style="641" hidden="1" customWidth="1"/>
    <col min="13826" max="13826" width="0.88671875" style="641" hidden="1" customWidth="1"/>
    <col min="13827" max="13842" width="2.44140625" style="641" hidden="1" customWidth="1"/>
    <col min="13843" max="13843" width="4" style="641" hidden="1" customWidth="1"/>
    <col min="13844" max="13863" width="2.44140625" style="641" hidden="1" customWidth="1"/>
    <col min="13864" max="13864" width="1.44140625" style="641" hidden="1" customWidth="1"/>
    <col min="13865" max="14080" width="2.44140625" style="641" hidden="1"/>
    <col min="14081" max="14081" width="1.44140625" style="641" hidden="1" customWidth="1"/>
    <col min="14082" max="14082" width="0.88671875" style="641" hidden="1" customWidth="1"/>
    <col min="14083" max="14098" width="2.44140625" style="641" hidden="1" customWidth="1"/>
    <col min="14099" max="14099" width="4" style="641" hidden="1" customWidth="1"/>
    <col min="14100" max="14119" width="2.44140625" style="641" hidden="1" customWidth="1"/>
    <col min="14120" max="14120" width="1.44140625" style="641" hidden="1" customWidth="1"/>
    <col min="14121" max="14336" width="2.44140625" style="641" hidden="1"/>
    <col min="14337" max="14337" width="1.44140625" style="641" hidden="1" customWidth="1"/>
    <col min="14338" max="14338" width="0.88671875" style="641" hidden="1" customWidth="1"/>
    <col min="14339" max="14354" width="2.44140625" style="641" hidden="1" customWidth="1"/>
    <col min="14355" max="14355" width="4" style="641" hidden="1" customWidth="1"/>
    <col min="14356" max="14375" width="2.44140625" style="641" hidden="1" customWidth="1"/>
    <col min="14376" max="14376" width="1.44140625" style="641" hidden="1" customWidth="1"/>
    <col min="14377" max="14592" width="2.44140625" style="641" hidden="1"/>
    <col min="14593" max="14593" width="1.44140625" style="641" hidden="1" customWidth="1"/>
    <col min="14594" max="14594" width="0.88671875" style="641" hidden="1" customWidth="1"/>
    <col min="14595" max="14610" width="2.44140625" style="641" hidden="1" customWidth="1"/>
    <col min="14611" max="14611" width="4" style="641" hidden="1" customWidth="1"/>
    <col min="14612" max="14631" width="2.44140625" style="641" hidden="1" customWidth="1"/>
    <col min="14632" max="14632" width="1.44140625" style="641" hidden="1" customWidth="1"/>
    <col min="14633" max="14848" width="2.44140625" style="641" hidden="1"/>
    <col min="14849" max="14849" width="1.44140625" style="641" hidden="1" customWidth="1"/>
    <col min="14850" max="14850" width="0.88671875" style="641" hidden="1" customWidth="1"/>
    <col min="14851" max="14866" width="2.44140625" style="641" hidden="1" customWidth="1"/>
    <col min="14867" max="14867" width="4" style="641" hidden="1" customWidth="1"/>
    <col min="14868" max="14887" width="2.44140625" style="641" hidden="1" customWidth="1"/>
    <col min="14888" max="14888" width="1.44140625" style="641" hidden="1" customWidth="1"/>
    <col min="14889" max="15104" width="2.44140625" style="641" hidden="1"/>
    <col min="15105" max="15105" width="1.44140625" style="641" hidden="1" customWidth="1"/>
    <col min="15106" max="15106" width="0.88671875" style="641" hidden="1" customWidth="1"/>
    <col min="15107" max="15122" width="2.44140625" style="641" hidden="1" customWidth="1"/>
    <col min="15123" max="15123" width="4" style="641" hidden="1" customWidth="1"/>
    <col min="15124" max="15143" width="2.44140625" style="641" hidden="1" customWidth="1"/>
    <col min="15144" max="15144" width="1.44140625" style="641" hidden="1" customWidth="1"/>
    <col min="15145" max="15360" width="2.44140625" style="641" hidden="1"/>
    <col min="15361" max="15361" width="1.44140625" style="641" hidden="1" customWidth="1"/>
    <col min="15362" max="15362" width="0.88671875" style="641" hidden="1" customWidth="1"/>
    <col min="15363" max="15378" width="2.44140625" style="641" hidden="1" customWidth="1"/>
    <col min="15379" max="15379" width="4" style="641" hidden="1" customWidth="1"/>
    <col min="15380" max="15399" width="2.44140625" style="641" hidden="1" customWidth="1"/>
    <col min="15400" max="15400" width="1.44140625" style="641" hidden="1" customWidth="1"/>
    <col min="15401" max="15616" width="2.44140625" style="641" hidden="1"/>
    <col min="15617" max="15617" width="1.44140625" style="641" hidden="1" customWidth="1"/>
    <col min="15618" max="15618" width="0.88671875" style="641" hidden="1" customWidth="1"/>
    <col min="15619" max="15634" width="2.44140625" style="641" hidden="1" customWidth="1"/>
    <col min="15635" max="15635" width="4" style="641" hidden="1" customWidth="1"/>
    <col min="15636" max="15655" width="2.44140625" style="641" hidden="1" customWidth="1"/>
    <col min="15656" max="15656" width="1.44140625" style="641" hidden="1" customWidth="1"/>
    <col min="15657" max="15872" width="2.44140625" style="641" hidden="1"/>
    <col min="15873" max="15873" width="1.44140625" style="641" hidden="1" customWidth="1"/>
    <col min="15874" max="15874" width="0.88671875" style="641" hidden="1" customWidth="1"/>
    <col min="15875" max="15890" width="2.44140625" style="641" hidden="1" customWidth="1"/>
    <col min="15891" max="15891" width="4" style="641" hidden="1" customWidth="1"/>
    <col min="15892" max="15911" width="2.44140625" style="641" hidden="1" customWidth="1"/>
    <col min="15912" max="15912" width="1.44140625" style="641" hidden="1" customWidth="1"/>
    <col min="15913" max="16128" width="2.44140625" style="641" hidden="1"/>
    <col min="16129" max="16129" width="1.44140625" style="641" hidden="1" customWidth="1"/>
    <col min="16130" max="16130" width="0.88671875" style="641" hidden="1" customWidth="1"/>
    <col min="16131" max="16146" width="2.44140625" style="641" hidden="1" customWidth="1"/>
    <col min="16147" max="16147" width="4" style="641" hidden="1" customWidth="1"/>
    <col min="16148" max="16167" width="2.44140625" style="641" hidden="1" customWidth="1"/>
    <col min="16168" max="16168" width="1.44140625" style="641" hidden="1" customWidth="1"/>
    <col min="16169" max="16384" width="2.44140625" style="641" hidden="1"/>
  </cols>
  <sheetData>
    <row r="1" spans="1:98" ht="12.75" customHeight="1">
      <c r="A1" s="1654" t="s">
        <v>1599</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29561134.100000001</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18622719.899999999</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49" t="s">
        <v>543</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52" t="s">
        <v>544</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52" t="s">
        <v>545</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52" t="s">
        <v>546</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52" t="s">
        <v>887</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52" t="s">
        <v>547</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47" t="s">
        <v>1069</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47" t="s">
        <v>1069</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25" t="s">
        <v>548</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25" t="s">
        <v>549</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28" t="s">
        <v>550</v>
      </c>
      <c r="C23" s="1629"/>
      <c r="D23" s="1629"/>
      <c r="E23" s="1629"/>
      <c r="F23" s="1629"/>
      <c r="G23" s="1629"/>
      <c r="H23" s="1629"/>
      <c r="I23" s="1629"/>
      <c r="J23" s="1629"/>
      <c r="K23" s="1629"/>
      <c r="L23" s="1629"/>
      <c r="M23" s="1629"/>
      <c r="N23" s="1629"/>
      <c r="O23" s="1629"/>
      <c r="P23" s="1629"/>
      <c r="Q23" s="1629"/>
      <c r="R23" s="1629"/>
      <c r="S23" s="1630"/>
      <c r="T23" s="1618">
        <f>T11+T22</f>
        <v>29561134.100000001</v>
      </c>
      <c r="U23" s="1619"/>
      <c r="V23" s="1619"/>
      <c r="W23" s="1619"/>
      <c r="X23" s="1619"/>
      <c r="Y23" s="1618">
        <f>Y11+Y22</f>
        <v>0</v>
      </c>
      <c r="Z23" s="1619"/>
      <c r="AA23" s="1619"/>
      <c r="AB23" s="1619"/>
      <c r="AC23" s="1619"/>
      <c r="AD23" s="1618">
        <f>AD11+AD22</f>
        <v>18622719.899999999</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25" t="s">
        <v>1070</v>
      </c>
      <c r="C24" s="1626"/>
      <c r="D24" s="1626"/>
      <c r="E24" s="1626"/>
      <c r="F24" s="1626"/>
      <c r="G24" s="1626"/>
      <c r="H24" s="1626"/>
      <c r="I24" s="1626"/>
      <c r="J24" s="1626"/>
      <c r="K24" s="1626"/>
      <c r="L24" s="1626"/>
      <c r="M24" s="1626"/>
      <c r="N24" s="1626"/>
      <c r="O24" s="1626"/>
      <c r="P24" s="1626"/>
      <c r="Q24" s="1626"/>
      <c r="R24" s="1626"/>
      <c r="S24" s="1627"/>
      <c r="T24" s="1620">
        <f>Application!AD1004</f>
        <v>67465130.960000008</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25" t="s">
        <v>551</v>
      </c>
      <c r="C26" s="1626"/>
      <c r="D26" s="1626"/>
      <c r="E26" s="1626"/>
      <c r="F26" s="1626"/>
      <c r="G26" s="1626"/>
      <c r="H26" s="1626"/>
      <c r="I26" s="1626"/>
      <c r="J26" s="1626"/>
      <c r="K26" s="1626"/>
      <c r="L26" s="1626"/>
      <c r="M26" s="1626"/>
      <c r="N26" s="1626"/>
      <c r="O26" s="1626"/>
      <c r="P26" s="1626"/>
      <c r="Q26" s="1626"/>
      <c r="R26" s="1626"/>
      <c r="S26" s="1627"/>
      <c r="T26" s="1669">
        <f>T23*T25</f>
        <v>38429474.330000006</v>
      </c>
      <c r="U26" s="1670"/>
      <c r="V26" s="1670"/>
      <c r="W26" s="1670"/>
      <c r="X26" s="1670"/>
      <c r="Y26" s="1669">
        <f>Y23*Y25</f>
        <v>0</v>
      </c>
      <c r="Z26" s="1670"/>
      <c r="AA26" s="1670"/>
      <c r="AB26" s="1670"/>
      <c r="AC26" s="1670"/>
      <c r="AD26" s="1669">
        <f>AD23*AD25</f>
        <v>18622719.899999999</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552</v>
      </c>
      <c r="C28" s="1626"/>
      <c r="D28" s="1626"/>
      <c r="E28" s="1626"/>
      <c r="F28" s="1626"/>
      <c r="G28" s="1626"/>
      <c r="H28" s="1626"/>
      <c r="I28" s="1626"/>
      <c r="J28" s="1626"/>
      <c r="K28" s="1626"/>
      <c r="L28" s="1626"/>
      <c r="M28" s="1626"/>
      <c r="N28" s="1626"/>
      <c r="O28" s="1626"/>
      <c r="P28" s="1626"/>
      <c r="Q28" s="1626"/>
      <c r="R28" s="1626"/>
      <c r="S28" s="1627"/>
      <c r="T28" s="1639">
        <f>IF(ISERROR((T26*T27)),0,(T26*T27))</f>
        <v>38429474.330000006</v>
      </c>
      <c r="U28" s="1640"/>
      <c r="V28" s="1640"/>
      <c r="W28" s="1640"/>
      <c r="X28" s="1640"/>
      <c r="Y28" s="1639">
        <f>IF(ISERROR((Y26*Y27)),0,(Y26*Y27))</f>
        <v>0</v>
      </c>
      <c r="Z28" s="1640"/>
      <c r="AA28" s="1640"/>
      <c r="AB28" s="1640"/>
      <c r="AC28" s="1640"/>
      <c r="AD28" s="1639">
        <f>IF(ISERROR((AD26*AD27)),0,(AD26*AD27))</f>
        <v>18622719.899999999</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25" t="s">
        <v>569</v>
      </c>
      <c r="C29" s="1626"/>
      <c r="D29" s="1626"/>
      <c r="E29" s="1626"/>
      <c r="F29" s="1626"/>
      <c r="G29" s="1626"/>
      <c r="H29" s="1626"/>
      <c r="I29" s="1626"/>
      <c r="J29" s="1626"/>
      <c r="K29" s="1626"/>
      <c r="L29" s="1626"/>
      <c r="M29" s="1626"/>
      <c r="N29" s="1626"/>
      <c r="O29" s="1626"/>
      <c r="P29" s="1626"/>
      <c r="Q29" s="1626"/>
      <c r="R29" s="1626"/>
      <c r="S29" s="1627"/>
      <c r="T29" s="1620">
        <f>T28+Y28+AD28+AI28</f>
        <v>57052194.230000004</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552</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38429474.330000006</v>
      </c>
      <c r="Z38" s="1619"/>
      <c r="AA38" s="1619"/>
      <c r="AB38" s="1619"/>
      <c r="AC38" s="1619"/>
      <c r="AD38" s="1619">
        <f>IF(T24&gt;=(T23+Y23+AD23+AI23),AD28+AI28,0)</f>
        <v>18622719.899999999</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692</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1245115</v>
      </c>
      <c r="Z40" s="1619"/>
      <c r="AA40" s="1619"/>
      <c r="AB40" s="1619"/>
      <c r="AC40" s="1619"/>
      <c r="AD40" s="1618">
        <f>ROUND(AD38*AD39,0)</f>
        <v>603376</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25" t="s">
        <v>693</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1848491</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23" t="s">
        <v>1586</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56914285</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40649190</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16265095</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f>(AB49/(Y41*10))</f>
        <v>0.87991204717794136</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18484910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1848491</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1848491</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16265095</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0</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0</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23" t="s">
        <v>1587</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8" thickTop="1"/>
    <row r="85" spans="1:98" ht="13.2">
      <c r="A85" s="819" t="s">
        <v>642</v>
      </c>
      <c r="C85" s="344" t="s">
        <v>1585</v>
      </c>
    </row>
    <row r="86" spans="1:98" ht="13.2">
      <c r="D86" s="344" t="s">
        <v>1641</v>
      </c>
      <c r="AB86" s="1624">
        <f>IF(A61="$500M State Credit",AB77/(Application!AG424-Application!AG425),"N/A")</f>
        <v>0</v>
      </c>
      <c r="AC86" s="1624"/>
      <c r="AD86" s="1624"/>
      <c r="AE86" s="1624"/>
      <c r="AF86" s="1624"/>
    </row>
    <row r="87" spans="1:98" ht="13.8" thickBot="1">
      <c r="D87" s="344" t="s">
        <v>1642</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SheetLayoutView="100" workbookViewId="0">
      <selection activeCell="A50" sqref="A50"/>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8">
      <c r="A4" s="366" t="s">
        <v>923</v>
      </c>
      <c r="C4" s="390">
        <v>1.0249999999999999</v>
      </c>
      <c r="E4" s="366">
        <f>Application!Y781</f>
        <v>144072</v>
      </c>
      <c r="G4" s="366">
        <f>E4*$C$4</f>
        <v>147673.79999999999</v>
      </c>
      <c r="I4" s="366">
        <f>G4*$C$4</f>
        <v>151365.64499999996</v>
      </c>
      <c r="K4" s="366">
        <f>I4*$C$4</f>
        <v>155149.78612499996</v>
      </c>
      <c r="M4" s="366">
        <f>K4*$C$4</f>
        <v>159028.53077812493</v>
      </c>
      <c r="O4" s="366">
        <f>M4*$C$4</f>
        <v>163004.24404757805</v>
      </c>
      <c r="Q4" s="366">
        <f>O4*$C$4</f>
        <v>167079.35014876749</v>
      </c>
      <c r="S4" s="366">
        <f>Q4*$C$4</f>
        <v>171256.33390248666</v>
      </c>
      <c r="U4" s="366">
        <f>S4*$C$4</f>
        <v>175537.74225004882</v>
      </c>
      <c r="W4" s="366">
        <f>U4*$C$4</f>
        <v>179926.18580630003</v>
      </c>
      <c r="Y4" s="366">
        <f>W4*$C$4</f>
        <v>184424.34045145751</v>
      </c>
      <c r="AA4" s="366">
        <f>Y4*$C$4</f>
        <v>189034.94896274392</v>
      </c>
      <c r="AC4" s="366">
        <f>AA4*$C$4</f>
        <v>193760.82268681249</v>
      </c>
      <c r="AE4" s="366">
        <f>AC4*$C$4</f>
        <v>198604.84325398278</v>
      </c>
      <c r="AG4" s="366">
        <f>AE4*$C$4</f>
        <v>203569.96433533233</v>
      </c>
    </row>
    <row r="5" spans="1:34" s="350" customFormat="1" ht="13.8">
      <c r="B5" s="350" t="s">
        <v>924</v>
      </c>
      <c r="C5" s="391">
        <f>IF(Application!$D$210="Special Needs",0.1,0.05)</f>
        <v>0.05</v>
      </c>
      <c r="E5" s="368">
        <f>-E4*$C$5</f>
        <v>-7203.6</v>
      </c>
      <c r="F5" s="368"/>
      <c r="G5" s="368">
        <f>-G4*$C$5</f>
        <v>-7383.69</v>
      </c>
      <c r="H5" s="368"/>
      <c r="I5" s="368">
        <f>-I4*$C$5</f>
        <v>-7568.2822499999984</v>
      </c>
      <c r="J5" s="368"/>
      <c r="K5" s="368">
        <f>-K4*$C$5</f>
        <v>-7757.4893062499978</v>
      </c>
      <c r="L5" s="368"/>
      <c r="M5" s="368">
        <f>-M4*$C$5</f>
        <v>-7951.4265389062466</v>
      </c>
      <c r="N5" s="368"/>
      <c r="O5" s="368">
        <f>-O4*$C$5</f>
        <v>-8150.2122023789025</v>
      </c>
      <c r="P5" s="368"/>
      <c r="Q5" s="368">
        <f>-Q4*$C$5</f>
        <v>-8353.9675074383758</v>
      </c>
      <c r="R5" s="368"/>
      <c r="S5" s="368">
        <f>-S4*$C$5</f>
        <v>-8562.8166951243329</v>
      </c>
      <c r="T5" s="368"/>
      <c r="U5" s="368">
        <f>-U4*$C$5</f>
        <v>-8776.8871125024416</v>
      </c>
      <c r="V5" s="368"/>
      <c r="W5" s="368">
        <f>-W4*$C$5</f>
        <v>-8996.3092903150009</v>
      </c>
      <c r="X5" s="368"/>
      <c r="Y5" s="368">
        <f>-Y4*$C$5</f>
        <v>-9221.2170225728751</v>
      </c>
      <c r="Z5" s="368"/>
      <c r="AA5" s="368">
        <f>-AA4*$C$5</f>
        <v>-9451.7474481371955</v>
      </c>
      <c r="AB5" s="368"/>
      <c r="AC5" s="368">
        <f>-AC4*$C$5</f>
        <v>-9688.0411343406249</v>
      </c>
      <c r="AD5" s="368"/>
      <c r="AE5" s="368">
        <f>-AE4*$C$5</f>
        <v>-9930.24216269914</v>
      </c>
      <c r="AF5" s="368"/>
      <c r="AG5" s="368">
        <f>-AG4*$C$5</f>
        <v>-10178.498216766617</v>
      </c>
    </row>
    <row r="6" spans="1:34" s="350" customFormat="1" ht="13.8">
      <c r="A6" s="350" t="s">
        <v>922</v>
      </c>
      <c r="C6" s="390">
        <v>1.0249999999999999</v>
      </c>
      <c r="E6" s="369">
        <f>Application!Z789</f>
        <v>1397568</v>
      </c>
      <c r="F6" s="369"/>
      <c r="G6" s="369">
        <f>E6*$C$6</f>
        <v>1432507.2</v>
      </c>
      <c r="H6" s="369"/>
      <c r="I6" s="369">
        <f>G6*$C$6</f>
        <v>1468319.88</v>
      </c>
      <c r="J6" s="369"/>
      <c r="K6" s="369">
        <f>I6*$C$6</f>
        <v>1505027.8769999999</v>
      </c>
      <c r="L6" s="369"/>
      <c r="M6" s="369">
        <f>K6*$C$6</f>
        <v>1542653.5739249997</v>
      </c>
      <c r="N6" s="369"/>
      <c r="O6" s="369">
        <f>M6*$C$6</f>
        <v>1581219.9132731245</v>
      </c>
      <c r="P6" s="369"/>
      <c r="Q6" s="369">
        <f>O6*$C$6</f>
        <v>1620750.4111049525</v>
      </c>
      <c r="R6" s="369"/>
      <c r="S6" s="369">
        <f>Q6*$C$6</f>
        <v>1661269.1713825762</v>
      </c>
      <c r="T6" s="369"/>
      <c r="U6" s="369">
        <f>S6*$C$6</f>
        <v>1702800.9006671405</v>
      </c>
      <c r="V6" s="369"/>
      <c r="W6" s="369">
        <f>U6*$C$6</f>
        <v>1745370.9231838188</v>
      </c>
      <c r="X6" s="369"/>
      <c r="Y6" s="369">
        <f>W6*$C$6</f>
        <v>1789005.1962634141</v>
      </c>
      <c r="Z6" s="369"/>
      <c r="AA6" s="369">
        <f>Y6*$C$6</f>
        <v>1833730.3261699993</v>
      </c>
      <c r="AB6" s="369"/>
      <c r="AC6" s="369">
        <f>AA6*$C$6</f>
        <v>1879573.5843242491</v>
      </c>
      <c r="AD6" s="369"/>
      <c r="AE6" s="369">
        <f>AC6*$C$6</f>
        <v>1926562.9239323551</v>
      </c>
      <c r="AF6" s="369"/>
      <c r="AG6" s="369">
        <f>AE6*$C$6</f>
        <v>1974726.9970306638</v>
      </c>
    </row>
    <row r="7" spans="1:34" s="350" customFormat="1" ht="13.8">
      <c r="B7" s="350" t="s">
        <v>924</v>
      </c>
      <c r="C7" s="391">
        <f>IF(Application!$D$210="Special Needs",0.1,0.05)</f>
        <v>0.05</v>
      </c>
      <c r="E7" s="368">
        <f>-E6*$C$7</f>
        <v>-69878.400000000009</v>
      </c>
      <c r="F7" s="368"/>
      <c r="G7" s="368">
        <f>-G6*$C$7</f>
        <v>-71625.36</v>
      </c>
      <c r="H7" s="368"/>
      <c r="I7" s="368">
        <f>-I6*$C$7</f>
        <v>-73415.993999999992</v>
      </c>
      <c r="J7" s="368"/>
      <c r="K7" s="368">
        <f>-K6*$C$7</f>
        <v>-75251.393849999993</v>
      </c>
      <c r="L7" s="368"/>
      <c r="M7" s="368">
        <f>-M6*$C$7</f>
        <v>-77132.67869624999</v>
      </c>
      <c r="N7" s="368"/>
      <c r="O7" s="368">
        <f>-O6*$C$7</f>
        <v>-79060.995663656227</v>
      </c>
      <c r="P7" s="368"/>
      <c r="Q7" s="368">
        <f>-Q6*$C$7</f>
        <v>-81037.520555247625</v>
      </c>
      <c r="R7" s="368"/>
      <c r="S7" s="368">
        <f>-S6*$C$7</f>
        <v>-83063.458569128823</v>
      </c>
      <c r="T7" s="368"/>
      <c r="U7" s="368">
        <f>-U6*$C$7</f>
        <v>-85140.045033357033</v>
      </c>
      <c r="V7" s="368"/>
      <c r="W7" s="368">
        <f>-W6*$C$7</f>
        <v>-87268.546159190941</v>
      </c>
      <c r="X7" s="368"/>
      <c r="Y7" s="368">
        <f>-Y6*$C$7</f>
        <v>-89450.259813170705</v>
      </c>
      <c r="Z7" s="368"/>
      <c r="AA7" s="368">
        <f>-AA6*$C$7</f>
        <v>-91686.516308499966</v>
      </c>
      <c r="AB7" s="368"/>
      <c r="AC7" s="368">
        <f>-AC6*$C$7</f>
        <v>-93978.679216212462</v>
      </c>
      <c r="AD7" s="368"/>
      <c r="AE7" s="368">
        <f>-AE6*$C$7</f>
        <v>-96328.146196617759</v>
      </c>
      <c r="AF7" s="368"/>
      <c r="AG7" s="368">
        <f>-AG6*$C$7</f>
        <v>-98736.349851533188</v>
      </c>
    </row>
    <row r="8" spans="1:34" s="350" customFormat="1" ht="13.8">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3.8">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3.8">
      <c r="A10" s="370" t="s">
        <v>946</v>
      </c>
      <c r="C10" s="361"/>
      <c r="E10" s="370">
        <f>SUM(E4:E9)</f>
        <v>1464558</v>
      </c>
      <c r="G10" s="370">
        <f>SUM(G4:G9)</f>
        <v>1501171.95</v>
      </c>
      <c r="I10" s="370">
        <f>SUM(I4:I9)</f>
        <v>1538701.2487499998</v>
      </c>
      <c r="K10" s="370">
        <f>SUM(K4:K9)</f>
        <v>1577168.7799687497</v>
      </c>
      <c r="M10" s="370">
        <f>SUM(M4:M9)</f>
        <v>1616597.9994679682</v>
      </c>
      <c r="O10" s="370">
        <f>SUM(O4:O9)</f>
        <v>1657012.9494546675</v>
      </c>
      <c r="Q10" s="370">
        <f>SUM(Q4:Q9)</f>
        <v>1698438.2731910341</v>
      </c>
      <c r="S10" s="370">
        <f>SUM(S4:S9)</f>
        <v>1740899.2300208097</v>
      </c>
      <c r="U10" s="370">
        <f>SUM(U4:U9)</f>
        <v>1784421.7107713297</v>
      </c>
      <c r="W10" s="370">
        <f>SUM(W4:W9)</f>
        <v>1829032.2535406128</v>
      </c>
      <c r="Y10" s="370">
        <f>SUM(Y4:Y9)</f>
        <v>1874758.0598791281</v>
      </c>
      <c r="AA10" s="370">
        <f>SUM(AA4:AA9)</f>
        <v>1921627.0113761062</v>
      </c>
      <c r="AC10" s="370">
        <f>SUM(AC4:AC9)</f>
        <v>1969667.6866605086</v>
      </c>
      <c r="AE10" s="370">
        <f>SUM(AE4:AE9)</f>
        <v>2018909.378827021</v>
      </c>
      <c r="AG10" s="370">
        <f>SUM(AG4:AG9)</f>
        <v>2069382.1132976962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927</v>
      </c>
      <c r="C14" s="381"/>
      <c r="E14" s="366">
        <f>Application!W827</f>
        <v>271479</v>
      </c>
      <c r="G14" s="366">
        <f>E14*$C$13</f>
        <v>280980.76499999996</v>
      </c>
      <c r="I14" s="366">
        <f>G14*$C$13</f>
        <v>290815.09177499992</v>
      </c>
      <c r="K14" s="366">
        <f>I14*$C$13</f>
        <v>300993.61998712487</v>
      </c>
      <c r="M14" s="366">
        <f>K14*$C$13</f>
        <v>311528.39668667421</v>
      </c>
      <c r="O14" s="366">
        <f>M14*$C$13</f>
        <v>322431.89057070779</v>
      </c>
      <c r="Q14" s="366">
        <f>O14*$C$13</f>
        <v>333717.00674068253</v>
      </c>
      <c r="S14" s="366">
        <f>Q14*$C$13</f>
        <v>345397.10197660641</v>
      </c>
      <c r="U14" s="366">
        <f>S14*$C$13</f>
        <v>357486.00054578763</v>
      </c>
      <c r="W14" s="366">
        <f>U14*$C$13</f>
        <v>369998.01056489017</v>
      </c>
      <c r="Y14" s="366">
        <f>W14*$C$13</f>
        <v>382947.94093466131</v>
      </c>
      <c r="AA14" s="366">
        <f>Y14*$C$13</f>
        <v>396351.11886737443</v>
      </c>
      <c r="AC14" s="366">
        <f>AA14*$C$13</f>
        <v>410223.40802773251</v>
      </c>
      <c r="AE14" s="366">
        <f>AC14*$C$13</f>
        <v>424581.22730870312</v>
      </c>
      <c r="AG14" s="366">
        <f>AE14*$C$13</f>
        <v>439441.57026450767</v>
      </c>
    </row>
    <row r="15" spans="1:34" s="350" customFormat="1" ht="13.8">
      <c r="A15" s="350" t="s">
        <v>368</v>
      </c>
      <c r="C15" s="380"/>
      <c r="E15" s="369">
        <f>Application!W829</f>
        <v>53130</v>
      </c>
      <c r="F15" s="369"/>
      <c r="G15" s="369">
        <f t="shared" ref="G15:AG20" si="0">E15*$C$13</f>
        <v>54989.549999999996</v>
      </c>
      <c r="H15" s="369"/>
      <c r="I15" s="369">
        <f t="shared" si="0"/>
        <v>56914.184249999991</v>
      </c>
      <c r="J15" s="369"/>
      <c r="K15" s="369">
        <f t="shared" si="0"/>
        <v>58906.180698749988</v>
      </c>
      <c r="L15" s="369"/>
      <c r="M15" s="369">
        <f t="shared" si="0"/>
        <v>60967.897023206235</v>
      </c>
      <c r="N15" s="369"/>
      <c r="O15" s="369">
        <f t="shared" si="0"/>
        <v>63101.773419018449</v>
      </c>
      <c r="P15" s="369"/>
      <c r="Q15" s="369">
        <f t="shared" si="0"/>
        <v>65310.33548868409</v>
      </c>
      <c r="R15" s="369"/>
      <c r="S15" s="369">
        <f t="shared" si="0"/>
        <v>67596.197230788021</v>
      </c>
      <c r="T15" s="369"/>
      <c r="U15" s="369">
        <f t="shared" si="0"/>
        <v>69962.064133865599</v>
      </c>
      <c r="V15" s="369"/>
      <c r="W15" s="369">
        <f t="shared" si="0"/>
        <v>72410.736378550893</v>
      </c>
      <c r="X15" s="369"/>
      <c r="Y15" s="369">
        <f t="shared" si="0"/>
        <v>74945.112151800175</v>
      </c>
      <c r="Z15" s="369"/>
      <c r="AA15" s="369">
        <f t="shared" si="0"/>
        <v>77568.191077113181</v>
      </c>
      <c r="AB15" s="369"/>
      <c r="AC15" s="369">
        <f t="shared" si="0"/>
        <v>80283.077764812129</v>
      </c>
      <c r="AD15" s="369"/>
      <c r="AE15" s="369">
        <f t="shared" si="0"/>
        <v>83092.985486580554</v>
      </c>
      <c r="AF15" s="369"/>
      <c r="AG15" s="369">
        <f t="shared" si="0"/>
        <v>86001.239978610873</v>
      </c>
    </row>
    <row r="16" spans="1:34" s="350" customFormat="1" ht="13.8">
      <c r="A16" s="350" t="s">
        <v>609</v>
      </c>
      <c r="C16" s="380"/>
      <c r="E16" s="369">
        <f>Application!W835</f>
        <v>151726</v>
      </c>
      <c r="F16" s="369"/>
      <c r="G16" s="369">
        <f t="shared" si="0"/>
        <v>157036.40999999997</v>
      </c>
      <c r="H16" s="369"/>
      <c r="I16" s="369">
        <f t="shared" si="0"/>
        <v>162532.68434999997</v>
      </c>
      <c r="J16" s="369"/>
      <c r="K16" s="369">
        <f t="shared" si="0"/>
        <v>168221.32830224995</v>
      </c>
      <c r="L16" s="369"/>
      <c r="M16" s="369">
        <f t="shared" si="0"/>
        <v>174109.0747928287</v>
      </c>
      <c r="N16" s="369"/>
      <c r="O16" s="369">
        <f t="shared" si="0"/>
        <v>180202.89241057768</v>
      </c>
      <c r="P16" s="369"/>
      <c r="Q16" s="369">
        <f t="shared" si="0"/>
        <v>186509.99364494788</v>
      </c>
      <c r="R16" s="369"/>
      <c r="S16" s="369">
        <f t="shared" si="0"/>
        <v>193037.84342252105</v>
      </c>
      <c r="T16" s="369"/>
      <c r="U16" s="369">
        <f t="shared" si="0"/>
        <v>199794.16794230929</v>
      </c>
      <c r="V16" s="369"/>
      <c r="W16" s="369">
        <f t="shared" si="0"/>
        <v>206786.96382029008</v>
      </c>
      <c r="X16" s="369"/>
      <c r="Y16" s="369">
        <f t="shared" si="0"/>
        <v>214024.50755400021</v>
      </c>
      <c r="Z16" s="369"/>
      <c r="AA16" s="369">
        <f t="shared" si="0"/>
        <v>221515.36531839019</v>
      </c>
      <c r="AB16" s="369"/>
      <c r="AC16" s="369">
        <f t="shared" si="0"/>
        <v>229268.40310453382</v>
      </c>
      <c r="AD16" s="369"/>
      <c r="AE16" s="369">
        <f t="shared" si="0"/>
        <v>237292.79721319248</v>
      </c>
      <c r="AF16" s="369"/>
      <c r="AG16" s="369">
        <f t="shared" si="0"/>
        <v>245598.04511565418</v>
      </c>
    </row>
    <row r="17" spans="1:33" s="350" customFormat="1" ht="13.8">
      <c r="A17" s="350" t="s">
        <v>928</v>
      </c>
      <c r="C17" s="380"/>
      <c r="E17" s="369">
        <f>Application!W840</f>
        <v>297655</v>
      </c>
      <c r="F17" s="369"/>
      <c r="G17" s="369">
        <f t="shared" si="0"/>
        <v>308072.92499999999</v>
      </c>
      <c r="H17" s="369"/>
      <c r="I17" s="369">
        <f t="shared" si="0"/>
        <v>318855.47737499996</v>
      </c>
      <c r="J17" s="369"/>
      <c r="K17" s="369">
        <f t="shared" si="0"/>
        <v>330015.41908312496</v>
      </c>
      <c r="L17" s="369"/>
      <c r="M17" s="369">
        <f t="shared" si="0"/>
        <v>341565.95875103428</v>
      </c>
      <c r="N17" s="369"/>
      <c r="O17" s="369">
        <f t="shared" si="0"/>
        <v>353520.76730732044</v>
      </c>
      <c r="P17" s="369"/>
      <c r="Q17" s="369">
        <f t="shared" si="0"/>
        <v>365893.99416307663</v>
      </c>
      <c r="R17" s="369"/>
      <c r="S17" s="369">
        <f t="shared" si="0"/>
        <v>378700.2839587843</v>
      </c>
      <c r="T17" s="369"/>
      <c r="U17" s="369">
        <f t="shared" si="0"/>
        <v>391954.7938973417</v>
      </c>
      <c r="V17" s="369"/>
      <c r="W17" s="369">
        <f t="shared" si="0"/>
        <v>405673.21168374864</v>
      </c>
      <c r="X17" s="369"/>
      <c r="Y17" s="369">
        <f t="shared" si="0"/>
        <v>419871.77409267979</v>
      </c>
      <c r="Z17" s="369"/>
      <c r="AA17" s="369">
        <f t="shared" si="0"/>
        <v>434567.28618592356</v>
      </c>
      <c r="AB17" s="369"/>
      <c r="AC17" s="369">
        <f t="shared" si="0"/>
        <v>449777.14120243082</v>
      </c>
      <c r="AD17" s="369"/>
      <c r="AE17" s="369">
        <f t="shared" si="0"/>
        <v>465519.34114451584</v>
      </c>
      <c r="AF17" s="369"/>
      <c r="AG17" s="369">
        <f t="shared" si="0"/>
        <v>481812.51808457385</v>
      </c>
    </row>
    <row r="18" spans="1:33" s="350" customFormat="1" ht="13.8">
      <c r="A18" s="350" t="s">
        <v>162</v>
      </c>
      <c r="C18" s="380"/>
      <c r="E18" s="369">
        <f>Application!W841</f>
        <v>57518</v>
      </c>
      <c r="F18" s="369"/>
      <c r="G18" s="369">
        <f t="shared" si="0"/>
        <v>59531.13</v>
      </c>
      <c r="H18" s="369"/>
      <c r="I18" s="369">
        <f t="shared" si="0"/>
        <v>61614.719549999994</v>
      </c>
      <c r="J18" s="369"/>
      <c r="K18" s="369">
        <f t="shared" si="0"/>
        <v>63771.234734249992</v>
      </c>
      <c r="L18" s="369"/>
      <c r="M18" s="369">
        <f t="shared" si="0"/>
        <v>66003.227949948734</v>
      </c>
      <c r="N18" s="369"/>
      <c r="O18" s="369">
        <f t="shared" si="0"/>
        <v>68313.340928196936</v>
      </c>
      <c r="P18" s="369"/>
      <c r="Q18" s="369">
        <f t="shared" si="0"/>
        <v>70704.307860683824</v>
      </c>
      <c r="R18" s="369"/>
      <c r="S18" s="369">
        <f t="shared" si="0"/>
        <v>73178.95863580775</v>
      </c>
      <c r="T18" s="369"/>
      <c r="U18" s="369">
        <f t="shared" si="0"/>
        <v>75740.222188061016</v>
      </c>
      <c r="V18" s="369"/>
      <c r="W18" s="369">
        <f t="shared" si="0"/>
        <v>78391.129964643143</v>
      </c>
      <c r="X18" s="369"/>
      <c r="Y18" s="369">
        <f t="shared" si="0"/>
        <v>81134.819513405644</v>
      </c>
      <c r="Z18" s="369"/>
      <c r="AA18" s="369">
        <f t="shared" si="0"/>
        <v>83974.538196374837</v>
      </c>
      <c r="AB18" s="369"/>
      <c r="AC18" s="369">
        <f t="shared" si="0"/>
        <v>86913.647033247951</v>
      </c>
      <c r="AD18" s="369"/>
      <c r="AE18" s="369">
        <f t="shared" si="0"/>
        <v>89955.624679411616</v>
      </c>
      <c r="AF18" s="369"/>
      <c r="AG18" s="369">
        <f t="shared" si="0"/>
        <v>93104.071543191021</v>
      </c>
    </row>
    <row r="19" spans="1:33" s="350" customFormat="1" ht="13.8">
      <c r="A19" s="350" t="s">
        <v>423</v>
      </c>
      <c r="C19" s="380"/>
      <c r="E19" s="369">
        <f>Application!W850</f>
        <v>100916</v>
      </c>
      <c r="F19" s="369"/>
      <c r="G19" s="369">
        <f t="shared" si="0"/>
        <v>104448.06</v>
      </c>
      <c r="H19" s="369"/>
      <c r="I19" s="369">
        <f t="shared" si="0"/>
        <v>108103.74209999999</v>
      </c>
      <c r="J19" s="369"/>
      <c r="K19" s="369">
        <f t="shared" si="0"/>
        <v>111887.37307349998</v>
      </c>
      <c r="L19" s="369"/>
      <c r="M19" s="369">
        <f t="shared" si="0"/>
        <v>115803.43113107247</v>
      </c>
      <c r="N19" s="369"/>
      <c r="O19" s="369">
        <f t="shared" si="0"/>
        <v>119856.55122066</v>
      </c>
      <c r="P19" s="369"/>
      <c r="Q19" s="369">
        <f t="shared" si="0"/>
        <v>124051.53051338308</v>
      </c>
      <c r="R19" s="369"/>
      <c r="S19" s="369">
        <f t="shared" si="0"/>
        <v>128393.33408135148</v>
      </c>
      <c r="T19" s="369"/>
      <c r="U19" s="369">
        <f t="shared" si="0"/>
        <v>132887.10077419877</v>
      </c>
      <c r="V19" s="369"/>
      <c r="W19" s="369">
        <f t="shared" si="0"/>
        <v>137538.14930129572</v>
      </c>
      <c r="X19" s="369"/>
      <c r="Y19" s="369">
        <f t="shared" si="0"/>
        <v>142351.98452684106</v>
      </c>
      <c r="Z19" s="369"/>
      <c r="AA19" s="369">
        <f t="shared" si="0"/>
        <v>147334.30398528048</v>
      </c>
      <c r="AB19" s="369"/>
      <c r="AC19" s="369">
        <f t="shared" si="0"/>
        <v>152491.00462476528</v>
      </c>
      <c r="AD19" s="369"/>
      <c r="AE19" s="369">
        <f t="shared" si="0"/>
        <v>157828.18978663205</v>
      </c>
      <c r="AF19" s="369"/>
      <c r="AG19" s="369">
        <f t="shared" si="0"/>
        <v>163352.17642916416</v>
      </c>
    </row>
    <row r="20" spans="1:33" s="350" customFormat="1" ht="13.8">
      <c r="A20" s="373" t="s">
        <v>1071</v>
      </c>
      <c r="B20" s="373"/>
      <c r="C20" s="380"/>
      <c r="E20" s="379">
        <f>Application!W857</f>
        <v>37298</v>
      </c>
      <c r="F20" s="369"/>
      <c r="G20" s="379">
        <f t="shared" si="0"/>
        <v>38603.43</v>
      </c>
      <c r="H20" s="369"/>
      <c r="I20" s="379">
        <f t="shared" si="0"/>
        <v>39954.550049999998</v>
      </c>
      <c r="J20" s="369"/>
      <c r="K20" s="379">
        <f t="shared" si="0"/>
        <v>41352.959301749994</v>
      </c>
      <c r="L20" s="369"/>
      <c r="M20" s="379">
        <f t="shared" si="0"/>
        <v>42800.31287731124</v>
      </c>
      <c r="N20" s="369"/>
      <c r="O20" s="379">
        <f t="shared" si="0"/>
        <v>44298.323828017128</v>
      </c>
      <c r="P20" s="369"/>
      <c r="Q20" s="379">
        <f t="shared" si="0"/>
        <v>45848.765161997726</v>
      </c>
      <c r="R20" s="369"/>
      <c r="S20" s="379">
        <f t="shared" si="0"/>
        <v>47453.471942667646</v>
      </c>
      <c r="T20" s="369"/>
      <c r="U20" s="379">
        <f t="shared" si="0"/>
        <v>49114.34346066101</v>
      </c>
      <c r="V20" s="369"/>
      <c r="W20" s="379">
        <f t="shared" si="0"/>
        <v>50833.345481784141</v>
      </c>
      <c r="X20" s="369"/>
      <c r="Y20" s="379">
        <f t="shared" si="0"/>
        <v>52612.512573646585</v>
      </c>
      <c r="Z20" s="369"/>
      <c r="AA20" s="379">
        <f t="shared" si="0"/>
        <v>54453.950513724209</v>
      </c>
      <c r="AB20" s="369"/>
      <c r="AC20" s="379">
        <f t="shared" si="0"/>
        <v>56359.838781704551</v>
      </c>
      <c r="AD20" s="369"/>
      <c r="AE20" s="379">
        <f t="shared" si="0"/>
        <v>58332.433139064204</v>
      </c>
      <c r="AF20" s="369"/>
      <c r="AG20" s="379">
        <f t="shared" si="0"/>
        <v>60374.068298931445</v>
      </c>
    </row>
    <row r="21" spans="1:33" s="370" customFormat="1" ht="13.8">
      <c r="A21" s="370" t="s">
        <v>929</v>
      </c>
      <c r="C21" s="380"/>
      <c r="E21" s="370">
        <f>SUM(E14:E20)</f>
        <v>969722</v>
      </c>
      <c r="G21" s="370">
        <f>SUM(G14:G20)</f>
        <v>1003662.2699999999</v>
      </c>
      <c r="I21" s="370">
        <f>SUM(I14:I20)</f>
        <v>1038790.4494499998</v>
      </c>
      <c r="K21" s="370">
        <f>SUM(K14:K20)</f>
        <v>1075148.1151807499</v>
      </c>
      <c r="M21" s="370">
        <f>SUM(M14:M20)</f>
        <v>1112778.2992120758</v>
      </c>
      <c r="O21" s="370">
        <f>SUM(O14:O20)</f>
        <v>1151725.5396844984</v>
      </c>
      <c r="Q21" s="370">
        <f>SUM(Q14:Q20)</f>
        <v>1192035.9335734555</v>
      </c>
      <c r="S21" s="370">
        <f>SUM(S14:S20)</f>
        <v>1233757.1912485268</v>
      </c>
      <c r="U21" s="370">
        <f>SUM(U14:U20)</f>
        <v>1276938.6929422249</v>
      </c>
      <c r="W21" s="370">
        <f>SUM(W14:W20)</f>
        <v>1321631.5471952027</v>
      </c>
      <c r="Y21" s="370">
        <f>SUM(Y14:Y20)</f>
        <v>1367888.6513470348</v>
      </c>
      <c r="AA21" s="370">
        <f>SUM(AA14:AA20)</f>
        <v>1415764.754144181</v>
      </c>
      <c r="AC21" s="370">
        <f>SUM(AC14:AC20)</f>
        <v>1465316.5205392272</v>
      </c>
      <c r="AE21" s="370">
        <f>SUM(AE14:AE20)</f>
        <v>1516602.5987580996</v>
      </c>
      <c r="AG21" s="370">
        <f>SUM(AG14:AG20)</f>
        <v>1569683.6897146332</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931</v>
      </c>
      <c r="C24" s="392">
        <v>1.0349999999999999</v>
      </c>
      <c r="E24" s="369">
        <f>Application!AC866</f>
        <v>60000</v>
      </c>
      <c r="F24" s="369"/>
      <c r="G24" s="369">
        <f>E24*$C$24</f>
        <v>62099.999999999993</v>
      </c>
      <c r="H24" s="369"/>
      <c r="I24" s="369">
        <f>G24*$C$24</f>
        <v>64273.499999999985</v>
      </c>
      <c r="J24" s="369"/>
      <c r="K24" s="369">
        <f>I24*$C$24</f>
        <v>66523.07249999998</v>
      </c>
      <c r="L24" s="369"/>
      <c r="M24" s="369">
        <f>K24*$C$24</f>
        <v>68851.38003749997</v>
      </c>
      <c r="N24" s="369"/>
      <c r="O24" s="369">
        <f>M24*$C$24</f>
        <v>71261.17833881246</v>
      </c>
      <c r="P24" s="369"/>
      <c r="Q24" s="369">
        <f>O24*$C$24</f>
        <v>73755.319580670897</v>
      </c>
      <c r="R24" s="369"/>
      <c r="S24" s="369">
        <f>Q24*$C$24</f>
        <v>76336.75576599437</v>
      </c>
      <c r="T24" s="369"/>
      <c r="U24" s="369">
        <f>S24*$C$24</f>
        <v>79008.542217804163</v>
      </c>
      <c r="V24" s="369"/>
      <c r="W24" s="369">
        <f>U24*$C$24</f>
        <v>81773.841195427303</v>
      </c>
      <c r="X24" s="369"/>
      <c r="Y24" s="369">
        <f>W24*$C$24</f>
        <v>84635.925637267253</v>
      </c>
      <c r="Z24" s="369"/>
      <c r="AA24" s="369">
        <f>Y24*$C$24</f>
        <v>87598.183034571601</v>
      </c>
      <c r="AB24" s="369"/>
      <c r="AC24" s="369">
        <f>AA24*$C$24</f>
        <v>90664.119440781593</v>
      </c>
      <c r="AD24" s="369"/>
      <c r="AE24" s="369">
        <f>AC24*$C$24</f>
        <v>93837.363621208948</v>
      </c>
      <c r="AF24" s="369"/>
      <c r="AG24" s="369">
        <f>AE24*$C$24</f>
        <v>97121.671347951255</v>
      </c>
    </row>
    <row r="25" spans="1:33" s="350" customFormat="1" ht="13.8">
      <c r="A25" s="350" t="s">
        <v>932</v>
      </c>
      <c r="C25" s="392"/>
      <c r="E25" s="369">
        <f>Application!AC867</f>
        <v>29000</v>
      </c>
      <c r="F25" s="369"/>
      <c r="G25" s="369">
        <f>$E$25</f>
        <v>29000</v>
      </c>
      <c r="H25" s="369"/>
      <c r="I25" s="369">
        <f>$E$25</f>
        <v>29000</v>
      </c>
      <c r="J25" s="369"/>
      <c r="K25" s="369">
        <f>$E$25</f>
        <v>29000</v>
      </c>
      <c r="L25" s="369"/>
      <c r="M25" s="369">
        <f>$E$25</f>
        <v>29000</v>
      </c>
      <c r="N25" s="369"/>
      <c r="O25" s="369">
        <f>$E$25</f>
        <v>29000</v>
      </c>
      <c r="P25" s="369"/>
      <c r="Q25" s="369">
        <f>$E$25</f>
        <v>29000</v>
      </c>
      <c r="R25" s="369"/>
      <c r="S25" s="369">
        <f>$E$25</f>
        <v>29000</v>
      </c>
      <c r="T25" s="369"/>
      <c r="U25" s="369">
        <f>$E$25</f>
        <v>29000</v>
      </c>
      <c r="V25" s="369"/>
      <c r="W25" s="369">
        <f>$E$25</f>
        <v>29000</v>
      </c>
      <c r="X25" s="369"/>
      <c r="Y25" s="369">
        <f>$E$25</f>
        <v>29000</v>
      </c>
      <c r="Z25" s="369"/>
      <c r="AA25" s="369">
        <f>$E$25</f>
        <v>29000</v>
      </c>
      <c r="AB25" s="369"/>
      <c r="AC25" s="369">
        <f>$E$25</f>
        <v>29000</v>
      </c>
      <c r="AD25" s="369"/>
      <c r="AE25" s="369">
        <f>$E$25</f>
        <v>29000</v>
      </c>
      <c r="AF25" s="369"/>
      <c r="AG25" s="369">
        <f>$E$25</f>
        <v>29000</v>
      </c>
    </row>
    <row r="26" spans="1:33" s="350" customFormat="1" ht="13.8">
      <c r="A26" s="350" t="s">
        <v>930</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1058722</v>
      </c>
      <c r="G30" s="370">
        <f>SUM(G21:G28)</f>
        <v>1094762.2699999998</v>
      </c>
      <c r="I30" s="370">
        <f>SUM(I21:I28)</f>
        <v>1132063.9494499997</v>
      </c>
      <c r="K30" s="370">
        <f>SUM(K21:K28)</f>
        <v>1170671.1876807499</v>
      </c>
      <c r="M30" s="370">
        <f>SUM(M21:M28)</f>
        <v>1210629.6792495758</v>
      </c>
      <c r="O30" s="370">
        <f>SUM(O21:O28)</f>
        <v>1251986.7180233109</v>
      </c>
      <c r="Q30" s="370">
        <f>SUM(Q21:Q28)</f>
        <v>1294791.2531541265</v>
      </c>
      <c r="S30" s="370">
        <f>SUM(S21:S28)</f>
        <v>1339093.9470145211</v>
      </c>
      <c r="U30" s="370">
        <f>SUM(U21:U28)</f>
        <v>1384947.235160029</v>
      </c>
      <c r="W30" s="370">
        <f>SUM(W21:W28)</f>
        <v>1432405.38839063</v>
      </c>
      <c r="Y30" s="370">
        <f>SUM(Y21:Y28)</f>
        <v>1481524.5769843021</v>
      </c>
      <c r="AA30" s="370">
        <f>SUM(AA21:AA28)</f>
        <v>1532362.9371787526</v>
      </c>
      <c r="AC30" s="370">
        <f>SUM(AC21:AC28)</f>
        <v>1584980.6399800088</v>
      </c>
      <c r="AE30" s="370">
        <f>SUM(AE21:AE28)</f>
        <v>1639439.9623793087</v>
      </c>
      <c r="AG30" s="370">
        <f>SUM(AG21:AG28)</f>
        <v>1695805.3610625844</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933</v>
      </c>
      <c r="C32" s="371"/>
      <c r="E32" s="370">
        <f>E10-E30</f>
        <v>405836</v>
      </c>
      <c r="G32" s="370">
        <f>G10-G30</f>
        <v>406409.68000000017</v>
      </c>
      <c r="I32" s="370">
        <f>I10-I30</f>
        <v>406637.29930000007</v>
      </c>
      <c r="K32" s="370">
        <f>K10-K30</f>
        <v>406497.59228799981</v>
      </c>
      <c r="M32" s="370">
        <f>M10-M30</f>
        <v>405968.32021839241</v>
      </c>
      <c r="O32" s="370">
        <f>O10-O30</f>
        <v>405026.23143135663</v>
      </c>
      <c r="Q32" s="370">
        <f>Q10-Q30</f>
        <v>403647.02003690763</v>
      </c>
      <c r="S32" s="370">
        <f>S10-S30</f>
        <v>401805.28300628858</v>
      </c>
      <c r="U32" s="370">
        <f>U10-U30</f>
        <v>399474.47561130067</v>
      </c>
      <c r="W32" s="370">
        <f>W10-W30</f>
        <v>396626.86514998274</v>
      </c>
      <c r="Y32" s="370">
        <f>Y10-Y30</f>
        <v>393233.48289482598</v>
      </c>
      <c r="AA32" s="370">
        <f>AA10-AA30</f>
        <v>389264.07419735356</v>
      </c>
      <c r="AC32" s="370">
        <f>AC10-AC30</f>
        <v>384687.0466804998</v>
      </c>
      <c r="AE32" s="370">
        <f>AE10-AE30</f>
        <v>379469.41644771234</v>
      </c>
      <c r="AG32" s="370">
        <f>AG10-AG30</f>
        <v>373576.75223511178</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tr">
        <f>Application!C618</f>
        <v>MOHCD PASS Loan - Market Rate Tranche</v>
      </c>
      <c r="B35" s="373"/>
      <c r="C35" s="367"/>
      <c r="E35" s="369">
        <f>Application!AB618</f>
        <v>236168.46728014105</v>
      </c>
      <c r="F35" s="369"/>
      <c r="G35" s="369">
        <f>$E$35</f>
        <v>236168.46728014105</v>
      </c>
      <c r="H35" s="369"/>
      <c r="I35" s="369">
        <f>$E$35</f>
        <v>236168.46728014105</v>
      </c>
      <c r="J35" s="369"/>
      <c r="K35" s="369">
        <f>$E$35</f>
        <v>236168.46728014105</v>
      </c>
      <c r="L35" s="369"/>
      <c r="M35" s="369">
        <f>$E$35</f>
        <v>236168.46728014105</v>
      </c>
      <c r="N35" s="369"/>
      <c r="O35" s="369">
        <f>$E$35</f>
        <v>236168.46728014105</v>
      </c>
      <c r="P35" s="369"/>
      <c r="Q35" s="369">
        <f>$E$35</f>
        <v>236168.46728014105</v>
      </c>
      <c r="R35" s="369"/>
      <c r="S35" s="369">
        <f>$E$35</f>
        <v>236168.46728014105</v>
      </c>
      <c r="T35" s="369"/>
      <c r="U35" s="369">
        <f>$E$35</f>
        <v>236168.46728014105</v>
      </c>
      <c r="V35" s="369"/>
      <c r="W35" s="369">
        <f>$E$35</f>
        <v>236168.46728014105</v>
      </c>
      <c r="X35" s="369"/>
      <c r="Y35" s="369">
        <f>$E$35</f>
        <v>236168.46728014105</v>
      </c>
      <c r="Z35" s="369"/>
      <c r="AA35" s="369">
        <f>$E$35</f>
        <v>236168.46728014105</v>
      </c>
      <c r="AB35" s="369"/>
      <c r="AC35" s="369">
        <f>$E$35</f>
        <v>236168.46728014105</v>
      </c>
      <c r="AD35" s="369"/>
      <c r="AE35" s="369">
        <f>$E$35</f>
        <v>236168.46728014105</v>
      </c>
      <c r="AF35" s="369"/>
      <c r="AG35" s="369">
        <f>$E$35</f>
        <v>236168.46728014105</v>
      </c>
    </row>
    <row r="36" spans="1:35" s="350" customFormat="1" ht="13.8">
      <c r="A36" s="372" t="str">
        <f>Application!C619</f>
        <v>MOHCD PASS Loan - Below Market Rate Tranche</v>
      </c>
      <c r="B36" s="373"/>
      <c r="C36" s="367"/>
      <c r="E36" s="369">
        <f>Application!AB619</f>
        <v>70530.410174796722</v>
      </c>
      <c r="F36" s="369"/>
      <c r="G36" s="369">
        <f>$E$36</f>
        <v>70530.410174796722</v>
      </c>
      <c r="H36" s="369"/>
      <c r="I36" s="369">
        <f>$E$36</f>
        <v>70530.410174796722</v>
      </c>
      <c r="J36" s="369"/>
      <c r="K36" s="369">
        <f>$E$36</f>
        <v>70530.410174796722</v>
      </c>
      <c r="L36" s="369"/>
      <c r="M36" s="369">
        <f>$E$36</f>
        <v>70530.410174796722</v>
      </c>
      <c r="N36" s="369"/>
      <c r="O36" s="369">
        <f>$E$36</f>
        <v>70530.410174796722</v>
      </c>
      <c r="P36" s="369"/>
      <c r="Q36" s="369">
        <f>$E$36</f>
        <v>70530.410174796722</v>
      </c>
      <c r="R36" s="369"/>
      <c r="S36" s="369">
        <f>$E$36</f>
        <v>70530.410174796722</v>
      </c>
      <c r="T36" s="369"/>
      <c r="U36" s="369">
        <f>$E$36</f>
        <v>70530.410174796722</v>
      </c>
      <c r="V36" s="369"/>
      <c r="W36" s="369">
        <f>$E$36</f>
        <v>70530.410174796722</v>
      </c>
      <c r="X36" s="369"/>
      <c r="Y36" s="369">
        <f>$E$36</f>
        <v>70530.410174796722</v>
      </c>
      <c r="Z36" s="369"/>
      <c r="AA36" s="369">
        <f>$E$36</f>
        <v>70530.410174796722</v>
      </c>
      <c r="AB36" s="369"/>
      <c r="AC36" s="369">
        <f>$E$36</f>
        <v>70530.410174796722</v>
      </c>
      <c r="AD36" s="369"/>
      <c r="AE36" s="369">
        <f>$E$36</f>
        <v>70530.410174796722</v>
      </c>
      <c r="AF36" s="369"/>
      <c r="AG36" s="369">
        <f>$E$36</f>
        <v>70530.410174796722</v>
      </c>
    </row>
    <row r="37" spans="1:35" s="350" customFormat="1" ht="13.8">
      <c r="A37" s="372" t="s">
        <v>1755</v>
      </c>
      <c r="B37" s="373"/>
      <c r="C37" s="367"/>
      <c r="E37" s="379">
        <f>Application!AB625+Application!AB627</f>
        <v>41554.602599999998</v>
      </c>
      <c r="F37" s="369"/>
      <c r="G37" s="379">
        <f>$E$37</f>
        <v>41554.602599999998</v>
      </c>
      <c r="H37" s="369"/>
      <c r="I37" s="379">
        <f>$E$37</f>
        <v>41554.602599999998</v>
      </c>
      <c r="J37" s="369"/>
      <c r="K37" s="379">
        <f>$E$37</f>
        <v>41554.602599999998</v>
      </c>
      <c r="L37" s="369"/>
      <c r="M37" s="379">
        <f>$E$37</f>
        <v>41554.602599999998</v>
      </c>
      <c r="N37" s="369"/>
      <c r="O37" s="379">
        <f>$E$37</f>
        <v>41554.602599999998</v>
      </c>
      <c r="P37" s="369"/>
      <c r="Q37" s="379">
        <f>$E$37</f>
        <v>41554.602599999998</v>
      </c>
      <c r="R37" s="369"/>
      <c r="S37" s="379">
        <f>$E$37</f>
        <v>41554.602599999998</v>
      </c>
      <c r="T37" s="369"/>
      <c r="U37" s="379">
        <f>$E$37</f>
        <v>41554.602599999998</v>
      </c>
      <c r="V37" s="369"/>
      <c r="W37" s="379">
        <f>$E$37</f>
        <v>41554.602599999998</v>
      </c>
      <c r="X37" s="369"/>
      <c r="Y37" s="379">
        <f>$E$37</f>
        <v>41554.602599999998</v>
      </c>
      <c r="Z37" s="369"/>
      <c r="AA37" s="379">
        <f>$E$37</f>
        <v>41554.602599999998</v>
      </c>
      <c r="AB37" s="369"/>
      <c r="AC37" s="379">
        <f>$E$37</f>
        <v>41554.602599999998</v>
      </c>
      <c r="AD37" s="369"/>
      <c r="AE37" s="379">
        <f>$E$37</f>
        <v>41554.602599999998</v>
      </c>
      <c r="AF37" s="369"/>
      <c r="AG37" s="379">
        <f>$E$37</f>
        <v>41554.602599999998</v>
      </c>
    </row>
    <row r="38" spans="1:35" s="370" customFormat="1" ht="13.8">
      <c r="A38" s="370" t="s">
        <v>934</v>
      </c>
      <c r="C38" s="371"/>
      <c r="E38" s="370">
        <f>SUM(E35:E37)</f>
        <v>348253.48005493777</v>
      </c>
      <c r="G38" s="370">
        <f>SUM(G35:G37)</f>
        <v>348253.48005493777</v>
      </c>
      <c r="I38" s="370">
        <f>SUM(I35:I37)</f>
        <v>348253.48005493777</v>
      </c>
      <c r="K38" s="370">
        <f>SUM(K35:K37)</f>
        <v>348253.48005493777</v>
      </c>
      <c r="M38" s="370">
        <f>SUM(M35:M37)</f>
        <v>348253.48005493777</v>
      </c>
      <c r="O38" s="370">
        <f>SUM(O35:O37)</f>
        <v>348253.48005493777</v>
      </c>
      <c r="Q38" s="370">
        <f>SUM(Q35:Q37)</f>
        <v>348253.48005493777</v>
      </c>
      <c r="S38" s="370">
        <f>SUM(S35:S37)</f>
        <v>348253.48005493777</v>
      </c>
      <c r="U38" s="370">
        <f>SUM(U35:U37)</f>
        <v>348253.48005493777</v>
      </c>
      <c r="W38" s="370">
        <f>SUM(W35:W37)</f>
        <v>348253.48005493777</v>
      </c>
      <c r="Y38" s="370">
        <f>SUM(Y35:Y37)</f>
        <v>348253.48005493777</v>
      </c>
      <c r="AA38" s="370">
        <f>SUM(AA35:AA37)</f>
        <v>348253.48005493777</v>
      </c>
      <c r="AC38" s="370">
        <f>SUM(AC35:AC37)</f>
        <v>348253.48005493777</v>
      </c>
      <c r="AE38" s="370">
        <f>SUM(AE35:AE37)</f>
        <v>348253.48005493777</v>
      </c>
      <c r="AG38" s="370">
        <f>SUM(AG35:AG37)</f>
        <v>348253.48005493777</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935</v>
      </c>
      <c r="C40" s="371"/>
      <c r="E40" s="370">
        <f>E32-E38</f>
        <v>57582.519945062231</v>
      </c>
      <c r="G40" s="370">
        <f>G32-G38</f>
        <v>58156.199945062399</v>
      </c>
      <c r="I40" s="370">
        <f>I32-I38</f>
        <v>58383.819245062303</v>
      </c>
      <c r="K40" s="370">
        <f>K32-K38</f>
        <v>58244.112233062042</v>
      </c>
      <c r="M40" s="370">
        <f>M32-M38</f>
        <v>57714.840163454646</v>
      </c>
      <c r="O40" s="370">
        <f>O32-O38</f>
        <v>56772.751376418862</v>
      </c>
      <c r="Q40" s="370">
        <f>Q32-Q38</f>
        <v>55393.539981969865</v>
      </c>
      <c r="S40" s="370">
        <f>S32-S38</f>
        <v>53551.802951350808</v>
      </c>
      <c r="U40" s="370">
        <f>U32-U38</f>
        <v>51220.995556362905</v>
      </c>
      <c r="W40" s="370">
        <f>W32-W38</f>
        <v>48373.385095044971</v>
      </c>
      <c r="Y40" s="370">
        <f>Y32-Y38</f>
        <v>44980.002839888213</v>
      </c>
      <c r="AA40" s="370">
        <f>AA32-AA38</f>
        <v>41010.594142415794</v>
      </c>
      <c r="AC40" s="370">
        <f>AC32-AC38</f>
        <v>36433.566625562031</v>
      </c>
      <c r="AE40" s="370">
        <f>AE32-AE38</f>
        <v>31215.936392774573</v>
      </c>
      <c r="AG40" s="370">
        <f>AG32-AG38</f>
        <v>25323.272180174012</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937</v>
      </c>
      <c r="C42" s="367"/>
      <c r="E42" s="374">
        <f>E40/(E4+E6+E8)</f>
        <v>3.7351469827626577E-2</v>
      </c>
      <c r="G42" s="374">
        <f>G40/(G4+G6+G8)</f>
        <v>3.6803505386447756E-2</v>
      </c>
      <c r="I42" s="374">
        <f>I40/(I4+I6+I8)</f>
        <v>3.6046391934670345E-2</v>
      </c>
      <c r="K42" s="374">
        <f>K40/(K4+K6+K8)</f>
        <v>3.5083059799411766E-2</v>
      </c>
      <c r="M42" s="374">
        <f>M40/(M4+M6+M8)</f>
        <v>3.3916346657193987E-2</v>
      </c>
      <c r="O42" s="374">
        <f>O40/(O4+O6+O8)</f>
        <v>3.2548999587087082E-2</v>
      </c>
      <c r="Q42" s="374">
        <f>Q40/(Q4+Q6+Q8)</f>
        <v>3.098367707176158E-2</v>
      </c>
      <c r="S42" s="374">
        <f>S40/(S4+S6+S8)</f>
        <v>2.9222950947697959E-2</v>
      </c>
      <c r="U42" s="374">
        <f>U40/(U4+U6+U8)</f>
        <v>2.7269308305776625E-2</v>
      </c>
      <c r="W42" s="374">
        <f>W40/(W4+W6+W8)</f>
        <v>2.5125153343432998E-2</v>
      </c>
      <c r="Y42" s="374">
        <f>Y40/(Y4+Y6+Y8)</f>
        <v>2.2792809169546291E-2</v>
      </c>
      <c r="AA42" s="374">
        <f>AA40/(AA4+AA6+AA8)</f>
        <v>2.0274519563187821E-2</v>
      </c>
      <c r="AC42" s="374">
        <f>AC40/(AC4+AC6+AC8)</f>
        <v>1.7572450687337506E-2</v>
      </c>
      <c r="AE42" s="374">
        <f>AE40/(AE4+AE6+AE8)</f>
        <v>1.4688692758644456E-2</v>
      </c>
      <c r="AG42" s="374">
        <f>AG40/(AG4+AG6+AG8)</f>
        <v>1.1625261674282442E-2</v>
      </c>
    </row>
    <row r="43" spans="1:35" s="374" customFormat="1" ht="13.8">
      <c r="A43" s="374" t="s">
        <v>938</v>
      </c>
      <c r="C43" s="367"/>
      <c r="E43" s="374">
        <f>E40/E38</f>
        <v>0.16534657438592848</v>
      </c>
      <c r="G43" s="374">
        <f>G40/G38</f>
        <v>0.16699388025035133</v>
      </c>
      <c r="I43" s="374">
        <f>I40/I38</f>
        <v>0.16764748262056742</v>
      </c>
      <c r="K43" s="374">
        <f>K40/K38</f>
        <v>0.16724631789429326</v>
      </c>
      <c r="M43" s="374">
        <f>M40/M38</f>
        <v>0.16572652814366709</v>
      </c>
      <c r="O43" s="374">
        <f>O40/O38</f>
        <v>0.1630213468863623</v>
      </c>
      <c r="Q43" s="374">
        <f>Q40/Q38</f>
        <v>0.1590609804480099</v>
      </c>
      <c r="S43" s="374">
        <f>S40/S38</f>
        <v>0.15377248475134517</v>
      </c>
      <c r="U43" s="374">
        <f>U40/U38</f>
        <v>0.14707963736150656</v>
      </c>
      <c r="W43" s="374">
        <f>W40/W38</f>
        <v>0.13890280461063578</v>
      </c>
      <c r="Y43" s="374">
        <f>Y40/Y38</f>
        <v>0.12915880361853818</v>
      </c>
      <c r="AA43" s="374">
        <f>AA40/AA38</f>
        <v>0.11776075901939667</v>
      </c>
      <c r="AC43" s="374">
        <f>AC40/AC38</f>
        <v>0.1046179541976567</v>
      </c>
      <c r="AE43" s="374">
        <f>AE40/AE38</f>
        <v>8.9635676828987293E-2</v>
      </c>
      <c r="AG43" s="374">
        <f>AG40/AG38</f>
        <v>7.271505851478989E-2</v>
      </c>
    </row>
    <row r="44" spans="1:35" s="375" customFormat="1" ht="13.8">
      <c r="A44" s="375" t="s">
        <v>936</v>
      </c>
      <c r="C44" s="376"/>
      <c r="E44" s="375">
        <f>E32/E38</f>
        <v>1.1653465743859286</v>
      </c>
      <c r="G44" s="375">
        <f>G32/G38</f>
        <v>1.1669938802503514</v>
      </c>
      <c r="I44" s="375">
        <f>I32/I38</f>
        <v>1.1676474826205674</v>
      </c>
      <c r="K44" s="375">
        <f>K32/K38</f>
        <v>1.1672463178942933</v>
      </c>
      <c r="M44" s="375">
        <f>M32/M38</f>
        <v>1.1657265281436671</v>
      </c>
      <c r="O44" s="375">
        <f>O32/O38</f>
        <v>1.1630213468863624</v>
      </c>
      <c r="Q44" s="375">
        <f>Q32/Q38</f>
        <v>1.1590609804480099</v>
      </c>
      <c r="S44" s="375">
        <f>S32/S38</f>
        <v>1.1537724847513451</v>
      </c>
      <c r="U44" s="375">
        <f>U32/U38</f>
        <v>1.1470796373615066</v>
      </c>
      <c r="W44" s="375">
        <f>W32/W38</f>
        <v>1.1389028046106358</v>
      </c>
      <c r="Y44" s="375">
        <f>Y32/Y38</f>
        <v>1.1291588036185383</v>
      </c>
      <c r="AA44" s="375">
        <f>AA32/AA38</f>
        <v>1.1177607590193968</v>
      </c>
      <c r="AC44" s="375">
        <f>AC32/AC38</f>
        <v>1.1046179541976566</v>
      </c>
      <c r="AE44" s="375">
        <f>AE32/AE38</f>
        <v>1.0896356768289872</v>
      </c>
      <c r="AG44" s="375">
        <f>AG32/AG38</f>
        <v>1.07271505851479</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23450</v>
      </c>
      <c r="G47" s="255">
        <f>E47*1.03</f>
        <v>24153.5</v>
      </c>
      <c r="I47" s="255">
        <f t="shared" ref="I47:I48" si="1">G47*1.03</f>
        <v>24878.105</v>
      </c>
      <c r="K47" s="255">
        <f t="shared" ref="K47:K48" si="2">I47*1.03</f>
        <v>25624.44815</v>
      </c>
      <c r="M47" s="255">
        <f t="shared" ref="M47:M48" si="3">K47*1.03</f>
        <v>26393.181594500002</v>
      </c>
      <c r="O47" s="255">
        <f t="shared" ref="O47:O48" si="4">M47*1.03</f>
        <v>27184.977042335002</v>
      </c>
      <c r="Q47" s="255">
        <f t="shared" ref="Q47:Q48" si="5">O47*1.03</f>
        <v>28000.526353605052</v>
      </c>
      <c r="S47" s="255">
        <f t="shared" ref="S47:S48" si="6">Q47*1.03</f>
        <v>28840.542144213203</v>
      </c>
      <c r="U47" s="255">
        <f t="shared" ref="U47:U48" si="7">S47*1.03</f>
        <v>29705.758408539601</v>
      </c>
      <c r="W47" s="255">
        <f t="shared" ref="W47:W48" si="8">U47*1.03</f>
        <v>30596.93116079579</v>
      </c>
      <c r="Y47" s="255">
        <f>MIN(W47*1.03,Y40-Y48)</f>
        <v>31514.839095619664</v>
      </c>
      <c r="AA47" s="255">
        <f>MIN(Y47*1.03,AA40-AA48)</f>
        <v>32460.284268488253</v>
      </c>
      <c r="AC47" s="255">
        <f>MIN(AA47*1.03,AC40-AC48)</f>
        <v>29304.762191331138</v>
      </c>
      <c r="AE47" s="255">
        <f>MIN(AC47*1.03,AE40-AE48)</f>
        <v>23873.267825516748</v>
      </c>
      <c r="AG47" s="255">
        <f>MIN(AE47*1.03,AG40-AG48)</f>
        <v>17760.323555898452</v>
      </c>
    </row>
    <row r="48" spans="1:35" s="152" customFormat="1" ht="13.8">
      <c r="A48" s="152" t="s">
        <v>941</v>
      </c>
      <c r="C48" s="394"/>
      <c r="E48" s="384">
        <v>5000</v>
      </c>
      <c r="F48" s="363"/>
      <c r="G48" s="369">
        <f>E48*1.03</f>
        <v>5150</v>
      </c>
      <c r="H48" s="363"/>
      <c r="I48" s="369">
        <f t="shared" si="1"/>
        <v>5304.5</v>
      </c>
      <c r="J48" s="363"/>
      <c r="K48" s="369">
        <f t="shared" si="2"/>
        <v>5463.6350000000002</v>
      </c>
      <c r="L48" s="363"/>
      <c r="M48" s="369">
        <f t="shared" si="3"/>
        <v>5627.5440500000004</v>
      </c>
      <c r="N48" s="363"/>
      <c r="O48" s="369">
        <f t="shared" si="4"/>
        <v>5796.3703715000001</v>
      </c>
      <c r="P48" s="363"/>
      <c r="Q48" s="369">
        <f t="shared" si="5"/>
        <v>5970.2614826449999</v>
      </c>
      <c r="R48" s="363"/>
      <c r="S48" s="369">
        <f t="shared" si="6"/>
        <v>6149.3693271243501</v>
      </c>
      <c r="T48" s="363"/>
      <c r="U48" s="369">
        <f t="shared" si="7"/>
        <v>6333.8504069380806</v>
      </c>
      <c r="V48" s="363"/>
      <c r="W48" s="369">
        <f t="shared" si="8"/>
        <v>6523.865919146223</v>
      </c>
      <c r="X48" s="363"/>
      <c r="Y48" s="369">
        <f t="shared" ref="Y48" si="9">W48*1.03</f>
        <v>6719.5818967206096</v>
      </c>
      <c r="Z48" s="363"/>
      <c r="AA48" s="369">
        <f t="shared" ref="AA48" si="10">Y48*1.03</f>
        <v>6921.1693536222283</v>
      </c>
      <c r="AB48" s="363"/>
      <c r="AC48" s="369">
        <f t="shared" ref="AC48" si="11">AA48*1.03</f>
        <v>7128.8044342308949</v>
      </c>
      <c r="AD48" s="363"/>
      <c r="AE48" s="369">
        <f t="shared" ref="AE48" si="12">AC48*1.03</f>
        <v>7342.6685672578224</v>
      </c>
      <c r="AF48" s="363"/>
      <c r="AG48" s="369">
        <f t="shared" ref="AG48" si="13">AE48*1.03</f>
        <v>7562.9486242755574</v>
      </c>
      <c r="AH48" s="363"/>
      <c r="AI48" s="363"/>
    </row>
    <row r="49" spans="1:35" s="152" customFormat="1" ht="13.8">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28450</v>
      </c>
      <c r="F52" s="363"/>
      <c r="G52" s="363">
        <f>SUM(G47:G51)</f>
        <v>29303.5</v>
      </c>
      <c r="H52" s="363"/>
      <c r="I52" s="363">
        <f>SUM(I47:I51)</f>
        <v>30182.605</v>
      </c>
      <c r="J52" s="363"/>
      <c r="K52" s="363">
        <f>SUM(K47:K51)</f>
        <v>31088.083149999999</v>
      </c>
      <c r="L52" s="363"/>
      <c r="M52" s="363">
        <f>SUM(M47:M51)</f>
        <v>32020.725644500002</v>
      </c>
      <c r="N52" s="363"/>
      <c r="O52" s="363">
        <f>SUM(O47:O51)</f>
        <v>32981.347413834999</v>
      </c>
      <c r="P52" s="363"/>
      <c r="Q52" s="363">
        <f>SUM(Q47:Q51)</f>
        <v>33970.787836250049</v>
      </c>
      <c r="R52" s="363"/>
      <c r="S52" s="363">
        <f>SUM(S47:S51)</f>
        <v>34989.911471337553</v>
      </c>
      <c r="T52" s="363"/>
      <c r="U52" s="363">
        <f>SUM(U47:U51)</f>
        <v>36039.608815477681</v>
      </c>
      <c r="V52" s="363"/>
      <c r="W52" s="363">
        <f>SUM(W47:W51)</f>
        <v>37120.797079942015</v>
      </c>
      <c r="X52" s="363"/>
      <c r="Y52" s="363">
        <f>SUM(Y47:Y51)</f>
        <v>38234.420992340274</v>
      </c>
      <c r="Z52" s="363"/>
      <c r="AA52" s="363">
        <f>SUM(AA47:AA51)</f>
        <v>39381.453622110479</v>
      </c>
      <c r="AB52" s="363"/>
      <c r="AC52" s="363">
        <f>SUM(AC47:AC51)</f>
        <v>36433.566625562031</v>
      </c>
      <c r="AD52" s="363"/>
      <c r="AE52" s="363">
        <f>SUM(AE47:AE51)</f>
        <v>31215.936392774573</v>
      </c>
      <c r="AF52" s="363"/>
      <c r="AG52" s="363">
        <f>SUM(AG47:AG51)</f>
        <v>25323.272180174012</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29132.519945062231</v>
      </c>
      <c r="G54" s="255">
        <f>G40-G52</f>
        <v>28852.699945062399</v>
      </c>
      <c r="I54" s="255">
        <f>I40-I52</f>
        <v>28201.214245062303</v>
      </c>
      <c r="K54" s="255">
        <f>K40-K52</f>
        <v>27156.029083062043</v>
      </c>
      <c r="M54" s="255">
        <f>M40-M52</f>
        <v>25694.114518954644</v>
      </c>
      <c r="O54" s="255">
        <f>O40-O52</f>
        <v>23791.403962583863</v>
      </c>
      <c r="Q54" s="255">
        <f>Q40-Q52</f>
        <v>21422.752145719816</v>
      </c>
      <c r="S54" s="255">
        <f>S40-S52</f>
        <v>18561.891480013255</v>
      </c>
      <c r="U54" s="255">
        <f>U40-U52</f>
        <v>15181.386740885224</v>
      </c>
      <c r="W54" s="255">
        <f>W40-W52</f>
        <v>11252.588015102956</v>
      </c>
      <c r="Y54" s="255">
        <f>Y40-Y52</f>
        <v>6745.5818475479391</v>
      </c>
      <c r="AA54" s="255">
        <f>AA40-AA52</f>
        <v>1629.1405203053146</v>
      </c>
      <c r="AC54" s="255">
        <f>AC40-AC52</f>
        <v>0</v>
      </c>
      <c r="AE54" s="255">
        <f>AE40-AE52</f>
        <v>0</v>
      </c>
      <c r="AG54" s="255">
        <f>AG40-AG52</f>
        <v>0</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29132.519945062231</v>
      </c>
      <c r="G56" s="383">
        <f t="shared" ref="G56" si="14">G54</f>
        <v>28852.699945062399</v>
      </c>
      <c r="I56" s="383">
        <f t="shared" ref="I56" si="15">I54</f>
        <v>28201.214245062303</v>
      </c>
      <c r="K56" s="383">
        <f t="shared" ref="K56" si="16">K54</f>
        <v>27156.029083062043</v>
      </c>
      <c r="M56" s="383">
        <f t="shared" ref="M56" si="17">M54</f>
        <v>25694.114518954644</v>
      </c>
      <c r="O56" s="383">
        <f t="shared" ref="O56" si="18">O54</f>
        <v>23791.403962583863</v>
      </c>
      <c r="Q56" s="383">
        <f t="shared" ref="Q56" si="19">Q54</f>
        <v>21422.752145719816</v>
      </c>
      <c r="S56" s="383">
        <f t="shared" ref="S56" si="20">S54</f>
        <v>18561.891480013255</v>
      </c>
      <c r="U56" s="383">
        <f t="shared" ref="U56" si="21">U54</f>
        <v>15181.386740885224</v>
      </c>
      <c r="W56" s="383">
        <f t="shared" ref="W56" si="22">W54</f>
        <v>11252.588015102956</v>
      </c>
      <c r="Y56" s="383">
        <f t="shared" ref="Y56" si="23">Y54</f>
        <v>6745.5818475479391</v>
      </c>
      <c r="AA56" s="383">
        <f t="shared" ref="AA56" si="24">AA54</f>
        <v>1629.1405203053146</v>
      </c>
      <c r="AC56" s="383">
        <f t="shared" ref="AC56" si="25">AC54</f>
        <v>0</v>
      </c>
      <c r="AE56" s="383">
        <f t="shared" ref="AE56" si="26">AE54</f>
        <v>0</v>
      </c>
      <c r="AG56" s="383">
        <f t="shared" ref="AG56" si="27">AG54</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9" t="s">
        <v>950</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Kevin Dumler</cp:lastModifiedBy>
  <cp:lastPrinted>2020-09-12T19:15:17Z</cp:lastPrinted>
  <dcterms:created xsi:type="dcterms:W3CDTF">2007-12-27T18:26:28Z</dcterms:created>
  <dcterms:modified xsi:type="dcterms:W3CDTF">2020-09-23T21:22:48Z</dcterms:modified>
</cp:coreProperties>
</file>