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570" yWindow="0" windowWidth="16500" windowHeight="19560" tabRatio="905" firstSheet="2"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31" i="7" l="1"/>
  <c r="W31" i="7"/>
  <c r="Y31" i="7"/>
  <c r="AA31" i="7"/>
  <c r="AC31" i="7"/>
  <c r="AE31" i="7"/>
  <c r="AG31" i="7"/>
  <c r="S31" i="7"/>
  <c r="Q31" i="7"/>
  <c r="O31" i="7"/>
  <c r="M31" i="7"/>
  <c r="K31" i="7"/>
  <c r="I31" i="7"/>
  <c r="G31" i="7"/>
  <c r="I29" i="7" l="1"/>
  <c r="G29" i="7"/>
  <c r="G27" i="7"/>
  <c r="E33" i="7" l="1"/>
  <c r="E45" i="7"/>
  <c r="E31" i="7"/>
  <c r="E29" i="7"/>
  <c r="G28" i="7"/>
  <c r="E28" i="7"/>
  <c r="C623" i="3" l="1"/>
  <c r="AE550" i="3"/>
  <c r="P618" i="3" l="1"/>
  <c r="G48" i="7" l="1"/>
  <c r="I48" i="7" s="1"/>
  <c r="K48" i="7" s="1"/>
  <c r="M48" i="7" s="1"/>
  <c r="O48" i="7" s="1"/>
  <c r="Q48" i="7" s="1"/>
  <c r="S48" i="7" s="1"/>
  <c r="U48" i="7" s="1"/>
  <c r="W48" i="7" s="1"/>
  <c r="Y48" i="7" s="1"/>
  <c r="AA48" i="7" s="1"/>
  <c r="AC48" i="7" s="1"/>
  <c r="AE48" i="7" s="1"/>
  <c r="AG48" i="7" s="1"/>
  <c r="G49" i="7"/>
  <c r="I49" i="7" s="1"/>
  <c r="K49" i="7" s="1"/>
  <c r="M49" i="7" s="1"/>
  <c r="O49" i="7" s="1"/>
  <c r="Q49" i="7" s="1"/>
  <c r="S49" i="7" s="1"/>
  <c r="U49" i="7" s="1"/>
  <c r="W49" i="7" s="1"/>
  <c r="Y49" i="7" s="1"/>
  <c r="AA49" i="7" s="1"/>
  <c r="AC49" i="7" s="1"/>
  <c r="AE49" i="7" s="1"/>
  <c r="AG49" i="7" s="1"/>
  <c r="H29" i="4" l="1"/>
  <c r="G29" i="4"/>
  <c r="E98" i="4"/>
  <c r="C47" i="4"/>
  <c r="E30" i="4" l="1"/>
  <c r="E31" i="4"/>
  <c r="E32" i="4"/>
  <c r="E33" i="4"/>
  <c r="E29" i="4"/>
  <c r="G28" i="4"/>
  <c r="G10" i="4"/>
  <c r="E93" i="4"/>
  <c r="E70" i="4"/>
  <c r="E71" i="4"/>
  <c r="E72" i="4"/>
  <c r="E73" i="4"/>
  <c r="E69" i="4"/>
  <c r="G77" i="4"/>
  <c r="G88" i="4"/>
  <c r="G89" i="4"/>
  <c r="G92" i="4"/>
  <c r="G87" i="4"/>
  <c r="G81" i="4"/>
  <c r="G82" i="4"/>
  <c r="G83" i="4"/>
  <c r="G80" i="4"/>
  <c r="G48" i="4"/>
  <c r="G49" i="4"/>
  <c r="G50" i="4"/>
  <c r="G47" i="4"/>
  <c r="G44" i="4"/>
  <c r="G39" i="4"/>
  <c r="G38" i="4"/>
  <c r="G6" i="4"/>
  <c r="W826" i="3" l="1"/>
  <c r="W849" i="3"/>
  <c r="AA910" i="3" l="1"/>
  <c r="A28" i="7"/>
  <c r="AC869" i="3"/>
  <c r="I27" i="7"/>
  <c r="K27" i="7" s="1"/>
  <c r="M27" i="7" s="1"/>
  <c r="O27" i="7" s="1"/>
  <c r="Q27" i="7" s="1"/>
  <c r="S27" i="7" s="1"/>
  <c r="S98" i="4" l="1"/>
  <c r="S92" i="4"/>
  <c r="S86" i="4"/>
  <c r="S82" i="4"/>
  <c r="S83" i="4"/>
  <c r="S81" i="4"/>
  <c r="S77" i="4"/>
  <c r="S76" i="4"/>
  <c r="S49" i="4"/>
  <c r="S48" i="4"/>
  <c r="S45" i="4"/>
  <c r="S46" i="4"/>
  <c r="S39" i="4"/>
  <c r="S38" i="4"/>
  <c r="S29" i="4"/>
  <c r="S30" i="4"/>
  <c r="S31" i="4"/>
  <c r="S32" i="4"/>
  <c r="S33" i="4"/>
  <c r="S28" i="4"/>
  <c r="S10" i="4"/>
  <c r="C94" i="4"/>
  <c r="G94" i="4" s="1"/>
  <c r="C91" i="4"/>
  <c r="G91" i="4" s="1"/>
  <c r="C90" i="4"/>
  <c r="G90" i="4" s="1"/>
  <c r="C66" i="4"/>
  <c r="G66" i="4" s="1"/>
  <c r="C65" i="4"/>
  <c r="G65" i="4" s="1"/>
  <c r="C41" i="4"/>
  <c r="G41" i="4" s="1"/>
  <c r="C34" i="4"/>
  <c r="E34" i="4" s="1"/>
  <c r="C13" i="4"/>
  <c r="S13" i="4" s="1"/>
  <c r="C5" i="4"/>
  <c r="G5" i="4" s="1"/>
  <c r="AB621" i="3"/>
  <c r="P619" i="3"/>
  <c r="S94" i="4" l="1"/>
  <c r="S90" i="4"/>
  <c r="S34" i="4"/>
  <c r="S65" i="4"/>
  <c r="S91" i="4"/>
  <c r="H288" i="3"/>
  <c r="P286" i="3"/>
  <c r="H286" i="3"/>
  <c r="H285" i="3"/>
  <c r="H283" i="3"/>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13" s="1"/>
  <c r="B77" i="4"/>
  <c r="C9"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D25" i="13"/>
  <c r="C25" i="13"/>
  <c r="J11" i="13"/>
  <c r="D11" i="13"/>
  <c r="D12" i="13" s="1"/>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D29" i="11" s="1"/>
  <c r="C30" i="11"/>
  <c r="C31" i="11"/>
  <c r="C32" i="11"/>
  <c r="D32" i="11" s="1"/>
  <c r="C33" i="11"/>
  <c r="C34" i="11"/>
  <c r="C35" i="11"/>
  <c r="D35" i="11" s="1"/>
  <c r="C36" i="11"/>
  <c r="D36" i="11" s="1"/>
  <c r="B39" i="11"/>
  <c r="C39" i="11"/>
  <c r="C40" i="11"/>
  <c r="B40" i="11"/>
  <c r="B42" i="11"/>
  <c r="C42" i="11"/>
  <c r="B44" i="11"/>
  <c r="C44" i="11"/>
  <c r="B45" i="11"/>
  <c r="C45" i="11"/>
  <c r="B46" i="11"/>
  <c r="B47" i="11"/>
  <c r="B48" i="11"/>
  <c r="B49" i="11"/>
  <c r="B50" i="11"/>
  <c r="B51" i="11"/>
  <c r="B52" i="11"/>
  <c r="B53" i="11"/>
  <c r="C46" i="11"/>
  <c r="D46" i="11" s="1"/>
  <c r="C47" i="11"/>
  <c r="D47" i="11" s="1"/>
  <c r="C48" i="11"/>
  <c r="C49" i="11"/>
  <c r="D49" i="11" s="1"/>
  <c r="C50" i="11"/>
  <c r="C51" i="11"/>
  <c r="D51" i="11" s="1"/>
  <c r="C52" i="11"/>
  <c r="D52" i="11" s="1"/>
  <c r="C53" i="11"/>
  <c r="D50" i="11"/>
  <c r="B56" i="11"/>
  <c r="C56" i="11"/>
  <c r="B57" i="11"/>
  <c r="D57" i="11" s="1"/>
  <c r="C57" i="11"/>
  <c r="B58" i="11"/>
  <c r="C58" i="11"/>
  <c r="B59" i="11"/>
  <c r="C59" i="11"/>
  <c r="B60" i="11"/>
  <c r="C60" i="11"/>
  <c r="B61" i="11"/>
  <c r="D61" i="11" s="1"/>
  <c r="C61" i="11"/>
  <c r="B62" i="11"/>
  <c r="C62" i="11"/>
  <c r="B66" i="11"/>
  <c r="B67" i="11"/>
  <c r="C66" i="11"/>
  <c r="C68" i="11" s="1"/>
  <c r="C67" i="11"/>
  <c r="B70" i="11"/>
  <c r="C70" i="11"/>
  <c r="B71" i="11"/>
  <c r="D71" i="11" s="1"/>
  <c r="C71" i="11"/>
  <c r="B72" i="11"/>
  <c r="D72" i="11" s="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s="1"/>
  <c r="I5" i="8" s="1"/>
  <c r="A6" i="8"/>
  <c r="C6" i="8"/>
  <c r="H6" i="8" s="1"/>
  <c r="A7" i="8"/>
  <c r="C7" i="8"/>
  <c r="H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E24" i="7"/>
  <c r="E25" i="7"/>
  <c r="E26" i="7"/>
  <c r="U27" i="7"/>
  <c r="W27" i="7" s="1"/>
  <c r="Y27" i="7" s="1"/>
  <c r="AA27" i="7" s="1"/>
  <c r="AC27" i="7" s="1"/>
  <c r="AE27" i="7" s="1"/>
  <c r="AG27" i="7" s="1"/>
  <c r="I28" i="7"/>
  <c r="K28" i="7" s="1"/>
  <c r="M28" i="7" s="1"/>
  <c r="O28" i="7" s="1"/>
  <c r="Q28" i="7" s="1"/>
  <c r="S28" i="7" s="1"/>
  <c r="U28" i="7" s="1"/>
  <c r="W28" i="7" s="1"/>
  <c r="Y28" i="7" s="1"/>
  <c r="AA28" i="7" s="1"/>
  <c r="AC28" i="7" s="1"/>
  <c r="AE28" i="7" s="1"/>
  <c r="AG28" i="7" s="1"/>
  <c r="A36" i="7"/>
  <c r="E36" i="7"/>
  <c r="G37" i="7"/>
  <c r="I37" i="7"/>
  <c r="K37" i="7"/>
  <c r="M37" i="7"/>
  <c r="O37" i="7"/>
  <c r="Q37" i="7"/>
  <c r="S37" i="7"/>
  <c r="U37" i="7"/>
  <c r="W37" i="7"/>
  <c r="Y37" i="7"/>
  <c r="AA37" i="7"/>
  <c r="AC37" i="7"/>
  <c r="AE37" i="7"/>
  <c r="AG37" i="7"/>
  <c r="G38" i="7"/>
  <c r="I38" i="7"/>
  <c r="K38" i="7"/>
  <c r="M38" i="7"/>
  <c r="O38" i="7"/>
  <c r="Q38" i="7"/>
  <c r="S38" i="7"/>
  <c r="U38" i="7"/>
  <c r="W38" i="7"/>
  <c r="Y38" i="7"/>
  <c r="AA38" i="7"/>
  <c r="AC38" i="7"/>
  <c r="AE38" i="7"/>
  <c r="AG38" i="7"/>
  <c r="E53" i="7"/>
  <c r="G53" i="7"/>
  <c r="I53" i="7"/>
  <c r="K53" i="7"/>
  <c r="M53" i="7"/>
  <c r="O53" i="7"/>
  <c r="Q53" i="7"/>
  <c r="S53" i="7"/>
  <c r="U53" i="7"/>
  <c r="W53" i="7"/>
  <c r="Y53" i="7"/>
  <c r="AA53" i="7"/>
  <c r="AC53" i="7"/>
  <c r="AE53" i="7"/>
  <c r="AG53"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D53" i="4"/>
  <c r="D62" i="4"/>
  <c r="D67" i="4"/>
  <c r="B67" i="4" s="1"/>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s="1"/>
  <c r="Y713" i="3"/>
  <c r="AI713" i="3" s="1"/>
  <c r="Y714" i="3"/>
  <c r="Y715" i="3"/>
  <c r="Y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58" i="11"/>
  <c r="D94" i="11"/>
  <c r="D92" i="11"/>
  <c r="D67" i="11"/>
  <c r="D31" i="11"/>
  <c r="D15" i="11"/>
  <c r="D60" i="11"/>
  <c r="C75" i="11"/>
  <c r="D53" i="11"/>
  <c r="D90" i="11"/>
  <c r="D70" i="11"/>
  <c r="B63" i="11"/>
  <c r="D82" i="11"/>
  <c r="D20" i="11"/>
  <c r="M36" i="7" l="1"/>
  <c r="M39" i="7" s="1"/>
  <c r="G24" i="7"/>
  <c r="I24" i="7" s="1"/>
  <c r="K24" i="7" s="1"/>
  <c r="M24" i="7" s="1"/>
  <c r="O24" i="7" s="1"/>
  <c r="Q24" i="7" s="1"/>
  <c r="S24" i="7" s="1"/>
  <c r="U24" i="7" s="1"/>
  <c r="W24" i="7" s="1"/>
  <c r="Y24" i="7" s="1"/>
  <c r="AA24" i="7" s="1"/>
  <c r="AC24" i="7" s="1"/>
  <c r="AE24" i="7" s="1"/>
  <c r="AG24" i="7" s="1"/>
  <c r="G8" i="7"/>
  <c r="G23" i="7"/>
  <c r="I23" i="7" s="1"/>
  <c r="K23" i="7" s="1"/>
  <c r="M23" i="7" s="1"/>
  <c r="O23" i="7" s="1"/>
  <c r="Q23" i="7" s="1"/>
  <c r="S23" i="7" s="1"/>
  <c r="U23" i="7" s="1"/>
  <c r="W23" i="7" s="1"/>
  <c r="Y23" i="7" s="1"/>
  <c r="AA23" i="7" s="1"/>
  <c r="AC23" i="7" s="1"/>
  <c r="AE23" i="7" s="1"/>
  <c r="AG23" i="7" s="1"/>
  <c r="G26" i="7"/>
  <c r="I26" i="7" s="1"/>
  <c r="K26" i="7" s="1"/>
  <c r="M26" i="7" s="1"/>
  <c r="O26" i="7" s="1"/>
  <c r="Q26" i="7" s="1"/>
  <c r="S26" i="7" s="1"/>
  <c r="U26" i="7" s="1"/>
  <c r="W26" i="7" s="1"/>
  <c r="Y26" i="7" s="1"/>
  <c r="AA26" i="7" s="1"/>
  <c r="AC26" i="7" s="1"/>
  <c r="AE26" i="7" s="1"/>
  <c r="AG26" i="7" s="1"/>
  <c r="AE25" i="7"/>
  <c r="K12" i="4"/>
  <c r="D23" i="11"/>
  <c r="R40" i="4"/>
  <c r="O12" i="4"/>
  <c r="I12" i="4"/>
  <c r="B53" i="4"/>
  <c r="B75" i="11"/>
  <c r="D75" i="11" s="1"/>
  <c r="C63" i="13"/>
  <c r="C96" i="13" s="1"/>
  <c r="C105" i="13" s="1"/>
  <c r="D78" i="11"/>
  <c r="I6" i="8"/>
  <c r="D100" i="11"/>
  <c r="B9" i="11"/>
  <c r="L12" i="4"/>
  <c r="I7" i="8"/>
  <c r="D86" i="11"/>
  <c r="D18" i="11"/>
  <c r="D10" i="11"/>
  <c r="D8" i="11"/>
  <c r="D6" i="11"/>
  <c r="C79" i="11"/>
  <c r="B25" i="4"/>
  <c r="D25" i="11"/>
  <c r="C96" i="11"/>
  <c r="N63" i="4"/>
  <c r="N96" i="4" s="1"/>
  <c r="N105" i="4" s="1"/>
  <c r="D101" i="11"/>
  <c r="D102" i="11"/>
  <c r="D59" i="11"/>
  <c r="B41" i="11"/>
  <c r="C12" i="13"/>
  <c r="B79" i="11"/>
  <c r="AI716" i="3"/>
  <c r="O63" i="4"/>
  <c r="O96" i="4" s="1"/>
  <c r="O105" i="4" s="1"/>
  <c r="J63" i="13"/>
  <c r="J96" i="13" s="1"/>
  <c r="J105" i="13" s="1"/>
  <c r="J107" i="13" s="1"/>
  <c r="AI715" i="3"/>
  <c r="Q12" i="4"/>
  <c r="M12" i="4"/>
  <c r="J63" i="4"/>
  <c r="J96" i="4" s="1"/>
  <c r="J105" i="4" s="1"/>
  <c r="B36" i="4"/>
  <c r="I4" i="8"/>
  <c r="I30" i="8" s="1"/>
  <c r="Z789" i="3" s="1"/>
  <c r="E6" i="7" s="1"/>
  <c r="D103" i="11"/>
  <c r="D62" i="11"/>
  <c r="C63" i="11"/>
  <c r="D63" i="11" s="1"/>
  <c r="D42" i="11"/>
  <c r="C41" i="11"/>
  <c r="D16" i="11"/>
  <c r="D14" i="11"/>
  <c r="B12" i="11"/>
  <c r="D7" i="11"/>
  <c r="C9" i="11"/>
  <c r="D9" i="11" s="1"/>
  <c r="I63" i="13"/>
  <c r="I96" i="13" s="1"/>
  <c r="I105" i="13" s="1"/>
  <c r="I107" i="13" s="1"/>
  <c r="L63" i="4"/>
  <c r="L96" i="4" s="1"/>
  <c r="L105" i="4" s="1"/>
  <c r="AI714" i="3"/>
  <c r="P63" i="4"/>
  <c r="P96" i="4" s="1"/>
  <c r="P105" i="4" s="1"/>
  <c r="M63" i="4"/>
  <c r="M96" i="4" s="1"/>
  <c r="M105" i="4" s="1"/>
  <c r="Q63" i="4"/>
  <c r="Q96" i="4" s="1"/>
  <c r="Q105" i="4" s="1"/>
  <c r="K63" i="4"/>
  <c r="K96" i="4" s="1"/>
  <c r="K105" i="4" s="1"/>
  <c r="J12" i="4"/>
  <c r="D63" i="4"/>
  <c r="D96" i="4" s="1"/>
  <c r="D105" i="4" s="1"/>
  <c r="D95" i="11"/>
  <c r="D91" i="11"/>
  <c r="D87" i="11"/>
  <c r="D27" i="11"/>
  <c r="D24" i="11"/>
  <c r="D22" i="11"/>
  <c r="D63" i="13"/>
  <c r="D96" i="13" s="1"/>
  <c r="D105" i="13" s="1"/>
  <c r="D77" i="11"/>
  <c r="B36" i="13"/>
  <c r="B11" i="4"/>
  <c r="D83" i="11"/>
  <c r="D40" i="11"/>
  <c r="D41" i="11"/>
  <c r="D30" i="11"/>
  <c r="G63" i="13"/>
  <c r="G96" i="13" s="1"/>
  <c r="G105" i="13" s="1"/>
  <c r="G107" i="13" s="1"/>
  <c r="D79" i="11"/>
  <c r="AI709" i="3"/>
  <c r="N12" i="4"/>
  <c r="H12" i="4"/>
  <c r="D93" i="11"/>
  <c r="D88" i="11"/>
  <c r="D81" i="11"/>
  <c r="D33" i="11"/>
  <c r="D21" i="11"/>
  <c r="D19" i="11"/>
  <c r="D56" i="11"/>
  <c r="F63" i="4"/>
  <c r="F96" i="4" s="1"/>
  <c r="F105" i="4" s="1"/>
  <c r="R62" i="4"/>
  <c r="I63" i="4"/>
  <c r="I96" i="4" s="1"/>
  <c r="I105" i="4" s="1"/>
  <c r="D44" i="11"/>
  <c r="D84" i="11"/>
  <c r="D5" i="11"/>
  <c r="R36" i="4"/>
  <c r="G12" i="4"/>
  <c r="R78" i="4"/>
  <c r="R74" i="4"/>
  <c r="R67" i="4"/>
  <c r="R53" i="4"/>
  <c r="R8" i="4"/>
  <c r="R12" i="4" s="1"/>
  <c r="H63" i="4"/>
  <c r="H96" i="4" s="1"/>
  <c r="H105" i="4" s="1"/>
  <c r="B74" i="4"/>
  <c r="D99" i="11"/>
  <c r="S63" i="4"/>
  <c r="E63" i="13" s="1"/>
  <c r="C105" i="11"/>
  <c r="D89" i="11"/>
  <c r="D85" i="11"/>
  <c r="D74" i="11"/>
  <c r="D73" i="11"/>
  <c r="B68" i="11"/>
  <c r="D68" i="11" s="1"/>
  <c r="B54" i="11"/>
  <c r="C54" i="11"/>
  <c r="D48" i="11"/>
  <c r="D39" i="11"/>
  <c r="B40" i="4"/>
  <c r="D34" i="11"/>
  <c r="B37" i="11"/>
  <c r="C37" i="11"/>
  <c r="AB48" i="15"/>
  <c r="AG432" i="3"/>
  <c r="AI27" i="15" s="1"/>
  <c r="B8" i="4"/>
  <c r="B12" i="4" s="1"/>
  <c r="F12" i="4"/>
  <c r="D66" i="11"/>
  <c r="D45" i="11"/>
  <c r="C12" i="11"/>
  <c r="C13" i="11" s="1"/>
  <c r="R104" i="4"/>
  <c r="B62" i="4"/>
  <c r="D12" i="4"/>
  <c r="R25" i="4"/>
  <c r="B11" i="13"/>
  <c r="G63" i="4"/>
  <c r="G96" i="4" s="1"/>
  <c r="G105" i="4" s="1"/>
  <c r="E25" i="13"/>
  <c r="B26" i="11"/>
  <c r="R95" i="4"/>
  <c r="B105" i="11"/>
  <c r="U36" i="7"/>
  <c r="U39" i="7" s="1"/>
  <c r="S36" i="7"/>
  <c r="S39" i="7" s="1"/>
  <c r="E39" i="7"/>
  <c r="I36" i="7"/>
  <c r="I39" i="7" s="1"/>
  <c r="K36" i="7"/>
  <c r="K39" i="7" s="1"/>
  <c r="W36" i="7"/>
  <c r="W39" i="7" s="1"/>
  <c r="Y36" i="7"/>
  <c r="Y39" i="7" s="1"/>
  <c r="AD7" i="15"/>
  <c r="C63" i="4"/>
  <c r="C96" i="4" s="1"/>
  <c r="E63" i="4"/>
  <c r="E96" i="4" s="1"/>
  <c r="E105" i="4" s="1"/>
  <c r="C26" i="11"/>
  <c r="G36" i="7"/>
  <c r="G39" i="7" s="1"/>
  <c r="O36" i="7"/>
  <c r="O39" i="7" s="1"/>
  <c r="BA621" i="3"/>
  <c r="BZ621" i="3"/>
  <c r="AE36" i="7"/>
  <c r="AE39" i="7" s="1"/>
  <c r="AA36" i="7"/>
  <c r="AA39" i="7" s="1"/>
  <c r="BU621" i="3"/>
  <c r="BF621" i="3"/>
  <c r="AG36" i="7"/>
  <c r="AG39" i="7" s="1"/>
  <c r="Q36" i="7"/>
  <c r="Q39" i="7" s="1"/>
  <c r="AC36" i="7"/>
  <c r="AC39"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E9" i="7"/>
  <c r="F30" i="8"/>
  <c r="E21" i="7"/>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C12" i="4"/>
  <c r="B12" i="13" s="1"/>
  <c r="D26" i="11" l="1"/>
  <c r="B63" i="4"/>
  <c r="D37" i="11"/>
  <c r="B64" i="11"/>
  <c r="B97" i="11" s="1"/>
  <c r="B106" i="11" s="1"/>
  <c r="D105" i="11"/>
  <c r="D54" i="11"/>
  <c r="R63" i="4"/>
  <c r="R96" i="4" s="1"/>
  <c r="R105" i="4" s="1"/>
  <c r="S96" i="4"/>
  <c r="E96" i="13" s="1"/>
  <c r="D12" i="11"/>
  <c r="AD27" i="15"/>
  <c r="Y27" i="15"/>
  <c r="D13" i="11"/>
  <c r="BK635" i="3"/>
  <c r="V949" i="3" s="1"/>
  <c r="AD949" i="3" s="1"/>
  <c r="Y780" i="3"/>
  <c r="B63" i="13"/>
  <c r="C64" i="11"/>
  <c r="D64" i="11" s="1"/>
  <c r="BA635" i="3"/>
  <c r="V947" i="3" s="1"/>
  <c r="AD947" i="3" s="1"/>
  <c r="AC863" i="3"/>
  <c r="BP635" i="3"/>
  <c r="V950" i="3" s="1"/>
  <c r="AD950" i="3" s="1"/>
  <c r="BF635" i="3"/>
  <c r="V948" i="3" s="1"/>
  <c r="AD948" i="3" s="1"/>
  <c r="AU673" i="3"/>
  <c r="AV673" i="3" s="1"/>
  <c r="BZ635" i="3"/>
  <c r="I1003" i="3"/>
  <c r="AO907" i="3" s="1"/>
  <c r="Y781" i="3"/>
  <c r="E4"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E7" i="7"/>
  <c r="G6" i="7"/>
  <c r="K8" i="7"/>
  <c r="I9" i="7"/>
  <c r="K21" i="7"/>
  <c r="M14" i="7"/>
  <c r="H63" i="13"/>
  <c r="T105" i="4"/>
  <c r="H96" i="13"/>
  <c r="B96" i="13"/>
  <c r="C105" i="4"/>
  <c r="B96" i="4"/>
  <c r="E5" i="7" l="1"/>
  <c r="E10" i="7" s="1"/>
  <c r="E41" i="7" s="1"/>
  <c r="S105" i="4"/>
  <c r="S107" i="4" s="1"/>
  <c r="E107" i="13" s="1"/>
  <c r="Y11" i="15" s="1"/>
  <c r="Y23" i="15" s="1"/>
  <c r="Y26" i="15" s="1"/>
  <c r="Y28" i="15" s="1"/>
  <c r="AU675" i="3"/>
  <c r="C97" i="11"/>
  <c r="D97" i="11" s="1"/>
  <c r="Z798" i="3"/>
  <c r="V951" i="3"/>
  <c r="AD951" i="3" s="1"/>
  <c r="AD953" i="3" s="1"/>
  <c r="G4" i="7"/>
  <c r="G5" i="7" s="1"/>
  <c r="AV650" i="3"/>
  <c r="AV675" i="3" s="1"/>
  <c r="AD734" i="3" s="1"/>
  <c r="M21" i="7"/>
  <c r="O14" i="7"/>
  <c r="M8" i="7"/>
  <c r="K9" i="7"/>
  <c r="G7" i="7"/>
  <c r="I6" i="7"/>
  <c r="T107" i="4"/>
  <c r="H107" i="13" s="1"/>
  <c r="H105" i="13"/>
  <c r="AC442" i="3"/>
  <c r="B105" i="13"/>
  <c r="B105" i="4"/>
  <c r="AD11" i="15" l="1"/>
  <c r="AD23" i="15" s="1"/>
  <c r="AD26" i="15" s="1"/>
  <c r="AD28" i="15" s="1"/>
  <c r="AI11" i="15"/>
  <c r="AI23" i="15" s="1"/>
  <c r="AI26" i="15" s="1"/>
  <c r="AI28" i="15" s="1"/>
  <c r="AD955" i="3"/>
  <c r="AQ877" i="3" s="1"/>
  <c r="AD974" i="3"/>
  <c r="AD965" i="3"/>
  <c r="AQ879" i="3" s="1"/>
  <c r="AD988" i="3"/>
  <c r="E105" i="13"/>
  <c r="AD996" i="3"/>
  <c r="AD1000" i="3"/>
  <c r="C106" i="11"/>
  <c r="D106" i="11" s="1"/>
  <c r="B1014" i="3"/>
  <c r="AD1004" i="3"/>
  <c r="V952" i="3"/>
  <c r="G10" i="7"/>
  <c r="G33" i="7" s="1"/>
  <c r="G45" i="7" s="1"/>
  <c r="I4" i="7"/>
  <c r="I5" i="7" s="1"/>
  <c r="I7" i="7"/>
  <c r="K6" i="7"/>
  <c r="M9" i="7"/>
  <c r="O8" i="7"/>
  <c r="O21" i="7"/>
  <c r="Q14" i="7"/>
  <c r="E55" i="7"/>
  <c r="E44" i="7"/>
  <c r="E43" i="7"/>
  <c r="AC443" i="3"/>
  <c r="T11" i="15"/>
  <c r="T23" i="15" s="1"/>
  <c r="Y64" i="15" s="1"/>
  <c r="AC441" i="3"/>
  <c r="AB47" i="15"/>
  <c r="AB49" i="15" s="1"/>
  <c r="E61" i="7" l="1"/>
  <c r="E60" i="7"/>
  <c r="AM826" i="3"/>
  <c r="AQ885" i="3"/>
  <c r="AQ888" i="3" s="1"/>
  <c r="B1012" i="3" s="1"/>
  <c r="AM829" i="3"/>
  <c r="T24" i="15"/>
  <c r="AD38" i="15" s="1"/>
  <c r="AD40" i="15" s="1"/>
  <c r="G41" i="7"/>
  <c r="G55" i="7" s="1"/>
  <c r="K4" i="7"/>
  <c r="M4" i="7" s="1"/>
  <c r="M5" i="7" s="1"/>
  <c r="I10" i="7"/>
  <c r="I33" i="7" s="1"/>
  <c r="I45" i="7" s="1"/>
  <c r="Q21" i="7"/>
  <c r="S14" i="7"/>
  <c r="M6" i="7"/>
  <c r="K7" i="7"/>
  <c r="O9" i="7"/>
  <c r="Q8" i="7"/>
  <c r="Y68" i="15"/>
  <c r="T26" i="15"/>
  <c r="T28" i="15" s="1"/>
  <c r="T29" i="15" s="1"/>
  <c r="AB54" i="15"/>
  <c r="AB55" i="15" s="1"/>
  <c r="G60" i="7" l="1"/>
  <c r="G61" i="7"/>
  <c r="AM834" i="3"/>
  <c r="AQ886" i="3"/>
  <c r="G43" i="7"/>
  <c r="G44" i="7"/>
  <c r="O4" i="7"/>
  <c r="O5" i="7" s="1"/>
  <c r="K5" i="7"/>
  <c r="K10" i="7" s="1"/>
  <c r="K33" i="7" s="1"/>
  <c r="K41" i="7" s="1"/>
  <c r="I41" i="7"/>
  <c r="I43" i="7" s="1"/>
  <c r="Y38" i="15"/>
  <c r="Y40" i="15" s="1"/>
  <c r="Y41" i="15" s="1"/>
  <c r="AB56" i="15" s="1"/>
  <c r="U14" i="7"/>
  <c r="S21" i="7"/>
  <c r="Q9" i="7"/>
  <c r="S8" i="7"/>
  <c r="O6" i="7"/>
  <c r="M7" i="7"/>
  <c r="M10" i="7" s="1"/>
  <c r="M33" i="7" s="1"/>
  <c r="AB57" i="15" l="1"/>
  <c r="AB59" i="15" s="1"/>
  <c r="AB76" i="15" s="1"/>
  <c r="AB77" i="15" s="1"/>
  <c r="AB87" i="15" s="1"/>
  <c r="M26" i="3"/>
  <c r="I55" i="7"/>
  <c r="I44" i="7"/>
  <c r="Q4" i="7"/>
  <c r="S4" i="7" s="1"/>
  <c r="K45" i="7"/>
  <c r="M41" i="7"/>
  <c r="M45" i="7"/>
  <c r="S9" i="7"/>
  <c r="U8" i="7"/>
  <c r="U21" i="7"/>
  <c r="W14" i="7"/>
  <c r="K44" i="7"/>
  <c r="K43" i="7"/>
  <c r="K55" i="7"/>
  <c r="O7" i="7"/>
  <c r="O10" i="7" s="1"/>
  <c r="O33" i="7" s="1"/>
  <c r="Q6" i="7"/>
  <c r="K61" i="7" l="1"/>
  <c r="K60" i="7"/>
  <c r="I60" i="7"/>
  <c r="I61" i="7"/>
  <c r="M27" i="3"/>
  <c r="P204" i="3" s="1"/>
  <c r="P203" i="3" s="1"/>
  <c r="AB86" i="15"/>
  <c r="AB78" i="15"/>
  <c r="AB80" i="15" s="1"/>
  <c r="J81" i="15" s="1"/>
  <c r="Q5" i="7"/>
  <c r="O41" i="7"/>
  <c r="O45" i="7"/>
  <c r="W21" i="7"/>
  <c r="Y14" i="7"/>
  <c r="W8" i="7"/>
  <c r="U9" i="7"/>
  <c r="M44" i="7"/>
  <c r="M43" i="7"/>
  <c r="M55" i="7"/>
  <c r="U4" i="7"/>
  <c r="S5" i="7"/>
  <c r="Q7" i="7"/>
  <c r="S6" i="7"/>
  <c r="M61" i="7" l="1"/>
  <c r="M60" i="7"/>
  <c r="Q10" i="7"/>
  <c r="Q33" i="7" s="1"/>
  <c r="Q45" i="7" s="1"/>
  <c r="W4" i="7"/>
  <c r="U5" i="7"/>
  <c r="Y8" i="7"/>
  <c r="W9" i="7"/>
  <c r="Y21" i="7"/>
  <c r="AA14" i="7"/>
  <c r="S7" i="7"/>
  <c r="S10" i="7" s="1"/>
  <c r="S33" i="7" s="1"/>
  <c r="U6" i="7"/>
  <c r="O55" i="7"/>
  <c r="O43" i="7"/>
  <c r="O44" i="7"/>
  <c r="O60" i="7" l="1"/>
  <c r="O61" i="7"/>
  <c r="Q41" i="7"/>
  <c r="Q43" i="7" s="1"/>
  <c r="S41" i="7"/>
  <c r="S45" i="7"/>
  <c r="W6" i="7"/>
  <c r="U7" i="7"/>
  <c r="U10" i="7" s="1"/>
  <c r="U33" i="7" s="1"/>
  <c r="Y4" i="7"/>
  <c r="W5" i="7"/>
  <c r="AA21" i="7"/>
  <c r="AC14" i="7"/>
  <c r="Y9" i="7"/>
  <c r="AA8" i="7"/>
  <c r="Q55" i="7" l="1"/>
  <c r="Q44" i="7"/>
  <c r="U41" i="7"/>
  <c r="U45" i="7"/>
  <c r="AE14" i="7"/>
  <c r="AC21" i="7"/>
  <c r="W7" i="7"/>
  <c r="W10" i="7" s="1"/>
  <c r="W33" i="7" s="1"/>
  <c r="Y6" i="7"/>
  <c r="AA4" i="7"/>
  <c r="Y5" i="7"/>
  <c r="AA9" i="7"/>
  <c r="AC8" i="7"/>
  <c r="S55" i="7"/>
  <c r="S44" i="7"/>
  <c r="S43" i="7"/>
  <c r="S61" i="7" l="1"/>
  <c r="S60" i="7"/>
  <c r="Q60" i="7"/>
  <c r="Q61" i="7"/>
  <c r="AA6" i="7"/>
  <c r="Y7" i="7"/>
  <c r="Y10" i="7" s="1"/>
  <c r="Y33" i="7" s="1"/>
  <c r="AE8" i="7"/>
  <c r="AC9" i="7"/>
  <c r="AC4" i="7"/>
  <c r="AA5" i="7"/>
  <c r="W45" i="7"/>
  <c r="W41" i="7"/>
  <c r="AG14" i="7"/>
  <c r="AG21" i="7" s="1"/>
  <c r="AE21" i="7"/>
  <c r="U44" i="7"/>
  <c r="U43" i="7"/>
  <c r="U55" i="7"/>
  <c r="U61" i="7" l="1"/>
  <c r="U60" i="7"/>
  <c r="W43" i="7"/>
  <c r="W55" i="7"/>
  <c r="W44" i="7"/>
  <c r="Y41" i="7"/>
  <c r="Y45" i="7"/>
  <c r="AE4" i="7"/>
  <c r="AC5" i="7"/>
  <c r="AE9" i="7"/>
  <c r="AG8" i="7"/>
  <c r="AG9" i="7" s="1"/>
  <c r="AA7" i="7"/>
  <c r="AA10" i="7" s="1"/>
  <c r="AA33" i="7" s="1"/>
  <c r="AC6" i="7"/>
  <c r="W60" i="7" l="1"/>
  <c r="W61" i="7"/>
  <c r="AA45" i="7"/>
  <c r="AA41" i="7"/>
  <c r="AE5" i="7"/>
  <c r="AG4" i="7"/>
  <c r="Y44" i="7"/>
  <c r="Y43" i="7"/>
  <c r="Y55" i="7"/>
  <c r="AC7" i="7"/>
  <c r="AC10" i="7" s="1"/>
  <c r="AC33" i="7" s="1"/>
  <c r="AE6" i="7"/>
  <c r="Y60" i="7" l="1"/>
  <c r="Y61" i="7"/>
  <c r="AE7" i="7"/>
  <c r="AE10" i="7" s="1"/>
  <c r="AE33" i="7" s="1"/>
  <c r="AG6" i="7"/>
  <c r="AG7" i="7" s="1"/>
  <c r="AC41" i="7"/>
  <c r="AC45" i="7"/>
  <c r="AG5" i="7"/>
  <c r="AA43" i="7"/>
  <c r="AA44" i="7"/>
  <c r="AA55" i="7"/>
  <c r="AA61" i="7" l="1"/>
  <c r="AA60" i="7"/>
  <c r="AG10" i="7"/>
  <c r="AG33" i="7" s="1"/>
  <c r="AG45" i="7" s="1"/>
  <c r="AE45" i="7"/>
  <c r="AE41" i="7"/>
  <c r="AC43" i="7"/>
  <c r="AC55" i="7"/>
  <c r="AC44" i="7"/>
  <c r="AC61" i="7" l="1"/>
  <c r="AC60" i="7"/>
  <c r="AG41" i="7"/>
  <c r="AG43" i="7" s="1"/>
  <c r="AE55" i="7"/>
  <c r="AE43" i="7"/>
  <c r="AE44" i="7"/>
  <c r="AE60" i="7" l="1"/>
  <c r="AE61" i="7"/>
  <c r="AG55" i="7"/>
  <c r="AG44" i="7"/>
  <c r="AG60" i="7" l="1"/>
  <c r="AG61"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Shim, Jonghyun</author>
  </authors>
  <commentList>
    <comment ref="A29" authorId="0" shapeId="0">
      <text>
        <r>
          <rPr>
            <b/>
            <sz val="9"/>
            <color indexed="81"/>
            <rFont val="Tahoma"/>
            <family val="2"/>
          </rPr>
          <t>Shim, Jonghyun:</t>
        </r>
        <r>
          <rPr>
            <sz val="9"/>
            <color indexed="81"/>
            <rFont val="Tahoma"/>
            <family val="2"/>
          </rPr>
          <t xml:space="preserve">
added a line to move the HCD-AHSC Monitoring fee from must pay (annual debt service) </t>
        </r>
      </text>
    </comment>
    <comment ref="E31" authorId="0" shapeId="0">
      <text>
        <r>
          <rPr>
            <b/>
            <sz val="9"/>
            <color indexed="81"/>
            <rFont val="Tahoma"/>
            <family val="2"/>
          </rPr>
          <t>Shim, Jonghyun:</t>
        </r>
        <r>
          <rPr>
            <sz val="9"/>
            <color indexed="81"/>
            <rFont val="Tahoma"/>
            <family val="2"/>
          </rPr>
          <t xml:space="preserve">
Added HCD-AHSC Monitoring Fee (Line E29) to calculations. </t>
        </r>
      </text>
    </comment>
  </commentList>
</comments>
</file>

<file path=xl/sharedStrings.xml><?xml version="1.0" encoding="utf-8"?>
<sst xmlns="http://schemas.openxmlformats.org/spreadsheetml/2006/main" count="3672" uniqueCount="1800">
  <si>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</si>
  <si>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</si>
  <si>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</si>
  <si>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</si>
  <si>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</si>
  <si>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</si>
  <si>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</si>
  <si>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</si>
  <si>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</si>
  <si>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</si>
  <si>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</si>
  <si>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</si>
  <si>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</si>
  <si>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</si>
  <si>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</si>
  <si>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</si>
  <si>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</si>
  <si>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</si>
  <si>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</si>
  <si>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</si>
  <si>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</si>
  <si>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</si>
  <si>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</si>
  <si>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</si>
  <si>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</si>
  <si>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</si>
  <si>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</si>
  <si>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</si>
  <si>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</si>
  <si>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</si>
  <si>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</si>
  <si>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</si>
  <si>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</si>
  <si>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</si>
  <si>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</si>
  <si>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</si>
  <si>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</si>
  <si>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</si>
  <si>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</si>
  <si>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</si>
  <si>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</si>
  <si>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</si>
  <si>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</si>
  <si>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</si>
  <si>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</si>
  <si>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</si>
  <si>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</si>
  <si>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</si>
  <si>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</si>
  <si>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</si>
  <si>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</si>
  <si>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</si>
  <si>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</si>
  <si>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</si>
  <si>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</si>
  <si>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</si>
  <si>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</si>
  <si>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</si>
  <si>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</si>
  <si>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</si>
  <si>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</si>
  <si>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</si>
  <si>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</si>
  <si>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</si>
  <si>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</si>
  <si>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</si>
  <si>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</si>
  <si>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</si>
  <si>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</si>
  <si>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</si>
  <si>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</si>
  <si>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</si>
  <si>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</si>
  <si>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</si>
  <si>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</si>
  <si>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</si>
  <si>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</si>
  <si>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</si>
  <si>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</si>
  <si>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</si>
  <si>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</si>
  <si>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</si>
  <si>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</si>
  <si>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</si>
  <si>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</si>
  <si>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</si>
  <si>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</si>
  <si>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</si>
  <si>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</si>
  <si>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</si>
  <si>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</si>
  <si>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</si>
  <si>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</si>
  <si>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</si>
  <si>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</si>
  <si>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</si>
  <si>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</si>
  <si>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</si>
  <si>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</si>
  <si>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</si>
  <si>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</si>
  <si>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</si>
  <si>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</si>
  <si>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</si>
  <si>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</si>
  <si>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</si>
  <si>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</si>
  <si>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</si>
  <si>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</si>
  <si>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</si>
  <si>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</si>
  <si>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</si>
  <si>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</si>
  <si>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</si>
  <si>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</si>
  <si>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</si>
  <si>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</si>
  <si>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</si>
  <si>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</si>
  <si>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</si>
  <si>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</si>
  <si>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</si>
  <si>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</si>
  <si>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</si>
  <si>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</si>
  <si>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</si>
  <si>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</si>
  <si>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</si>
  <si>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</si>
  <si>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</si>
  <si>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</si>
  <si>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</si>
  <si>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</si>
  <si>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</si>
  <si>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</si>
  <si>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</si>
  <si>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</si>
  <si>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</si>
  <si>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</si>
  <si>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</si>
  <si>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</si>
  <si>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</si>
  <si>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</si>
  <si>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</si>
  <si>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</si>
  <si>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</si>
  <si>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</si>
  <si>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</si>
  <si>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</si>
  <si>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</si>
  <si>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</si>
  <si>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</si>
  <si>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</si>
  <si>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</si>
  <si>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</si>
  <si>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</si>
  <si>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</si>
  <si>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</si>
  <si>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</si>
  <si>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</si>
  <si>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</si>
  <si>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</si>
  <si>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</si>
  <si>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</si>
  <si>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</si>
  <si>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</si>
  <si>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</si>
  <si>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</si>
  <si>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</si>
  <si>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</si>
  <si>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</si>
  <si>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</si>
  <si>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</si>
  <si>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</si>
  <si>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</si>
  <si>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</si>
  <si>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</si>
  <si>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</si>
  <si>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</si>
  <si>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</si>
  <si>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</si>
  <si>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</si>
  <si>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</si>
  <si>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</si>
  <si>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</si>
  <si>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</si>
  <si>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</si>
  <si>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</si>
  <si>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</si>
  <si>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</si>
  <si>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</si>
  <si>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</si>
  <si>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</si>
  <si>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</si>
  <si>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</si>
  <si>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</si>
  <si>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</si>
  <si>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</si>
  <si>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</si>
  <si>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</si>
  <si>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</si>
  <si>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</si>
  <si>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</si>
  <si>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</si>
  <si>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</si>
  <si>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</si>
  <si>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</si>
  <si>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</si>
  <si>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</si>
  <si>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</si>
  <si>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</si>
  <si>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</si>
  <si>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</si>
  <si>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</si>
  <si>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</si>
  <si>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</si>
  <si>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</si>
  <si>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</si>
  <si>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</si>
  <si>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</si>
  <si>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</si>
  <si>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</si>
  <si>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</si>
  <si>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</si>
  <si>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</si>
  <si>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</si>
  <si>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</si>
  <si>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</si>
  <si>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</si>
  <si>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</si>
  <si>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</si>
  <si>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</si>
  <si>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</si>
  <si>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</si>
  <si>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</si>
  <si>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</si>
  <si>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</si>
  <si>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</si>
  <si>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</si>
  <si>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</si>
  <si>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</si>
  <si>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</si>
  <si>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</si>
  <si>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</si>
  <si>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</si>
  <si>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</si>
  <si>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</si>
  <si>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</si>
  <si>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</si>
  <si>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</si>
  <si>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</si>
  <si>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</si>
  <si>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</si>
  <si>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</si>
  <si>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</si>
  <si>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</si>
  <si>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</si>
  <si>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</si>
  <si>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</si>
  <si>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</si>
  <si>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</si>
  <si>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</si>
  <si>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</si>
  <si>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</si>
  <si>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</si>
  <si>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</si>
  <si>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</si>
  <si>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</si>
  <si>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</si>
  <si>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</si>
  <si>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</si>
  <si>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</si>
  <si>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</si>
  <si>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</si>
  <si>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</si>
  <si>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</si>
  <si>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</si>
  <si>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</si>
  <si>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</si>
  <si>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</si>
  <si>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</si>
  <si>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</si>
  <si>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</si>
  <si>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</si>
  <si>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</si>
  <si>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</si>
  <si>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</si>
  <si>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</si>
  <si>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</si>
  <si>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</si>
  <si>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</si>
  <si>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</si>
  <si>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</si>
  <si>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</si>
  <si>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</si>
  <si>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</si>
  <si>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</si>
  <si>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</si>
  <si>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</si>
  <si>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</si>
  <si>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</si>
  <si>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</si>
  <si>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</si>
  <si>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</si>
  <si>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</si>
  <si>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</si>
  <si>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</si>
  <si>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</si>
  <si>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</si>
  <si>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</si>
  <si>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</si>
  <si>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</si>
  <si>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</si>
  <si>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</si>
  <si>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</si>
  <si>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</si>
  <si>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</si>
  <si>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</si>
  <si>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</si>
  <si>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</si>
  <si>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</si>
  <si>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</si>
  <si>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</si>
  <si>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</si>
  <si>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</si>
  <si>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</si>
  <si>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</si>
  <si>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</si>
  <si>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</si>
  <si>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</si>
  <si>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</si>
  <si>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</si>
  <si>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</si>
  <si>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</si>
  <si>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</si>
  <si>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</si>
  <si>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</si>
  <si>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</si>
  <si>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</si>
  <si>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</si>
  <si>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</si>
  <si>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</si>
  <si>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</si>
  <si>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</si>
  <si>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</si>
  <si>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</si>
  <si>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</si>
  <si>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</si>
  <si>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</si>
  <si>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</si>
  <si>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</si>
  <si>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</si>
  <si>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</si>
  <si>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</si>
  <si>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</si>
  <si>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</si>
  <si>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</si>
  <si>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</si>
  <si>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</si>
  <si>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</si>
  <si>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</si>
  <si>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</si>
  <si>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</si>
  <si>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</si>
  <si>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</si>
  <si>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</si>
  <si>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</si>
  <si>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</si>
  <si>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</si>
  <si>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</si>
  <si>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</si>
  <si>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</si>
  <si>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</si>
  <si>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</si>
  <si>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</si>
  <si>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</si>
  <si>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</si>
  <si>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</si>
  <si>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</si>
  <si>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</si>
  <si>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</si>
  <si>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</si>
  <si>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</si>
  <si>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</si>
  <si>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</si>
  <si>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</si>
  <si>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</si>
  <si>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</si>
  <si>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</si>
  <si>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</si>
  <si>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</si>
  <si>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</si>
  <si>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</si>
  <si>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</si>
  <si>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</si>
  <si>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</si>
  <si>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</si>
  <si>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</si>
  <si>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</si>
  <si>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</si>
  <si>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</si>
  <si>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</si>
  <si>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</si>
  <si>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</si>
  <si>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</si>
  <si>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</si>
  <si>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</si>
  <si>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</si>
  <si>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</si>
  <si>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</si>
  <si>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</si>
  <si>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</si>
  <si>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</si>
  <si>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</si>
  <si>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</si>
  <si>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</si>
  <si>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</si>
  <si>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</si>
  <si>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</si>
  <si>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</si>
  <si>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</si>
  <si>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</si>
  <si>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</si>
  <si>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</si>
  <si>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</si>
  <si>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</si>
  <si>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</si>
  <si>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</si>
  <si>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</si>
  <si>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</si>
  <si>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</si>
  <si>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</si>
  <si>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</si>
  <si>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</si>
  <si>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</si>
  <si>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</si>
  <si>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</si>
  <si>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</si>
  <si>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</si>
  <si>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</si>
  <si>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</si>
  <si>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</si>
  <si>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</si>
  <si>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</si>
  <si>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</si>
  <si>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</si>
  <si>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</si>
  <si>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</si>
  <si>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</si>
  <si>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</si>
  <si>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</si>
  <si>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</si>
  <si>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</si>
  <si>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</si>
  <si>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</si>
  <si>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</si>
  <si>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</si>
  <si>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</si>
  <si>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</si>
  <si>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</si>
  <si>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</si>
  <si>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</si>
  <si>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</si>
  <si>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</si>
  <si>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</si>
  <si>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</si>
  <si>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</si>
  <si>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</si>
  <si>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</si>
  <si>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</si>
  <si>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</si>
  <si>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</si>
  <si>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</si>
  <si>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</si>
  <si>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</si>
  <si>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</si>
  <si>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</si>
  <si>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</si>
  <si>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</si>
  <si>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</si>
  <si>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</si>
  <si>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</si>
  <si>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</si>
  <si>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</si>
  <si>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</si>
  <si>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</si>
  <si>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</si>
  <si>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</si>
  <si>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</si>
  <si>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</si>
  <si>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</si>
  <si>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</si>
  <si>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</si>
  <si>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</si>
  <si>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</si>
  <si>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</si>
  <si>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</si>
  <si>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</si>
  <si>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</si>
  <si>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</si>
  <si>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</si>
  <si>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</si>
  <si>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</si>
  <si>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</si>
  <si>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</si>
  <si>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</si>
  <si>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</si>
  <si>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</si>
  <si>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</si>
  <si>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</si>
  <si>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</si>
  <si>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</si>
  <si>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</si>
  <si>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</si>
  <si>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</si>
  <si>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</si>
  <si>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</si>
  <si>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</si>
  <si>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</si>
  <si>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</si>
  <si>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</si>
  <si>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</si>
  <si>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</si>
  <si>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</si>
  <si>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</si>
  <si>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</si>
  <si>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</si>
  <si>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</si>
  <si>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</si>
  <si>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</si>
  <si>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</si>
  <si>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</si>
  <si>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</si>
  <si>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</si>
  <si>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</si>
  <si>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</si>
  <si>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</si>
  <si>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</si>
  <si>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</si>
  <si>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</si>
  <si>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</si>
  <si>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</si>
  <si>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</si>
  <si>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</si>
  <si>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</si>
  <si>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</si>
  <si>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</si>
  <si>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</si>
  <si>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</si>
  <si>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</si>
  <si>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</si>
  <si>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</si>
  <si>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</si>
  <si>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</si>
  <si>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</si>
  <si>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</si>
  <si>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</si>
  <si>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</si>
  <si>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</si>
  <si>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</si>
  <si>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</si>
  <si>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</si>
  <si>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</si>
  <si>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</si>
  <si>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</si>
  <si>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</si>
  <si>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</si>
  <si>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</si>
  <si>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</si>
  <si>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</si>
  <si>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</si>
  <si>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</si>
  <si>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</si>
  <si>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</si>
  <si>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</si>
  <si>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</si>
  <si>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</si>
  <si>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</si>
  <si>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</si>
  <si>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</si>
  <si>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</si>
  <si>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</si>
  <si>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</si>
  <si>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</si>
  <si>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</si>
  <si>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</si>
  <si>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</si>
  <si>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</si>
  <si>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</si>
  <si>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</si>
  <si>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</si>
  <si>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</si>
  <si>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</si>
  <si>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</si>
  <si>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</si>
  <si>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</si>
  <si>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</si>
  <si>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</si>
  <si>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</si>
  <si>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</si>
  <si>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</si>
  <si>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</si>
  <si>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</si>
  <si>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</si>
  <si>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</si>
  <si>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</si>
  <si>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</si>
  <si>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</si>
  <si>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</si>
  <si>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</si>
  <si>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</si>
  <si>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</si>
  <si>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</si>
  <si>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</si>
  <si>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</si>
  <si>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</si>
  <si>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</si>
  <si>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</si>
  <si>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</si>
  <si>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</si>
  <si>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</si>
  <si>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</si>
  <si>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</si>
  <si>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</si>
  <si>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</si>
  <si>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</si>
  <si>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</si>
  <si>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</si>
  <si>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</si>
  <si>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</si>
  <si>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</si>
  <si>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</si>
  <si>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</si>
  <si>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</si>
  <si>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</si>
  <si>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</si>
  <si>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</si>
  <si>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</si>
  <si>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</si>
  <si>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</si>
  <si>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</si>
  <si>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</si>
  <si>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</si>
  <si>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</si>
  <si>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</si>
  <si>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</si>
  <si>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</si>
  <si>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</si>
  <si>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</si>
  <si>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</si>
  <si>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</si>
  <si>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</si>
  <si>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</si>
  <si>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</si>
  <si>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</si>
  <si>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</si>
  <si>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</si>
  <si>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</si>
  <si>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</si>
  <si>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</si>
  <si>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</si>
  <si>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</si>
  <si>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</si>
  <si>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</si>
  <si>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</si>
  <si>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</si>
  <si>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</si>
  <si>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</si>
  <si>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</si>
  <si>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</si>
  <si>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</si>
  <si>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</si>
  <si>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</si>
  <si>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</si>
  <si>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</si>
  <si>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</si>
  <si>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</si>
  <si>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</si>
  <si>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</si>
  <si>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</si>
  <si>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</si>
  <si>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</si>
  <si>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</si>
  <si>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</si>
  <si>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</si>
  <si>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</si>
  <si>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</si>
  <si>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</si>
  <si>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</si>
  <si>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</si>
  <si>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</si>
  <si>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</si>
  <si>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</si>
  <si>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</si>
  <si>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</si>
  <si>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</si>
  <si>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</si>
  <si>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</si>
  <si>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</si>
  <si>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</si>
  <si>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</si>
  <si>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</si>
  <si>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</si>
  <si>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</si>
  <si>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</si>
  <si>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</si>
  <si>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</si>
  <si>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</si>
  <si>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</si>
  <si>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</si>
  <si>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</si>
  <si>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</si>
  <si>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</si>
  <si>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</si>
  <si>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</si>
  <si>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</si>
  <si>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</si>
  <si>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</si>
  <si>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</si>
  <si>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</si>
  <si>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</si>
  <si>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</si>
  <si>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</si>
  <si>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</si>
  <si>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</si>
  <si>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</si>
  <si>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</si>
  <si>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</si>
  <si>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</si>
  <si>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</si>
  <si>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</si>
  <si>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</si>
  <si>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</si>
  <si>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</si>
  <si>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</si>
  <si>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</si>
  <si>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</si>
  <si>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</si>
  <si>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</si>
  <si>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</si>
  <si>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</si>
  <si>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</si>
  <si>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</si>
  <si>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</si>
  <si>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</si>
  <si>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</si>
  <si>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</si>
  <si>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</si>
  <si>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</si>
  <si>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</si>
  <si>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</si>
  <si>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</si>
  <si>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</si>
  <si>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</si>
  <si>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</si>
  <si>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</si>
  <si>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</si>
  <si>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</si>
  <si>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</si>
  <si>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</si>
  <si>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</si>
  <si>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</si>
  <si>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</si>
  <si>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</si>
  <si>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</si>
  <si>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</si>
  <si>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</si>
  <si>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</si>
  <si>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</si>
  <si>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</si>
  <si>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</si>
  <si>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</si>
  <si>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</si>
  <si>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</si>
  <si>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</si>
  <si>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</si>
  <si>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</si>
  <si>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</si>
  <si>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</si>
  <si>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</si>
  <si>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</si>
  <si>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</si>
  <si>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</si>
  <si>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</si>
  <si>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</si>
  <si>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</si>
  <si>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</si>
  <si>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</si>
  <si>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</si>
  <si>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</si>
  <si>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</si>
  <si>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</si>
  <si>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</si>
  <si>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</si>
  <si>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</si>
  <si>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</si>
  <si>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</si>
  <si>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</si>
  <si>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</si>
  <si>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</si>
  <si>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</si>
  <si>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</si>
  <si>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</si>
  <si>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</si>
  <si>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</si>
  <si>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</si>
  <si>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</si>
  <si>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</si>
  <si>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</si>
  <si>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</si>
  <si>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</si>
  <si>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</si>
  <si>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</si>
  <si>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</si>
  <si>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</si>
  <si>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</si>
  <si>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</si>
  <si>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</si>
  <si>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</si>
  <si>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</si>
  <si>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</si>
  <si>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</si>
  <si>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</si>
  <si>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</si>
  <si>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</si>
  <si>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</si>
  <si>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</si>
  <si>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</si>
  <si>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</si>
  <si>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</si>
  <si>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</si>
  <si>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</si>
  <si>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</si>
  <si>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</si>
  <si>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</si>
  <si>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</si>
  <si>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</si>
  <si>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</si>
  <si>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</si>
  <si>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</si>
  <si>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</si>
  <si>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</si>
  <si>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</si>
  <si>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</si>
  <si>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</si>
  <si>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</si>
  <si>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</si>
  <si>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</si>
  <si>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</si>
  <si>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</si>
  <si>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</si>
  <si>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</si>
  <si>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</si>
  <si>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</si>
  <si>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</si>
  <si>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</si>
  <si>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</si>
  <si>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</si>
  <si>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</si>
  <si>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</si>
  <si>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</si>
  <si>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</si>
  <si>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</si>
  <si>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</si>
  <si>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</si>
  <si>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</si>
  <si>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</si>
  <si>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</si>
  <si>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</si>
  <si>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</si>
  <si>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</si>
  <si>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</si>
  <si>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</si>
  <si>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</si>
  <si>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</si>
  <si>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</si>
  <si>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</si>
  <si>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</si>
  <si>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</si>
  <si>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</si>
  <si>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</si>
  <si>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</si>
  <si>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</si>
  <si>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</si>
  <si>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</si>
  <si>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</si>
  <si>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</si>
  <si>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</si>
  <si>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</si>
  <si>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</si>
  <si>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</si>
  <si>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</si>
  <si>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</si>
  <si>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</si>
  <si>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</si>
  <si>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</si>
  <si>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</si>
  <si>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</si>
  <si>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</si>
  <si>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</si>
  <si>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</si>
  <si>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</si>
  <si>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</si>
  <si>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</si>
  <si>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</si>
  <si>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</si>
  <si>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</si>
  <si>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</si>
  <si>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</si>
  <si>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</si>
  <si>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</si>
  <si>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</si>
  <si>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</si>
  <si>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</si>
  <si>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</si>
  <si>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</si>
  <si>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</si>
  <si>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</si>
  <si>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</si>
  <si>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</si>
  <si>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</si>
  <si>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</si>
  <si>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</si>
  <si>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</si>
  <si>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</si>
  <si>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</si>
  <si>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</si>
  <si>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</si>
  <si>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</si>
  <si>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</si>
  <si>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</si>
  <si>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</si>
  <si>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</si>
  <si>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</si>
  <si>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</si>
  <si>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</si>
  <si>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</si>
  <si>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</si>
  <si>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</si>
  <si>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</si>
  <si>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</si>
  <si>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</si>
  <si>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</si>
  <si>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</si>
  <si>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</si>
  <si>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</si>
  <si>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</si>
  <si>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</si>
  <si>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</si>
  <si>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</si>
  <si>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</si>
  <si>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</si>
  <si>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</si>
  <si>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</si>
  <si>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</si>
  <si>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</si>
  <si>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</si>
  <si>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</si>
  <si>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</si>
  <si>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</si>
  <si>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</si>
  <si>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</si>
  <si>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</si>
  <si>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</si>
  <si>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</si>
  <si>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</si>
  <si>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</si>
  <si>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</si>
  <si>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</si>
  <si>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</si>
  <si>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</si>
  <si>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</si>
  <si>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</si>
  <si>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</si>
  <si>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</si>
  <si>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</si>
  <si>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</si>
  <si>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</si>
  <si>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</si>
  <si>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</si>
  <si>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</si>
  <si>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</si>
  <si>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</si>
  <si>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</si>
  <si>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</si>
  <si>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</si>
  <si>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</si>
  <si>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</si>
  <si>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</si>
  <si>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</si>
  <si>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</si>
  <si>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</si>
  <si>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</si>
  <si>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</si>
  <si>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</si>
  <si>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</si>
  <si>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</si>
  <si>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</si>
  <si>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</si>
  <si>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</si>
  <si>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</si>
  <si>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</si>
  <si>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</si>
  <si>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</si>
  <si>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</si>
  <si>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</si>
  <si>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</si>
  <si>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</si>
  <si>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</si>
  <si>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</si>
  <si>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</si>
  <si>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</si>
  <si>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</si>
  <si>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</si>
  <si>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</si>
  <si>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</si>
  <si>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</si>
  <si>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</si>
  <si>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</si>
  <si>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</si>
  <si>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</si>
  <si>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</si>
  <si>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</si>
  <si>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</si>
  <si>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</si>
  <si>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</si>
  <si>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</si>
  <si>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</si>
  <si>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</si>
  <si>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</si>
  <si>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</si>
  <si>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</si>
  <si>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</si>
  <si>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</si>
  <si>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</si>
  <si>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</si>
  <si>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</si>
  <si>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</si>
  <si>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</si>
  <si>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</si>
  <si>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</si>
  <si>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</si>
  <si>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</si>
  <si>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</si>
  <si>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</si>
  <si>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</si>
  <si>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</si>
  <si>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</si>
  <si>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</si>
  <si>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</si>
  <si>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</si>
  <si>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</si>
  <si>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</si>
  <si>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</si>
  <si>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</si>
  <si>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</si>
  <si>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</si>
  <si>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</si>
  <si>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</si>
  <si>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</si>
  <si>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</si>
  <si>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</si>
  <si>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</si>
  <si>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</si>
  <si>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</si>
  <si>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</si>
  <si>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</si>
  <si>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</si>
  <si>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</si>
  <si>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</si>
  <si>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</si>
  <si>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</si>
  <si>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</si>
  <si>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</si>
  <si>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</si>
  <si>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</si>
  <si>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</si>
  <si>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</si>
  <si>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</si>
  <si>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</si>
  <si>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</si>
  <si>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</si>
  <si>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</si>
  <si>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</si>
  <si>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</si>
  <si>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</si>
  <si>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</si>
  <si>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</si>
  <si>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</si>
  <si>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</si>
  <si>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</si>
  <si>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</si>
  <si>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</si>
  <si>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</si>
  <si>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</si>
  <si>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</si>
  <si>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</si>
  <si>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</si>
  <si>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</si>
  <si>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</si>
  <si>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</si>
  <si>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</si>
  <si>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</si>
  <si>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</si>
  <si>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</si>
  <si>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</si>
  <si>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</si>
  <si>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</si>
  <si>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</si>
  <si>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</si>
  <si>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</si>
  <si>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</si>
  <si>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</si>
  <si>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</si>
  <si>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</si>
  <si>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</si>
  <si>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</si>
  <si>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</si>
  <si>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</si>
  <si>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</si>
  <si>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</si>
  <si>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</si>
  <si>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</si>
  <si>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</si>
  <si>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</si>
  <si>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</si>
  <si>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</si>
  <si>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</si>
  <si>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</si>
  <si>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</si>
  <si>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</si>
  <si>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</si>
  <si>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</si>
  <si>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</si>
  <si>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</si>
  <si>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</si>
  <si>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</si>
  <si>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</si>
  <si>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</si>
  <si>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</si>
  <si>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</si>
  <si>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</si>
  <si>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</si>
  <si>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</si>
  <si>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</si>
  <si>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</si>
  <si>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</si>
  <si>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</si>
  <si>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</si>
  <si>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</si>
  <si>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</si>
  <si>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</si>
  <si>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</si>
  <si>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</si>
  <si>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</si>
  <si>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</si>
  <si>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</si>
  <si>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</si>
  <si>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</si>
  <si>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</si>
  <si>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</si>
  <si>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</si>
  <si>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</si>
  <si>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</si>
  <si>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</si>
  <si>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</si>
  <si>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</si>
  <si>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</si>
  <si>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</si>
  <si>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</si>
  <si>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</si>
  <si>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</si>
  <si>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</si>
  <si>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</si>
  <si>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</si>
  <si>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</si>
  <si>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</si>
  <si>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</si>
  <si>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</si>
  <si>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</si>
  <si>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</si>
  <si>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</si>
  <si>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</si>
  <si>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</si>
  <si>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</si>
  <si>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</si>
  <si>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</si>
  <si>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</si>
  <si>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</si>
  <si>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</si>
  <si>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</si>
  <si>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</si>
  <si>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</si>
  <si>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</si>
  <si>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</si>
  <si>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</si>
  <si>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</si>
  <si>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</si>
  <si>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</si>
  <si>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</si>
  <si>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</si>
  <si>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</si>
  <si>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</si>
  <si>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</si>
  <si>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</si>
  <si>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</si>
  <si>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</si>
  <si>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</si>
  <si>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</si>
  <si>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</si>
  <si>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</si>
  <si>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</si>
  <si>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</si>
  <si>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</si>
  <si>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</si>
  <si>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</si>
  <si>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</si>
  <si>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</si>
  <si>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</si>
  <si>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</si>
  <si>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</si>
  <si>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</si>
  <si>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</si>
  <si>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</si>
  <si>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</si>
  <si>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</si>
  <si>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</si>
  <si>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</si>
  <si>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</si>
  <si>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</si>
  <si>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</si>
  <si>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</si>
  <si>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</si>
  <si>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</si>
  <si>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</si>
  <si>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</si>
  <si>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</si>
  <si>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</si>
  <si>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</si>
  <si>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</si>
  <si>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</si>
  <si>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</si>
  <si>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</si>
  <si>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</si>
  <si>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</si>
  <si>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</si>
  <si>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</si>
  <si>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</si>
  <si>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</si>
  <si>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</si>
  <si>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</si>
  <si>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</si>
  <si>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</si>
  <si>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</si>
  <si>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</si>
  <si>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</si>
  <si>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</si>
  <si>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</si>
  <si>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</si>
  <si>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</si>
  <si>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</si>
  <si>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</si>
  <si>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</si>
  <si>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</si>
  <si>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</si>
  <si>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</si>
  <si>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</si>
  <si>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</si>
  <si>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</si>
  <si>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</si>
  <si>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</si>
  <si>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</si>
  <si>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</si>
  <si>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</si>
  <si>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</si>
  <si>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</si>
  <si>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</si>
  <si>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</si>
  <si>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</si>
  <si>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</si>
  <si>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</si>
  <si>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</si>
  <si>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</si>
  <si>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</si>
  <si>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</si>
  <si>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</si>
  <si>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</si>
  <si>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</si>
  <si>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</si>
  <si>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</si>
  <si>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</si>
  <si>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</si>
  <si>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</si>
  <si>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</si>
  <si>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</si>
  <si>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</si>
  <si>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</si>
  <si>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</si>
  <si>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</si>
  <si>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</si>
  <si>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</si>
  <si>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</si>
  <si>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</si>
  <si>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</si>
  <si>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</si>
  <si>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</si>
  <si>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</si>
  <si>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</si>
  <si>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</si>
  <si>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</si>
  <si>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</si>
  <si>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</si>
  <si>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</si>
  <si>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</si>
  <si>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</si>
  <si>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</si>
  <si>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</si>
  <si>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</si>
  <si>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</si>
  <si>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</si>
  <si>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</si>
  <si>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</si>
  <si>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</si>
  <si>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</si>
  <si>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</si>
  <si>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</si>
  <si>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</si>
  <si>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</si>
  <si>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</si>
  <si>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</si>
  <si>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</si>
  <si>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</si>
  <si>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</si>
  <si>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</si>
  <si>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</si>
  <si>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</si>
  <si>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</si>
  <si>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</si>
  <si>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</si>
  <si>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</si>
  <si>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</si>
  <si>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</si>
  <si>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</si>
  <si>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</si>
  <si>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</si>
  <si>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</si>
  <si>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</si>
  <si>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</si>
  <si>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</si>
  <si>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</si>
  <si>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</si>
  <si>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</si>
  <si>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</si>
  <si>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</si>
  <si>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</si>
  <si>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</si>
  <si>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</si>
  <si>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</si>
  <si>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</si>
  <si>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</si>
  <si>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</si>
  <si>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</si>
  <si>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</si>
  <si>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</si>
  <si>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</si>
  <si>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</si>
  <si>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</si>
  <si>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</si>
  <si>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</si>
  <si>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</si>
  <si>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</si>
  <si>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</si>
  <si>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</si>
  <si>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</si>
  <si>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</si>
  <si>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</si>
  <si>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</si>
  <si>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</si>
  <si>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</si>
  <si>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</si>
  <si>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</si>
  <si>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</si>
  <si>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</si>
  <si>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</si>
  <si>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</si>
  <si>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</si>
  <si>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</si>
  <si>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</si>
  <si>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</si>
  <si>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</si>
  <si>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</si>
  <si>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</si>
  <si>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</si>
  <si>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</si>
  <si>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</si>
  <si>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</si>
  <si>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</si>
  <si>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</si>
  <si>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</si>
  <si>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</si>
  <si>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</si>
  <si>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</si>
  <si>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</si>
  <si>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</si>
  <si>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</si>
  <si>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</si>
  <si>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</si>
  <si>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</si>
  <si>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</si>
  <si>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</si>
  <si>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</si>
  <si>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</si>
  <si>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</si>
  <si>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</si>
  <si>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</si>
  <si>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</si>
  <si>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</si>
  <si>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</si>
  <si>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</si>
  <si>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</si>
  <si>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</si>
  <si>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</si>
  <si>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</si>
  <si>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</si>
  <si>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</si>
  <si>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</si>
  <si>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</si>
  <si>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</si>
  <si>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</si>
  <si>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</si>
  <si>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</si>
  <si>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</si>
  <si>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</si>
  <si>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</si>
  <si>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</si>
  <si>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</si>
  <si>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</si>
  <si>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</si>
  <si>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</si>
  <si>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</si>
  <si>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</si>
  <si>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</si>
  <si>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</si>
  <si>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</si>
  <si>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</si>
  <si>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</si>
  <si>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</si>
  <si>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</si>
  <si>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</si>
  <si>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</si>
  <si>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</si>
  <si>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</si>
  <si>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</si>
  <si>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</si>
  <si>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</si>
  <si>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</si>
  <si>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</si>
  <si>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</si>
  <si>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</si>
  <si>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</si>
  <si>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</si>
  <si>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</si>
  <si>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</si>
  <si>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</si>
  <si>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</si>
  <si>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</si>
  <si>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</si>
  <si>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</si>
  <si>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</si>
  <si>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</si>
  <si>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</si>
  <si>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</si>
  <si>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</si>
  <si>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</si>
  <si>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</si>
  <si>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</si>
  <si>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</si>
  <si>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</si>
  <si>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</si>
  <si>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</si>
  <si>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</si>
  <si>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</si>
  <si>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</si>
  <si>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</si>
  <si>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</si>
  <si>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</si>
  <si>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</si>
  <si>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</si>
  <si>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</si>
  <si>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</si>
  <si>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</si>
  <si>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</si>
  <si>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</si>
  <si>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</si>
  <si>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</si>
  <si>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</si>
  <si>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</si>
  <si>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</si>
  <si>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</si>
  <si>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</si>
  <si>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</si>
  <si>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</si>
  <si>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</si>
  <si>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</si>
  <si>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</si>
  <si>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</si>
  <si>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</si>
  <si>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</si>
  <si>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</si>
  <si>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</si>
  <si>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</si>
  <si>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</si>
  <si>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</si>
  <si>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</si>
  <si>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</si>
  <si>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</si>
  <si>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</si>
  <si>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</si>
  <si>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</si>
  <si>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</si>
  <si>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</si>
  <si>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</si>
  <si>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</si>
  <si>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</si>
  <si>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</si>
  <si>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</si>
  <si>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</si>
  <si>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</si>
  <si>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</si>
  <si>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</si>
  <si>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</si>
  <si>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</si>
  <si>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</si>
  <si>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</si>
  <si>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</si>
  <si>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</si>
  <si>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</si>
  <si>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</si>
  <si>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</si>
  <si>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</si>
  <si>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</si>
  <si>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</si>
  <si>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</si>
  <si>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</si>
  <si>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</si>
  <si>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</si>
  <si>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</si>
  <si>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</si>
  <si>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</si>
  <si>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</si>
  <si>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</si>
  <si>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</si>
  <si>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</si>
  <si>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</si>
  <si>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</si>
  <si>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</si>
  <si>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</si>
  <si>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</si>
  <si>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</si>
  <si>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</si>
  <si>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</si>
  <si>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</si>
  <si>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</si>
  <si>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</si>
  <si>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</si>
  <si>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</si>
  <si>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</si>
  <si>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</si>
  <si>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</si>
  <si>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</si>
  <si>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</si>
  <si>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</si>
  <si>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</si>
  <si>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</si>
  <si>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</si>
  <si>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</si>
  <si>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</si>
  <si>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</si>
  <si>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</si>
  <si>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</si>
  <si>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</si>
  <si>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</si>
  <si>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</si>
  <si>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</si>
  <si>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</si>
  <si>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</si>
  <si>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</si>
  <si>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</si>
  <si>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</si>
  <si>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</si>
  <si>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</si>
  <si>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</si>
  <si>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</si>
  <si>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</si>
  <si>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</si>
  <si>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</si>
  <si>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</si>
  <si>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</si>
  <si>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</si>
  <si>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</si>
  <si>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</si>
  <si>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</si>
  <si>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</si>
  <si>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</si>
  <si>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</si>
  <si>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</si>
  <si>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</si>
  <si>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</si>
  <si>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</si>
  <si>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</si>
  <si>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</si>
  <si>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</si>
  <si>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</si>
  <si>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</si>
  <si>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</si>
  <si>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</si>
  <si>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</si>
  <si>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</si>
  <si>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</si>
  <si>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</si>
  <si>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</si>
  <si>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</si>
  <si>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</si>
  <si>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</si>
  <si>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</si>
  <si>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</si>
  <si>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</si>
  <si>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</si>
  <si>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</si>
  <si>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</si>
  <si>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</si>
  <si>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</si>
  <si>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</si>
  <si>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</si>
  <si>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</si>
  <si>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</si>
  <si>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</si>
  <si>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</si>
  <si>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</si>
  <si>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</si>
  <si>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</si>
  <si>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</si>
  <si>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</si>
  <si>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Audrey Peterson</t>
  </si>
  <si>
    <t>Director of Housing Development</t>
  </si>
  <si>
    <t>CDLAC-TCAC Joint Application (submitting concurrently)</t>
  </si>
  <si>
    <t>Panorama City</t>
  </si>
  <si>
    <t>14545 Lanark Street</t>
  </si>
  <si>
    <t>2210-011-900</t>
  </si>
  <si>
    <t>CA</t>
  </si>
  <si>
    <t>213-316-0108</t>
  </si>
  <si>
    <t>apeterson@chousing.org</t>
  </si>
  <si>
    <t>CDV LLC</t>
  </si>
  <si>
    <t>CDV, L.P.</t>
  </si>
  <si>
    <t>Managing GP</t>
  </si>
  <si>
    <t>11739 Victory Blvd</t>
  </si>
  <si>
    <t>North Hollywood</t>
  </si>
  <si>
    <t xml:space="preserve">Audrey Peterson </t>
  </si>
  <si>
    <t>Clifford Beers Housing</t>
  </si>
  <si>
    <t>apeterson@cbhousing.org</t>
  </si>
  <si>
    <t>North Hollywood, CA 91606</t>
  </si>
  <si>
    <t>TBD</t>
  </si>
  <si>
    <t>Gubb &amp; Barshay</t>
  </si>
  <si>
    <t>505 14th Street #450</t>
  </si>
  <si>
    <t>Oakland, CA 94612</t>
  </si>
  <si>
    <t>Sarah Perez</t>
  </si>
  <si>
    <t>415-781-6600</t>
  </si>
  <si>
    <t>sperez@gubbandbarshay.com</t>
  </si>
  <si>
    <t>Alternative Energy Systems (AES)</t>
  </si>
  <si>
    <t>3235 N. Verdugo Rd.</t>
  </si>
  <si>
    <t>Glendale, CA 91208</t>
  </si>
  <si>
    <t>Troy Lindquist</t>
  </si>
  <si>
    <t>818-957-7733</t>
  </si>
  <si>
    <t>troy@title24energy.com</t>
  </si>
  <si>
    <t>Levitt and Rosenblum</t>
  </si>
  <si>
    <t>10801 National Blvd. #604</t>
  </si>
  <si>
    <t>Los Angeles, CA 90064</t>
  </si>
  <si>
    <t>Jeff Rosenblum</t>
  </si>
  <si>
    <t>310-441-1233</t>
  </si>
  <si>
    <t>310-441-7995</t>
  </si>
  <si>
    <t>jeff@levittandrosenblum.com</t>
  </si>
  <si>
    <t>Perkins&amp;Will</t>
  </si>
  <si>
    <t>617 West 7th Street, Suite 1200</t>
  </si>
  <si>
    <t>Los Angeles, CA 90017</t>
  </si>
  <si>
    <t>Nancy Lews Associates, Inc.</t>
  </si>
  <si>
    <t>3306 Club Drive</t>
  </si>
  <si>
    <t>Nancy Lewis</t>
  </si>
  <si>
    <t>310-204-2358</t>
  </si>
  <si>
    <t>nancy@nlahousing.com</t>
  </si>
  <si>
    <t>The Concord Group</t>
  </si>
  <si>
    <t>369 San Miguel Dr. #265</t>
  </si>
  <si>
    <t>Newport Beach, CA 92660</t>
  </si>
  <si>
    <t>Michael Reynolds</t>
  </si>
  <si>
    <t>949-717-6450</t>
  </si>
  <si>
    <t>949-717-6444</t>
  </si>
  <si>
    <t>mdr@theconcordgroup.com</t>
  </si>
  <si>
    <t>Riggs &amp; Riggs, Inc.</t>
  </si>
  <si>
    <t>4195 Valley Fair Street, Suite 207</t>
  </si>
  <si>
    <t>Simi Valley, CA 93063</t>
  </si>
  <si>
    <t>Joyce L. Riggs</t>
  </si>
  <si>
    <t>805-578-2400</t>
  </si>
  <si>
    <t>appraisal@riggsandriggsinc.com</t>
  </si>
  <si>
    <t>Jewel Warren-Reed</t>
  </si>
  <si>
    <t>(626) 586-1830</t>
  </si>
  <si>
    <t>Jewel.Warren-Reed@lacda.org</t>
  </si>
  <si>
    <t>Los Angeles County Development Authority</t>
  </si>
  <si>
    <t>700 W Main Street</t>
  </si>
  <si>
    <t>Alhambra, CA 91801</t>
  </si>
  <si>
    <t>Levine Management Group</t>
  </si>
  <si>
    <t>822 S. Robertson Blvd. #200</t>
  </si>
  <si>
    <t>Los Angeles, CA 90035</t>
  </si>
  <si>
    <t xml:space="preserve">Jeff Levine </t>
  </si>
  <si>
    <t>310-358-3489</t>
  </si>
  <si>
    <t>310-358-3494</t>
  </si>
  <si>
    <t>jeff@levinegroup.com</t>
  </si>
  <si>
    <t>40%/60%</t>
  </si>
  <si>
    <t>Yan Krymsky</t>
  </si>
  <si>
    <t>213-270-8549</t>
  </si>
  <si>
    <t>yan.krymsky@perkinswill.com</t>
  </si>
  <si>
    <t>Inner City Infill Site</t>
  </si>
  <si>
    <t>County of Los Angeles</t>
  </si>
  <si>
    <t>Kathleen Thomas</t>
  </si>
  <si>
    <t>Mary C. Wickham</t>
  </si>
  <si>
    <t>County Counsel</t>
  </si>
  <si>
    <t>700 W. Main St., Alhambra, CA 91801</t>
  </si>
  <si>
    <t>626-262-4511</t>
  </si>
  <si>
    <t>60 feet</t>
  </si>
  <si>
    <t>Per AB744, project required to provide 0.5 space/unit. 90 provided.</t>
  </si>
  <si>
    <t>Limited Industrial</t>
  </si>
  <si>
    <t>LACDA</t>
  </si>
  <si>
    <t>AHSC</t>
  </si>
  <si>
    <t xml:space="preserve">TCAC </t>
  </si>
  <si>
    <t>CDLAC</t>
  </si>
  <si>
    <t>Construction Loan</t>
  </si>
  <si>
    <t>Fixed</t>
  </si>
  <si>
    <t>AHP</t>
  </si>
  <si>
    <t>GP Equity</t>
  </si>
  <si>
    <t>700 W. Main St.</t>
  </si>
  <si>
    <t>Matthew Lust</t>
  </si>
  <si>
    <t>626-586-1809</t>
  </si>
  <si>
    <t>75 N. Fair Oaks Ave.</t>
  </si>
  <si>
    <t>Grant</t>
  </si>
  <si>
    <t>Cynthia Tello</t>
  </si>
  <si>
    <t>626-535-8115</t>
  </si>
  <si>
    <t>Deferred Fee &amp; Costs</t>
  </si>
  <si>
    <t>11739 Victory Blvd.</t>
  </si>
  <si>
    <t>Los Angeles, CA 91606</t>
  </si>
  <si>
    <t>Pasadena, CA 91103</t>
  </si>
  <si>
    <t>Equity</t>
  </si>
  <si>
    <t xml:space="preserve">11739 Victory Blvd. </t>
  </si>
  <si>
    <t>Permanent Loan</t>
  </si>
  <si>
    <t>Residual Receipts</t>
  </si>
  <si>
    <t>LIBOR</t>
  </si>
  <si>
    <t>Sacramento, CA 94252</t>
  </si>
  <si>
    <t>Craig Shields</t>
  </si>
  <si>
    <t>916-263-7495</t>
  </si>
  <si>
    <t>Air Conditioning</t>
  </si>
  <si>
    <t>Los Angeles County Development Authority [Effective 07-01-2020]</t>
  </si>
  <si>
    <t>Payroll taxes, benefits &amp; comp.</t>
  </si>
  <si>
    <t>Ofice expenses &amp; training</t>
  </si>
  <si>
    <t>Supplies &amp; HVAC</t>
  </si>
  <si>
    <t>Insurance: Workers Comp</t>
  </si>
  <si>
    <t>Taxes: Business Tax &amp; License</t>
  </si>
  <si>
    <t>Project-based vouchers (PBVs)</t>
  </si>
  <si>
    <t>Corazón del Valle</t>
  </si>
  <si>
    <t>Lynn Katano</t>
  </si>
  <si>
    <t>Alhambra</t>
  </si>
  <si>
    <t>Director, Housing Investment and Finance</t>
  </si>
  <si>
    <t>lynn.katano@lacda.org</t>
  </si>
  <si>
    <t>626-5861806</t>
  </si>
  <si>
    <t>626-943-3815</t>
  </si>
  <si>
    <t>Acting Deputy Executive Director</t>
  </si>
  <si>
    <t>NA</t>
  </si>
  <si>
    <t>HCD-AHSC</t>
  </si>
  <si>
    <t>CIT Bank-AHP loan</t>
  </si>
  <si>
    <t>GP Capital Contribution</t>
  </si>
  <si>
    <t>Tax Credit Equity</t>
  </si>
  <si>
    <t>Construction Mgt (3rd party)</t>
  </si>
  <si>
    <t>Soils Report, Deputy Inspection, CASp, LEED, Utility Consultants, misc.</t>
  </si>
  <si>
    <t>LACDA Monitoring fee</t>
  </si>
  <si>
    <t>Community Outreach &amp; Security</t>
  </si>
  <si>
    <t>Lease-up Reserve</t>
  </si>
  <si>
    <t>Developer Legal</t>
  </si>
  <si>
    <t>Other: (Lender legal)</t>
  </si>
  <si>
    <t>Transition Reserve</t>
  </si>
  <si>
    <t>Monitoring, Bond and Trustee Fees</t>
  </si>
  <si>
    <t>HCD-AHSC Monitoring Fee</t>
  </si>
  <si>
    <t>Other Operating Expenses (Workers Comp, Business Taxes)</t>
  </si>
  <si>
    <t>Citi Community Capital-tax exempt</t>
  </si>
  <si>
    <t>Citi Community Capital-taxable</t>
  </si>
  <si>
    <t>Citibank</t>
  </si>
  <si>
    <t>444 S Flower St, 29th Floor</t>
  </si>
  <si>
    <t>Sonia Rahm</t>
  </si>
  <si>
    <t>213-239-1726</t>
  </si>
  <si>
    <t>Acreage is approximation. Exact area to be finalized through ground lease execution and final building plans.</t>
  </si>
  <si>
    <t>Jobs Coordinator &amp; Labor Compliance</t>
  </si>
  <si>
    <t>Limited Industrial: 258 units</t>
  </si>
  <si>
    <t>2020 W El Camino Ave., Suite 670</t>
  </si>
  <si>
    <t>626-5358115</t>
  </si>
  <si>
    <t>CTCAC moved HCD-AHSC Monitoring Fee from Must 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</si>
</sst>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10" fontId="34" fillId="0" borderId="0" xfId="0" applyNumberFormat="1" applyFont="1" applyAlignment="1">
      <alignment horizontal="center"/>
    </xf>
    <xf numFmtId="3" fontId="11" fillId="45" borderId="0" xfId="0" applyNumberFormat="1" applyFont="1" applyFill="1"/>
    <xf numFmtId="168" fontId="6" fillId="5" borderId="0" xfId="0" applyNumberFormat="1" applyFont="1" applyFill="1"/>
    <xf numFmtId="3" fontId="6" fillId="5" borderId="0" xfId="0" applyNumberFormat="1" applyFont="1" applyFill="1"/>
    <xf numFmtId="10" fontId="15" fillId="0" borderId="0" xfId="4495" applyNumberFormat="1" applyFont="1" applyAlignment="1">
      <alignment horizontal="center"/>
    </xf>
    <xf numFmtId="164" fontId="43" fillId="5" borderId="6" xfId="0" applyNumberFormat="1"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0" fontId="11" fillId="5" borderId="0" xfId="0"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righ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4" fontId="6" fillId="5" borderId="4" xfId="0" applyNumberFormat="1"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9" fontId="6" fillId="44" borderId="4" xfId="0" applyNumberFormat="1" applyFon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6" fillId="5" borderId="3" xfId="0" applyNumberFormat="1" applyFont="1" applyFill="1" applyBorder="1" applyAlignment="1" applyProtection="1">
      <alignment horizontal="right" vertical="top"/>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5" borderId="0" xfId="0" applyFont="1" applyFill="1"/>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194" zoomScaleNormal="100" zoomScaleSheetLayoutView="100" workbookViewId="0">
      <selection activeCell="G216" sqref="G2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6" t="s">
        <v>596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8" t="s">
        <v>1430</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1438</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15" customHeight="1">
      <c r="A14" s="337"/>
      <c r="B14" s="335"/>
      <c r="C14" s="336"/>
      <c r="E14" s="970" t="s">
        <v>1431</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1595</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1439</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1" t="s">
        <v>1440</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1505</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1425</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1130</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1437</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706</v>
      </c>
      <c r="F40" s="970" t="s">
        <v>1398</v>
      </c>
    </row>
    <row r="41" spans="1:38" s="970"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1" t="s">
        <v>1527</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1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1528</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2" t="s">
        <v>1441</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625</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80" t="s">
        <v>1529</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0" t="s">
        <v>1400</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555</v>
      </c>
      <c r="G67" s="970" t="s">
        <v>1401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0" t="s">
        <v>1402</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555</v>
      </c>
      <c r="G72" s="970" t="s">
        <v>1403</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1404</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1405</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1406</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1407</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1408</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1409</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1159</v>
      </c>
      <c r="G117" s="152"/>
    </row>
    <row r="118" spans="1:38">
      <c r="F118" s="156" t="s">
        <v>1428</v>
      </c>
      <c r="G118" s="156"/>
    </row>
    <row r="119" spans="1:38">
      <c r="G119" s="156"/>
    </row>
    <row r="120" spans="1:38">
      <c r="E120" s="152" t="s">
        <v>841</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0" t="s">
        <v>1410</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0" t="s">
        <v>1385</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72" t="s">
        <v>1501</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1503</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1502</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3" t="s">
        <v>1492</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1544</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1559</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1" t="s">
        <v>1009</v>
      </c>
      <c r="B1" s="1721"/>
      <c r="C1" s="1721"/>
      <c r="D1" s="1721"/>
      <c r="E1" s="1721"/>
      <c r="F1" s="1721"/>
      <c r="G1" s="1721"/>
      <c r="H1" s="1721"/>
      <c r="I1" s="172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18</v>
      </c>
      <c r="C4" s="682">
        <f>Application!K709</f>
        <v>489</v>
      </c>
      <c r="D4" s="683"/>
      <c r="E4" s="493">
        <v>1056</v>
      </c>
      <c r="F4" s="684">
        <f>E4*B4</f>
        <v>19008</v>
      </c>
      <c r="G4" s="685"/>
      <c r="H4" s="682">
        <f>IF(E4=0," ",(E4-C4))</f>
        <v>567</v>
      </c>
      <c r="I4" s="684">
        <f>IF(E4=0," ",(H4*B4))</f>
        <v>10206</v>
      </c>
      <c r="J4" s="335"/>
      <c r="K4" s="490"/>
    </row>
    <row r="5" spans="1:11">
      <c r="A5" s="682" t="str">
        <f>Application!B710</f>
        <v>1 Bedroom</v>
      </c>
      <c r="B5" s="691">
        <f>Application!G710</f>
        <v>23</v>
      </c>
      <c r="C5" s="682">
        <f>Application!K710</f>
        <v>511</v>
      </c>
      <c r="D5" s="683"/>
      <c r="E5" s="493">
        <v>1400</v>
      </c>
      <c r="F5" s="684">
        <f t="shared" ref="F5:F28" si="0">E5*B5</f>
        <v>32200</v>
      </c>
      <c r="G5" s="685"/>
      <c r="H5" s="682">
        <f t="shared" ref="H5:H28" si="1">IF(E5=0," ",(E5-C5))</f>
        <v>889</v>
      </c>
      <c r="I5" s="684">
        <f t="shared" ref="I5:I28" si="2">IF(E5=0," ",(H5*B5))</f>
        <v>20447</v>
      </c>
      <c r="J5" s="335"/>
      <c r="K5" s="490"/>
    </row>
    <row r="6" spans="1:11">
      <c r="A6" s="682" t="str">
        <f>Application!B711</f>
        <v>2 Bedrooms</v>
      </c>
      <c r="B6" s="691">
        <f>Application!G711</f>
        <v>5</v>
      </c>
      <c r="C6" s="682">
        <f>Application!K711</f>
        <v>616</v>
      </c>
      <c r="D6" s="683"/>
      <c r="E6" s="493">
        <v>1647</v>
      </c>
      <c r="F6" s="684">
        <f t="shared" si="0"/>
        <v>8235</v>
      </c>
      <c r="G6" s="685"/>
      <c r="H6" s="682">
        <f t="shared" si="1"/>
        <v>1031</v>
      </c>
      <c r="I6" s="684">
        <f t="shared" si="2"/>
        <v>5155</v>
      </c>
      <c r="J6" s="335"/>
      <c r="K6" s="490"/>
    </row>
    <row r="7" spans="1:11">
      <c r="A7" s="682" t="str">
        <f>Application!B712</f>
        <v>3 Bedrooms</v>
      </c>
      <c r="B7" s="691">
        <f>Application!G712</f>
        <v>3</v>
      </c>
      <c r="C7" s="682">
        <f>Application!K712</f>
        <v>703</v>
      </c>
      <c r="D7" s="683"/>
      <c r="E7" s="493">
        <v>2226</v>
      </c>
      <c r="F7" s="684">
        <f t="shared" si="0"/>
        <v>6678</v>
      </c>
      <c r="G7" s="685"/>
      <c r="H7" s="682">
        <f t="shared" si="1"/>
        <v>1523</v>
      </c>
      <c r="I7" s="684">
        <f t="shared" si="2"/>
        <v>4569</v>
      </c>
      <c r="J7" s="335"/>
      <c r="K7" s="490"/>
    </row>
    <row r="8" spans="1:11">
      <c r="A8" s="682" t="str">
        <f>Application!B713</f>
        <v>1 Bedroom</v>
      </c>
      <c r="B8" s="691">
        <f>Application!G713</f>
        <v>3</v>
      </c>
      <c r="C8" s="682">
        <f>Application!K713</f>
        <v>934</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7</v>
      </c>
      <c r="C9" s="682">
        <f>Application!K714</f>
        <v>1123</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6</v>
      </c>
      <c r="C10" s="682">
        <f>Application!K715</f>
        <v>1289</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10</v>
      </c>
      <c r="C11" s="682">
        <f>Application!K716</f>
        <v>1376</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13</v>
      </c>
      <c r="C12" s="682">
        <f>Application!K717</f>
        <v>1582</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78467</v>
      </c>
      <c r="D30" s="683"/>
      <c r="E30" s="683"/>
      <c r="F30" s="688">
        <f>SUM(F4:F28)*12</f>
        <v>793452</v>
      </c>
      <c r="G30" s="689"/>
      <c r="H30" s="687"/>
      <c r="I30" s="688">
        <f>SUM(I4:I28)*12</f>
        <v>484524</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9"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25100</v>
      </c>
      <c r="C5" s="438">
        <f>'Sources and Uses Budget'!$C4</f>
        <v>25100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495684</v>
      </c>
      <c r="C6" s="438">
        <f>'Sources and Uses Budget'!$C5</f>
        <v>495684</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7500</v>
      </c>
      <c r="C7" s="438">
        <f>'Sources and Uses Budget'!$C6</f>
        <v>7500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528284</v>
      </c>
      <c r="C9" s="442">
        <f>SUM(C5:C8)</f>
        <v>528284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42143</v>
      </c>
      <c r="C11" s="438">
        <f>'Sources and Uses Budget'!$C10</f>
        <v>42143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42143</v>
      </c>
      <c r="C12" s="442">
        <f>SUM(C10:C11)</f>
        <v>42143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570427</v>
      </c>
      <c r="C13" s="442">
        <f>SUM(C9+C12)</f>
        <v>570427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273535</v>
      </c>
      <c r="C14" s="438">
        <f>'Sources and Uses Budget'!$C13</f>
        <v>273535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1019350</v>
      </c>
      <c r="C29" s="438">
        <f>'Sources and Uses Budget'!$C28</f>
        <v>1019350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25917760</v>
      </c>
      <c r="C30" s="438">
        <f>'Sources and Uses Budget'!$C29</f>
        <v>25917760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1616227</v>
      </c>
      <c r="C31" s="438">
        <f>'Sources and Uses Budget'!$C30</f>
        <v>1616227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538742</v>
      </c>
      <c r="C32" s="438">
        <f>'Sources and Uses Budget'!$C31</f>
        <v>538742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875328</v>
      </c>
      <c r="C33" s="438">
        <f>'Sources and Uses Budget'!$C32</f>
        <v>875328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613156</v>
      </c>
      <c r="C35" s="438">
        <f>'Sources and Uses Budget'!$C34</f>
        <v>613156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30580563</v>
      </c>
      <c r="C37" s="442">
        <f>SUM(C29:C36)</f>
        <v>30580563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967722</v>
      </c>
      <c r="C39" s="438">
        <f>'Sources and Uses Budget'!$C38</f>
        <v>967722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89505</v>
      </c>
      <c r="C40" s="438">
        <f>'Sources and Uses Budget'!$C39</f>
        <v>89505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1057227</v>
      </c>
      <c r="C41" s="442">
        <f>SUM(C39:C40)</f>
        <v>1057227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534757</v>
      </c>
      <c r="C42" s="438">
        <f>'Sources and Uses Budget'!$C41</f>
        <v>534757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1858399</v>
      </c>
      <c r="C44" s="438">
        <f>'Sources and Uses Budget'!$C43</f>
        <v>1858399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256931</v>
      </c>
      <c r="C45" s="438">
        <f>'Sources and Uses Budget'!$C44</f>
        <v>256931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371350</v>
      </c>
      <c r="C48" s="438">
        <f>'Sources and Uses Budget'!$C47</f>
        <v>371350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10000</v>
      </c>
      <c r="C50" s="438">
        <f>'Sources and Uses Budget'!$C49</f>
        <v>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350000</v>
      </c>
      <c r="C51" s="438">
        <f>'Sources and Uses Budget'!$C50</f>
        <v>350000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2921680</v>
      </c>
      <c r="C54" s="445">
        <f>SUM(C44:C53)</f>
        <v>2921680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77724</v>
      </c>
      <c r="C56" s="438">
        <f>'Sources and Uses Budget'!$C55</f>
        <v>77724</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32000</v>
      </c>
      <c r="C58" s="438">
        <f>'Sources and Uses Budget'!$C57</f>
        <v>32000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35000</v>
      </c>
      <c r="C61" s="438">
        <f>'Sources and Uses Budget'!$C60</f>
        <v>35000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144724</v>
      </c>
      <c r="C63" s="442">
        <f>SUM(C56:C62)</f>
        <v>144724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36082913</v>
      </c>
      <c r="C64" s="442">
        <f>SUM(C9+C12+C14+C15+C17+C26+C27+C37+C41+C42+C54+C63)</f>
        <v>36082913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40000</v>
      </c>
      <c r="C66" s="438">
        <f>'Sources and Uses Budget'!$C65</f>
        <v>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57000</v>
      </c>
      <c r="C67" s="438">
        <f>'Sources and Uses Budget'!$C66</f>
        <v>57000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97000</v>
      </c>
      <c r="C68" s="442">
        <f>SUM(C66:C67)</f>
        <v>97000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200000</v>
      </c>
      <c r="C70" s="438">
        <f>'Sources and Uses Budget'!$C69</f>
        <v>200000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655</v>
      </c>
      <c r="B73" s="438">
        <f>'Sources and Uses Budget'!$C72</f>
        <v>591720</v>
      </c>
      <c r="C73" s="438">
        <f>'Sources and Uses Budget'!$C72</f>
        <v>591720</v>
      </c>
      <c r="D73" s="442">
        <f t="shared" si="0"/>
        <v>0</v>
      </c>
      <c r="E73" s="440"/>
      <c r="F73" s="439"/>
      <c r="G73" s="577"/>
    </row>
    <row r="74" spans="1:253" s="571" customFormat="1">
      <c r="A74" s="444" t="s">
        <v>37</v>
      </c>
      <c r="B74" s="438">
        <f>'Sources and Uses Budget'!$C73</f>
        <v>40000</v>
      </c>
      <c r="C74" s="438">
        <f>'Sources and Uses Budget'!$C73</f>
        <v>40000</v>
      </c>
      <c r="D74" s="442">
        <f t="shared" si="0"/>
        <v>0</v>
      </c>
      <c r="E74" s="440"/>
      <c r="F74" s="439"/>
      <c r="G74" s="577"/>
    </row>
    <row r="75" spans="1:253" s="571" customFormat="1">
      <c r="A75" s="443" t="s">
        <v>656</v>
      </c>
      <c r="B75" s="442">
        <f>SUM(B70:B74)</f>
        <v>831720</v>
      </c>
      <c r="C75" s="442">
        <f>SUM(C70:C74)</f>
        <v>831720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3111839</v>
      </c>
      <c r="C77" s="438">
        <f>'Sources and Uses Budget'!$C76</f>
        <v>3111839</v>
      </c>
      <c r="D77" s="442">
        <f t="shared" si="1"/>
        <v>0</v>
      </c>
      <c r="E77" s="440"/>
      <c r="F77" s="439"/>
      <c r="G77" s="577"/>
    </row>
    <row r="78" spans="1:253" s="571" customFormat="1">
      <c r="A78" s="893" t="s">
        <v>63</v>
      </c>
      <c r="B78" s="438">
        <f>'Sources and Uses Budget'!$C77</f>
        <v>285000</v>
      </c>
      <c r="C78" s="438">
        <f>'Sources and Uses Budget'!$C77</f>
        <v>285000</v>
      </c>
      <c r="D78" s="442">
        <f t="shared" ref="D78" si="2">C78-B78</f>
        <v>0</v>
      </c>
      <c r="E78" s="440"/>
      <c r="F78" s="439"/>
      <c r="G78" s="577"/>
    </row>
    <row r="79" spans="1:253" s="571" customFormat="1">
      <c r="A79" s="443" t="s">
        <v>1466</v>
      </c>
      <c r="B79" s="442">
        <f>SUM(B77:B78)</f>
        <v>3396839</v>
      </c>
      <c r="C79" s="442">
        <f>SUM(C77:C78)</f>
        <v>3396839</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39561</v>
      </c>
      <c r="C81" s="438">
        <f>'Sources and Uses Budget'!$C80</f>
        <v>39561</v>
      </c>
      <c r="D81" s="442">
        <f t="shared" si="1"/>
        <v>0</v>
      </c>
      <c r="E81" s="440"/>
      <c r="F81" s="439"/>
      <c r="G81" s="577"/>
    </row>
    <row r="82" spans="1:7" s="571" customFormat="1">
      <c r="A82" s="441" t="s">
        <v>845</v>
      </c>
      <c r="B82" s="438">
        <f>'Sources and Uses Budget'!$C81</f>
        <v>202605</v>
      </c>
      <c r="C82" s="438">
        <f>'Sources and Uses Budget'!$C81</f>
        <v>202605</v>
      </c>
      <c r="D82" s="442">
        <f t="shared" si="1"/>
        <v>0</v>
      </c>
      <c r="E82" s="440"/>
      <c r="F82" s="439"/>
      <c r="G82" s="577"/>
    </row>
    <row r="83" spans="1:7" s="571" customFormat="1">
      <c r="A83" s="441" t="s">
        <v>846</v>
      </c>
      <c r="B83" s="438">
        <f>'Sources and Uses Budget'!$C82</f>
        <v>584430</v>
      </c>
      <c r="C83" s="438">
        <f>'Sources and Uses Budget'!$C82</f>
        <v>584430</v>
      </c>
      <c r="D83" s="442">
        <f t="shared" si="1"/>
        <v>0</v>
      </c>
      <c r="E83" s="440"/>
      <c r="F83" s="439"/>
      <c r="G83" s="577"/>
    </row>
    <row r="84" spans="1:7" s="571" customFormat="1">
      <c r="A84" s="441" t="s">
        <v>847</v>
      </c>
      <c r="B84" s="438">
        <f>'Sources and Uses Budget'!$C83</f>
        <v>163618</v>
      </c>
      <c r="C84" s="438">
        <f>'Sources and Uses Budget'!$C83</f>
        <v>163618</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v>
      </c>
      <c r="C86" s="438">
        <f>'Sources and Uses Budget'!$C85</f>
        <v>10000</v>
      </c>
      <c r="D86" s="442">
        <f t="shared" si="1"/>
        <v>0</v>
      </c>
      <c r="E86" s="440"/>
      <c r="F86" s="439"/>
      <c r="G86" s="577"/>
    </row>
    <row r="87" spans="1:7" s="571" customFormat="1">
      <c r="A87" s="441" t="s">
        <v>850</v>
      </c>
      <c r="B87" s="438">
        <f>'Sources and Uses Budget'!$C86</f>
        <v>207750</v>
      </c>
      <c r="C87" s="438">
        <f>'Sources and Uses Budget'!$C86</f>
        <v>207750</v>
      </c>
      <c r="D87" s="442">
        <f t="shared" si="1"/>
        <v>0</v>
      </c>
      <c r="E87" s="440"/>
      <c r="F87" s="439"/>
      <c r="G87" s="577"/>
    </row>
    <row r="88" spans="1:7" s="571" customFormat="1">
      <c r="A88" s="441" t="s">
        <v>851</v>
      </c>
      <c r="B88" s="438">
        <f>'Sources and Uses Budget'!$C87</f>
        <v>5500</v>
      </c>
      <c r="C88" s="438">
        <f>'Sources and Uses Budget'!$C87</f>
        <v>5500</v>
      </c>
      <c r="D88" s="442">
        <f t="shared" si="1"/>
        <v>0</v>
      </c>
      <c r="E88" s="440"/>
      <c r="F88" s="439"/>
      <c r="G88" s="577"/>
    </row>
    <row r="89" spans="1:7" s="571" customFormat="1">
      <c r="A89" s="447" t="s">
        <v>404</v>
      </c>
      <c r="B89" s="438">
        <f>'Sources and Uses Budget'!$C88</f>
        <v>34000</v>
      </c>
      <c r="C89" s="438">
        <f>'Sources and Uses Budget'!$C88</f>
        <v>34000</v>
      </c>
      <c r="D89" s="442">
        <f t="shared" si="1"/>
        <v>0</v>
      </c>
      <c r="E89" s="440"/>
      <c r="F89" s="439"/>
      <c r="G89" s="577"/>
    </row>
    <row r="90" spans="1:7" s="571" customFormat="1">
      <c r="A90" s="892" t="s">
        <v>1468</v>
      </c>
      <c r="B90" s="438">
        <f>'Sources and Uses Budget'!$C89</f>
        <v>5000</v>
      </c>
      <c r="C90" s="438">
        <f>'Sources and Uses Budget'!$C89</f>
        <v>5000</v>
      </c>
      <c r="D90" s="442">
        <f t="shared" si="1"/>
        <v>0</v>
      </c>
      <c r="E90" s="440"/>
      <c r="F90" s="439"/>
      <c r="G90" s="577"/>
    </row>
    <row r="91" spans="1:7" s="571" customFormat="1">
      <c r="A91" s="444" t="s">
        <v>37</v>
      </c>
      <c r="B91" s="438">
        <f>'Sources and Uses Budget'!$C90</f>
        <v>230000</v>
      </c>
      <c r="C91" s="438">
        <f>'Sources and Uses Budget'!$C90</f>
        <v>230000</v>
      </c>
      <c r="D91" s="442">
        <f t="shared" si="1"/>
        <v>0</v>
      </c>
      <c r="E91" s="440"/>
      <c r="F91" s="439"/>
      <c r="G91" s="577"/>
    </row>
    <row r="92" spans="1:7" s="571" customFormat="1">
      <c r="A92" s="444" t="s">
        <v>37</v>
      </c>
      <c r="B92" s="438">
        <f>'Sources and Uses Budget'!$C91</f>
        <v>319366</v>
      </c>
      <c r="C92" s="438">
        <f>'Sources and Uses Budget'!$C91</f>
        <v>319366</v>
      </c>
      <c r="D92" s="442">
        <f t="shared" si="1"/>
        <v>0</v>
      </c>
      <c r="E92" s="440"/>
      <c r="F92" s="439"/>
      <c r="G92" s="577"/>
    </row>
    <row r="93" spans="1:7" s="571" customFormat="1">
      <c r="A93" s="444" t="s">
        <v>37</v>
      </c>
      <c r="B93" s="438">
        <f>'Sources and Uses Budget'!$C92</f>
        <v>50000</v>
      </c>
      <c r="C93" s="438">
        <f>'Sources and Uses Budget'!$C92</f>
        <v>50000</v>
      </c>
      <c r="D93" s="442">
        <f t="shared" si="1"/>
        <v>0</v>
      </c>
      <c r="E93" s="440"/>
      <c r="F93" s="439"/>
      <c r="G93" s="577"/>
    </row>
    <row r="94" spans="1:7" s="571" customFormat="1">
      <c r="A94" s="444" t="s">
        <v>37</v>
      </c>
      <c r="B94" s="438">
        <f>'Sources and Uses Budget'!$C93</f>
        <v>7150</v>
      </c>
      <c r="C94" s="438">
        <f>'Sources and Uses Budget'!$C93</f>
        <v>7150</v>
      </c>
      <c r="D94" s="442">
        <f t="shared" si="1"/>
        <v>0</v>
      </c>
      <c r="E94" s="440"/>
      <c r="F94" s="439"/>
      <c r="G94" s="577"/>
    </row>
    <row r="95" spans="1:7" s="571" customFormat="1">
      <c r="A95" s="444" t="s">
        <v>37</v>
      </c>
      <c r="B95" s="438">
        <f>'Sources and Uses Budget'!$C94</f>
        <v>20750</v>
      </c>
      <c r="C95" s="438">
        <f>'Sources and Uses Budget'!$C94</f>
        <v>20750</v>
      </c>
      <c r="D95" s="442">
        <f t="shared" si="1"/>
        <v>0</v>
      </c>
      <c r="E95" s="440"/>
      <c r="F95" s="439"/>
      <c r="G95" s="577"/>
    </row>
    <row r="96" spans="1:7" s="571" customFormat="1">
      <c r="A96" s="443" t="s">
        <v>852</v>
      </c>
      <c r="B96" s="442">
        <f>SUM(B81:B95)</f>
        <v>1879730</v>
      </c>
      <c r="C96" s="442">
        <f>SUM(C81:C95)</f>
        <v>1879730</v>
      </c>
      <c r="D96" s="442">
        <f t="shared" si="1"/>
        <v>0</v>
      </c>
      <c r="E96" s="440"/>
      <c r="F96" s="439"/>
      <c r="G96" s="577"/>
    </row>
    <row r="97" spans="1:7" s="571" customFormat="1">
      <c r="A97" s="443" t="s">
        <v>853</v>
      </c>
      <c r="B97" s="442">
        <f>SUM(B64+B68+B75+B79+B96)</f>
        <v>42288202</v>
      </c>
      <c r="C97" s="442">
        <f>SUM(C64+C68+C75+C79+C96)</f>
        <v>42288202</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5303413</v>
      </c>
      <c r="C99" s="438">
        <f>'Sources and Uses Budget'!$C98</f>
        <v>5303413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5303413</v>
      </c>
      <c r="C105" s="442">
        <f>SUM(C99:C104)</f>
        <v>5303413</v>
      </c>
      <c r="D105" s="442">
        <f t="shared" si="1"/>
        <v>0</v>
      </c>
      <c r="E105" s="440"/>
      <c r="F105" s="439"/>
      <c r="G105" s="575"/>
    </row>
    <row r="106" spans="1:7" s="570" customFormat="1">
      <c r="A106" s="443" t="s">
        <v>861</v>
      </c>
      <c r="B106" s="445">
        <f>SUM(B97+B105)</f>
        <v>47591615</v>
      </c>
      <c r="C106" s="445">
        <f>SUM(C97+C105)</f>
        <v>47591615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1196</v>
      </c>
      <c r="B2" s="1020"/>
      <c r="C2" s="1021"/>
      <c r="D2" s="1021"/>
      <c r="E2" s="1021"/>
      <c r="F2" s="1021"/>
      <c r="G2" s="1021"/>
    </row>
    <row r="3" spans="1:9" s="265" customFormat="1">
      <c r="A3" s="1020" t="s">
        <v>1123</v>
      </c>
      <c r="B3" s="1020"/>
      <c r="C3" s="1021"/>
      <c r="D3" s="1021"/>
      <c r="E3" s="1021"/>
      <c r="F3" s="1021"/>
      <c r="G3" s="1021"/>
      <c r="I3" s="701" t="s">
        <v>329</v>
      </c>
    </row>
    <row r="4" spans="1:9">
      <c r="I4" s="702" t="s">
        <v>1197</v>
      </c>
    </row>
    <row r="5" spans="1:9" s="39" customFormat="1">
      <c r="A5" s="1024" t="s">
        <v>1124</v>
      </c>
      <c r="B5" s="1024"/>
      <c r="C5" s="1025"/>
      <c r="D5" s="1025"/>
      <c r="E5" s="1025"/>
      <c r="F5" s="1025"/>
      <c r="G5" s="1025"/>
      <c r="I5" s="702" t="s">
        <v>1198</v>
      </c>
    </row>
    <row r="6" spans="1:9" s="39" customFormat="1">
      <c r="A6" s="1024" t="s">
        <v>903</v>
      </c>
      <c r="B6" s="1024"/>
      <c r="C6" s="1025"/>
      <c r="D6" s="1025"/>
      <c r="E6" s="1025"/>
      <c r="F6" s="1025"/>
      <c r="G6" s="1025"/>
      <c r="I6" s="701" t="s">
        <v>641</v>
      </c>
    </row>
    <row r="7" spans="1:9" ht="11.85" customHeight="1"/>
    <row r="8" spans="1:9" s="39" customFormat="1">
      <c r="A8" s="1022" t="s">
        <v>1293</v>
      </c>
      <c r="B8" s="1022"/>
      <c r="C8" s="1023"/>
      <c r="D8" s="1023"/>
      <c r="E8" s="1023"/>
      <c r="F8" s="1023"/>
      <c r="G8" s="1023"/>
    </row>
    <row r="9" spans="1:9" s="39" customFormat="1">
      <c r="A9" s="1022" t="s">
        <v>1294</v>
      </c>
      <c r="B9" s="1022"/>
      <c r="C9" s="1023"/>
      <c r="D9" s="1023"/>
      <c r="E9" s="1023"/>
      <c r="F9" s="1023"/>
      <c r="G9" s="1023"/>
    </row>
    <row r="10" spans="1:9">
      <c r="A10" s="267"/>
      <c r="B10" s="267"/>
      <c r="C10" s="264"/>
      <c r="D10" s="264"/>
      <c r="E10" s="264"/>
      <c r="F10" s="264"/>
    </row>
    <row r="11" spans="1:9">
      <c r="A11" s="1026" t="s">
        <v>1296</v>
      </c>
      <c r="B11" s="1026"/>
      <c r="C11" s="1026"/>
      <c r="D11" s="1026"/>
      <c r="E11" s="1026"/>
      <c r="F11" s="1026"/>
      <c r="G11" s="1026"/>
    </row>
    <row r="12" spans="1:9">
      <c r="A12" s="264"/>
      <c r="B12" s="697"/>
      <c r="E12" s="50"/>
    </row>
    <row r="13" spans="1:9" ht="13.15" customHeight="1">
      <c r="C13" s="264"/>
      <c r="D13" s="1044" t="s">
        <v>1295</v>
      </c>
      <c r="E13" s="1044"/>
      <c r="F13" s="1044"/>
    </row>
    <row r="14" spans="1:9">
      <c r="C14" s="264"/>
      <c r="D14" s="1044"/>
      <c r="E14" s="1044"/>
      <c r="F14" s="1044"/>
    </row>
    <row r="15" spans="1:9">
      <c r="A15" s="269"/>
      <c r="B15" s="269"/>
      <c r="C15" s="269"/>
      <c r="D15" s="983" t="s">
        <v>1278</v>
      </c>
      <c r="E15" s="983"/>
      <c r="F15" s="983"/>
    </row>
    <row r="16" spans="1:9">
      <c r="A16" s="269"/>
      <c r="B16" s="269"/>
      <c r="C16" s="269"/>
      <c r="D16" s="337"/>
    </row>
    <row r="17" spans="1:7" ht="14.25">
      <c r="A17" s="270"/>
      <c r="B17" s="703" t="s">
        <v>329</v>
      </c>
      <c r="C17" s="323"/>
      <c r="D17" s="970" t="s">
        <v>1279</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329</v>
      </c>
      <c r="D21" s="1036" t="s">
        <v>1280</v>
      </c>
      <c r="E21" s="1036"/>
      <c r="F21" s="1036"/>
    </row>
    <row r="22" spans="1:7" ht="14.25">
      <c r="A22" s="270"/>
      <c r="B22" s="270"/>
      <c r="D22" s="138"/>
    </row>
    <row r="23" spans="1:7" ht="14.25">
      <c r="A23" s="270"/>
      <c r="B23" s="703" t="s">
        <v>329</v>
      </c>
      <c r="D23" s="970" t="s">
        <v>1281</v>
      </c>
      <c r="E23" s="970"/>
      <c r="F23" s="970"/>
    </row>
    <row r="24" spans="1:7" ht="14.25">
      <c r="A24" s="270"/>
      <c r="B24" s="270"/>
      <c r="D24" s="970"/>
      <c r="E24" s="970"/>
      <c r="F24" s="970"/>
    </row>
    <row r="25" spans="1:7"/>
    <row r="26" spans="1:7" ht="14.25">
      <c r="A26" s="270"/>
      <c r="B26" s="703" t="s">
        <v>329</v>
      </c>
      <c r="D26" s="1005" t="s">
        <v>1282</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1283</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329</v>
      </c>
      <c r="C35" s="578"/>
      <c r="D35" s="971" t="s">
        <v>1284</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329</v>
      </c>
      <c r="C39" s="723"/>
      <c r="D39" s="971" t="s">
        <v>1285</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329</v>
      </c>
      <c r="C45" s="578"/>
      <c r="D45" s="971" t="s">
        <v>1286</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329</v>
      </c>
      <c r="D50" s="971" t="s">
        <v>1287</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329</v>
      </c>
      <c r="C54" s="581"/>
      <c r="D54" s="971" t="s">
        <v>1288</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329</v>
      </c>
      <c r="D57" s="971" t="s">
        <v>1289</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329</v>
      </c>
      <c r="D61" s="971" t="s">
        <v>1290</v>
      </c>
      <c r="E61" s="971"/>
      <c r="F61" s="971"/>
    </row>
    <row r="62" spans="1:7">
      <c r="D62" s="971"/>
      <c r="E62" s="971"/>
      <c r="F62" s="971"/>
    </row>
    <row r="63" spans="1:7"/>
    <row r="64" spans="1:7" ht="14.25">
      <c r="A64" s="270"/>
      <c r="B64" s="703" t="s">
        <v>329</v>
      </c>
      <c r="D64" s="971" t="s">
        <v>1291</v>
      </c>
      <c r="E64" s="971"/>
      <c r="F64" s="971"/>
    </row>
    <row r="65" spans="1:7">
      <c r="D65" s="971"/>
      <c r="E65" s="971"/>
      <c r="F65" s="971"/>
    </row>
    <row r="66" spans="1:7">
      <c r="A66" s="579"/>
      <c r="C66" s="579"/>
      <c r="D66" s="971"/>
      <c r="E66" s="971"/>
      <c r="F66" s="971"/>
    </row>
    <row r="67" spans="1:7">
      <c r="D67" s="12"/>
    </row>
    <row r="68" spans="1:7" ht="14.25">
      <c r="A68" s="270"/>
      <c r="B68" s="703" t="s">
        <v>329</v>
      </c>
      <c r="D68" s="970" t="s">
        <v>1292</v>
      </c>
      <c r="E68" s="970"/>
      <c r="F68" s="970"/>
    </row>
    <row r="69" spans="1:7">
      <c r="D69" s="970"/>
      <c r="E69" s="970"/>
      <c r="F69" s="970"/>
    </row>
    <row r="70" spans="1:7" ht="14.25">
      <c r="A70" s="270"/>
      <c r="B70" s="270"/>
      <c r="D70" s="138"/>
    </row>
    <row r="71" spans="1:7">
      <c r="A71" s="990" t="s">
        <v>1199</v>
      </c>
      <c r="B71" s="990"/>
      <c r="C71" s="990"/>
      <c r="D71" s="990"/>
      <c r="E71" s="990"/>
      <c r="F71" s="990"/>
      <c r="G71" s="990"/>
    </row>
    <row r="72" spans="1:7"/>
    <row r="73" spans="1:7">
      <c r="C73" s="271"/>
      <c r="D73" s="1019" t="s">
        <v>1297</v>
      </c>
      <c r="E73" s="1019"/>
      <c r="F73" s="1019"/>
    </row>
    <row r="74" spans="1:7">
      <c r="A74" s="138"/>
      <c r="B74" s="138"/>
      <c r="D74" s="970" t="s">
        <v>1324</v>
      </c>
      <c r="E74" s="970"/>
      <c r="F74" s="970"/>
    </row>
    <row r="75" spans="1:7">
      <c r="A75" s="138"/>
      <c r="B75" s="138"/>
    </row>
    <row r="76" spans="1:7" ht="14.25">
      <c r="A76" s="270"/>
      <c r="B76" s="703" t="s">
        <v>329</v>
      </c>
      <c r="D76" s="970" t="s">
        <v>1298</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329</v>
      </c>
      <c r="C83" s="729"/>
      <c r="D83" s="999" t="s">
        <v>1397</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329</v>
      </c>
      <c r="C97" s="729"/>
      <c r="D97" s="970" t="s">
        <v>1299</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329</v>
      </c>
      <c r="C106" s="486"/>
      <c r="D106" s="1027" t="s">
        <v>1300</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329</v>
      </c>
      <c r="C114"/>
      <c r="D114" s="1028" t="s">
        <v>1301</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329</v>
      </c>
      <c r="C117" s="10"/>
      <c r="D117" s="970" t="s">
        <v>1302</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329</v>
      </c>
      <c r="C123" s="10"/>
      <c r="D123" s="971" t="s">
        <v>1303</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329</v>
      </c>
      <c r="C136" s="10"/>
      <c r="D136" s="970" t="s">
        <v>1411</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2" t="s">
        <v>1304</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329</v>
      </c>
      <c r="C159" s="335"/>
      <c r="D159" s="978" t="s">
        <v>1305</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1306</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1200</v>
      </c>
      <c r="B168" s="990"/>
      <c r="C168" s="990"/>
      <c r="D168" s="990"/>
      <c r="E168" s="990"/>
      <c r="F168" s="990"/>
      <c r="G168" s="990"/>
    </row>
    <row r="169" spans="1:7" ht="12" customHeight="1">
      <c r="D169" s="138"/>
      <c r="E169" s="138"/>
      <c r="F169" s="138"/>
    </row>
    <row r="170" spans="1:7">
      <c r="B170" s="1018" t="s">
        <v>483</v>
      </c>
      <c r="C170" s="1018"/>
      <c r="D170" s="1018"/>
      <c r="E170" s="1018"/>
      <c r="F170" s="1018"/>
    </row>
    <row r="171" spans="1:7" ht="12" customHeight="1">
      <c r="A171" s="264"/>
      <c r="B171" s="697"/>
      <c r="C171" s="264"/>
    </row>
    <row r="172" spans="1:7">
      <c r="A172" s="990" t="s">
        <v>1201</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14" t="s">
        <v>1309</v>
      </c>
      <c r="E174" s="1014"/>
      <c r="F174" s="1014"/>
      <c r="G174" s="57"/>
    </row>
    <row r="175" spans="1:7">
      <c r="A175" s="273"/>
      <c r="B175" s="273"/>
      <c r="C175" s="274"/>
      <c r="D175" s="1014"/>
      <c r="E175" s="1014"/>
      <c r="F175" s="1014"/>
      <c r="G175" s="57"/>
    </row>
    <row r="176" spans="1:7" s="743" customFormat="1">
      <c r="A176" s="745"/>
      <c r="B176" s="745"/>
      <c r="C176" s="274"/>
      <c r="D176" s="1015" t="s">
        <v>1310</v>
      </c>
      <c r="E176" s="1015"/>
      <c r="F176" s="1015"/>
      <c r="G176" s="57"/>
    </row>
    <row r="177" spans="1:7" ht="12" customHeight="1">
      <c r="A177" s="273"/>
      <c r="B177" s="273"/>
      <c r="C177" s="274"/>
      <c r="D177" s="57"/>
      <c r="E177" s="49"/>
      <c r="F177" s="57"/>
      <c r="G177" s="57"/>
    </row>
    <row r="178" spans="1:7" ht="14.25">
      <c r="A178" s="270"/>
      <c r="B178" s="703" t="s">
        <v>329</v>
      </c>
      <c r="C178" s="274"/>
      <c r="D178" s="1008" t="s">
        <v>1308</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1217</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329</v>
      </c>
      <c r="C186" s="581"/>
      <c r="D186" s="970" t="s">
        <v>1307</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1202</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1331</v>
      </c>
      <c r="E194" s="995"/>
      <c r="F194" s="995"/>
    </row>
    <row r="195" spans="1:6" ht="12" customHeight="1">
      <c r="A195" s="23"/>
      <c r="B195" s="699"/>
      <c r="C195" s="23"/>
    </row>
    <row r="196" spans="1:6" ht="13.15" customHeight="1">
      <c r="A196" s="23"/>
      <c r="C196" s="23"/>
      <c r="D196" s="993" t="s">
        <v>592</v>
      </c>
      <c r="E196" s="993"/>
      <c r="F196" s="993"/>
    </row>
    <row r="197" spans="1:6" ht="14.25">
      <c r="A197" s="270"/>
      <c r="B197" s="703" t="s">
        <v>329</v>
      </c>
      <c r="D197" s="970" t="s">
        <v>1325</v>
      </c>
      <c r="E197" s="970"/>
      <c r="F197" s="970"/>
    </row>
    <row r="198" spans="1:6" ht="14.25">
      <c r="A198" s="270"/>
      <c r="B198" s="270"/>
      <c r="D198" s="970"/>
      <c r="E198" s="970"/>
      <c r="F198" s="970"/>
    </row>
    <row r="199" spans="1:6"/>
    <row r="200" spans="1:6" ht="14.25">
      <c r="A200" s="270"/>
      <c r="B200" s="703" t="s">
        <v>329</v>
      </c>
      <c r="D200" s="970" t="s">
        <v>1326</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1327</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329</v>
      </c>
      <c r="D210" s="984" t="s">
        <v>1328</v>
      </c>
      <c r="E210" s="984"/>
      <c r="F210" s="984"/>
    </row>
    <row r="211" spans="1:7" ht="14.25">
      <c r="A211" s="270"/>
      <c r="B211" s="270"/>
      <c r="D211" s="984"/>
      <c r="E211" s="984"/>
      <c r="F211" s="984"/>
    </row>
    <row r="212" spans="1:7" ht="14.25">
      <c r="A212" s="270"/>
      <c r="B212" s="270"/>
      <c r="D212" s="1018" t="s">
        <v>992</v>
      </c>
      <c r="E212" s="1018"/>
      <c r="F212" s="1018"/>
    </row>
    <row r="213" spans="1:7" ht="14.25">
      <c r="A213" s="270"/>
      <c r="B213" s="270"/>
      <c r="D213" s="138"/>
      <c r="E213" s="138"/>
      <c r="F213" s="138"/>
    </row>
    <row r="214" spans="1:7" ht="14.45" customHeight="1">
      <c r="A214" s="270"/>
      <c r="B214" s="703" t="s">
        <v>329</v>
      </c>
      <c r="D214" s="984" t="s">
        <v>1330</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70" t="s">
        <v>1329</v>
      </c>
      <c r="E220" s="970"/>
      <c r="F220" s="970"/>
    </row>
    <row r="221" spans="1:7" ht="14.25">
      <c r="A221" s="270"/>
      <c r="B221" s="270"/>
      <c r="D221" s="970"/>
      <c r="E221" s="970"/>
      <c r="F221" s="970"/>
    </row>
    <row r="222" spans="1:7">
      <c r="D222" s="29"/>
    </row>
    <row r="223" spans="1:7">
      <c r="A223" s="990" t="s">
        <v>1203</v>
      </c>
      <c r="B223" s="990"/>
      <c r="C223" s="990"/>
      <c r="D223" s="990"/>
      <c r="E223" s="990"/>
      <c r="F223" s="990"/>
      <c r="G223" s="990"/>
    </row>
    <row r="224" spans="1:7">
      <c r="D224" s="29"/>
    </row>
    <row r="225" spans="1:6">
      <c r="C225" s="271"/>
      <c r="D225" s="993" t="s">
        <v>1332</v>
      </c>
      <c r="E225" s="993"/>
      <c r="F225" s="993"/>
    </row>
    <row r="226" spans="1:6">
      <c r="A226" s="264"/>
      <c r="B226" s="697"/>
      <c r="C226" s="264"/>
      <c r="D226" s="138"/>
      <c r="E226" s="138"/>
      <c r="F226" s="138"/>
    </row>
    <row r="227" spans="1:6">
      <c r="A227" s="269"/>
      <c r="B227" s="269"/>
      <c r="C227" s="269"/>
      <c r="D227" s="993" t="s">
        <v>285</v>
      </c>
      <c r="E227" s="993"/>
      <c r="F227" s="993"/>
    </row>
    <row r="228" spans="1:6" ht="14.25">
      <c r="A228" s="270"/>
      <c r="B228" s="703" t="s">
        <v>329</v>
      </c>
      <c r="D228" s="994" t="s">
        <v>1333</v>
      </c>
      <c r="E228" s="994"/>
      <c r="F228" s="994"/>
    </row>
    <row r="229" spans="1:6" ht="14.25">
      <c r="A229" s="270"/>
      <c r="B229" s="270"/>
      <c r="D229" s="994"/>
      <c r="E229" s="994"/>
      <c r="F229" s="994"/>
    </row>
    <row r="230" spans="1:6">
      <c r="D230" s="138"/>
      <c r="E230" s="138"/>
      <c r="F230" s="138"/>
    </row>
    <row r="231" spans="1:6" ht="14.45" customHeight="1">
      <c r="A231" s="270"/>
      <c r="B231" s="703" t="s">
        <v>329</v>
      </c>
      <c r="D231" s="984" t="s">
        <v>1334</v>
      </c>
      <c r="E231" s="984"/>
      <c r="F231" s="984"/>
    </row>
    <row r="232" spans="1:6">
      <c r="D232" s="984"/>
      <c r="E232" s="984"/>
      <c r="F232" s="984"/>
    </row>
    <row r="233" spans="1:6">
      <c r="D233" s="995" t="s">
        <v>983</v>
      </c>
      <c r="E233" s="995"/>
      <c r="F233" s="995"/>
    </row>
    <row r="234" spans="1:6">
      <c r="D234" s="138"/>
      <c r="E234" s="138"/>
      <c r="F234" s="138"/>
    </row>
    <row r="235" spans="1:6" ht="14.45" customHeight="1">
      <c r="A235" s="270"/>
      <c r="B235" s="703" t="s">
        <v>329</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70" t="s">
        <v>1335</v>
      </c>
      <c r="E241" s="970"/>
      <c r="F241" s="970"/>
    </row>
    <row r="242" spans="1:7">
      <c r="D242" s="970"/>
      <c r="E242" s="970"/>
      <c r="F242" s="970"/>
    </row>
    <row r="243" spans="1:7">
      <c r="D243" s="970"/>
      <c r="E243" s="970"/>
      <c r="F243" s="970"/>
    </row>
    <row r="244" spans="1:7">
      <c r="D244" s="272"/>
      <c r="E244" s="138"/>
      <c r="F244" s="138"/>
    </row>
    <row r="245" spans="1:7">
      <c r="A245" s="990" t="s">
        <v>1204</v>
      </c>
      <c r="B245" s="990"/>
      <c r="C245" s="990"/>
      <c r="D245" s="990"/>
      <c r="E245" s="990"/>
      <c r="F245" s="990"/>
      <c r="G245" s="990"/>
    </row>
    <row r="246" spans="1:7">
      <c r="D246" s="272"/>
      <c r="E246" s="138"/>
      <c r="F246" s="138"/>
    </row>
    <row r="247" spans="1:7">
      <c r="C247" s="264"/>
      <c r="D247" s="1019" t="s">
        <v>1337</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1338</v>
      </c>
      <c r="E251" s="1001"/>
      <c r="F251" s="1001"/>
    </row>
    <row r="252" spans="1:7">
      <c r="E252" s="138"/>
      <c r="F252" s="138"/>
    </row>
    <row r="253" spans="1:7" ht="14.25">
      <c r="A253" s="270"/>
      <c r="B253" s="703" t="s">
        <v>329</v>
      </c>
      <c r="D253" s="970" t="s">
        <v>1339</v>
      </c>
      <c r="E253" s="970"/>
      <c r="F253" s="970"/>
    </row>
    <row r="254" spans="1:7" ht="14.25">
      <c r="A254" s="270"/>
      <c r="B254" s="270"/>
      <c r="D254" s="970"/>
      <c r="E254" s="970"/>
      <c r="F254" s="970"/>
    </row>
    <row r="255" spans="1:7">
      <c r="D255" s="138"/>
      <c r="E255" s="138"/>
      <c r="F255" s="138"/>
    </row>
    <row r="256" spans="1:7" ht="14.25">
      <c r="A256" s="270"/>
      <c r="B256" s="703" t="s">
        <v>329</v>
      </c>
      <c r="D256" s="984" t="s">
        <v>1340</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70" t="s">
        <v>1341</v>
      </c>
      <c r="E260" s="970"/>
      <c r="F260" s="970"/>
    </row>
    <row r="261" spans="1:7" ht="14.25">
      <c r="A261" s="270"/>
      <c r="B261" s="270"/>
      <c r="D261" s="970"/>
      <c r="E261" s="970"/>
      <c r="F261" s="970"/>
    </row>
    <row r="262" spans="1:7">
      <c r="A262" s="23"/>
      <c r="B262" s="699"/>
      <c r="E262" s="138"/>
      <c r="F262" s="138"/>
    </row>
    <row r="263" spans="1:7">
      <c r="A263" s="990" t="s">
        <v>1205</v>
      </c>
      <c r="B263" s="990"/>
      <c r="C263" s="990"/>
      <c r="D263" s="990"/>
      <c r="E263" s="990"/>
      <c r="F263" s="990"/>
      <c r="G263" s="990"/>
    </row>
    <row r="264" spans="1:7">
      <c r="A264" s="23"/>
      <c r="B264" s="699"/>
      <c r="D264" s="138"/>
      <c r="E264" s="138"/>
      <c r="F264" s="138"/>
    </row>
    <row r="265" spans="1:7">
      <c r="C265" s="23"/>
      <c r="D265" s="993" t="s">
        <v>735</v>
      </c>
      <c r="E265" s="993"/>
      <c r="F265" s="993"/>
    </row>
    <row r="266" spans="1:7">
      <c r="C266" s="23"/>
      <c r="D266" s="983" t="s">
        <v>1342</v>
      </c>
      <c r="E266" s="983"/>
      <c r="F266" s="983"/>
    </row>
    <row r="267" spans="1:7">
      <c r="C267" s="23"/>
      <c r="D267" s="268"/>
    </row>
    <row r="268" spans="1:7">
      <c r="A268" s="282"/>
      <c r="B268" s="703" t="s">
        <v>329</v>
      </c>
      <c r="D268" s="983" t="s">
        <v>1343</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996" t="s">
        <v>1344</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15" customHeight="1">
      <c r="A276" s="282"/>
      <c r="B276" s="703" t="s">
        <v>329</v>
      </c>
      <c r="C276" s="282"/>
      <c r="D276" s="996" t="s">
        <v>1345</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329</v>
      </c>
      <c r="D279" s="983" t="s">
        <v>1346</v>
      </c>
      <c r="E279" s="983"/>
      <c r="F279" s="983"/>
    </row>
    <row r="280" spans="1:7">
      <c r="E280" s="138"/>
      <c r="F280" s="138"/>
    </row>
    <row r="281" spans="1:7" ht="14.25">
      <c r="A281" s="270"/>
      <c r="B281" s="703" t="s">
        <v>329</v>
      </c>
      <c r="D281" s="984" t="s">
        <v>1347</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70" t="s">
        <v>1349</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1091</v>
      </c>
      <c r="E314" s="1002"/>
      <c r="F314" s="1002"/>
      <c r="G314" s="12"/>
    </row>
    <row r="315" spans="1:7" s="743" customFormat="1" ht="13.5" thickTop="1">
      <c r="A315" s="755"/>
      <c r="B315" s="755"/>
      <c r="C315" s="755"/>
      <c r="D315" s="1003" t="s">
        <v>1350</v>
      </c>
      <c r="E315" s="1003"/>
      <c r="F315" s="1003"/>
    </row>
    <row r="316" spans="1:7">
      <c r="A316" s="335"/>
      <c r="B316" s="335"/>
      <c r="C316" s="335"/>
      <c r="D316" s="484"/>
      <c r="E316" s="484"/>
      <c r="F316" s="138"/>
      <c r="G316" s="12"/>
    </row>
    <row r="317" spans="1:7" ht="14.25">
      <c r="A317" s="270"/>
      <c r="B317" s="703" t="s">
        <v>329</v>
      </c>
      <c r="C317" s="335"/>
      <c r="D317" s="1004" t="s">
        <v>1351</v>
      </c>
      <c r="E317" s="1004"/>
      <c r="F317" s="1004"/>
      <c r="G317" s="12"/>
    </row>
    <row r="318" spans="1:7">
      <c r="A318" s="335"/>
      <c r="B318" s="335"/>
      <c r="C318" s="335"/>
      <c r="D318" s="484"/>
      <c r="E318" s="484"/>
      <c r="F318" s="138"/>
      <c r="G318" s="12"/>
    </row>
    <row r="319" spans="1:7">
      <c r="A319" s="335"/>
      <c r="B319" s="703" t="s">
        <v>329</v>
      </c>
      <c r="C319" s="335"/>
      <c r="D319" s="999" t="s">
        <v>1352</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329</v>
      </c>
      <c r="C331" s="335"/>
      <c r="D331" s="997" t="s">
        <v>1353</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1354</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15" customHeight="1">
      <c r="A345" s="335"/>
      <c r="B345" s="335"/>
      <c r="C345" s="335"/>
      <c r="D345" s="998" t="s">
        <v>1355</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1356</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329</v>
      </c>
      <c r="C367" s="335"/>
      <c r="D367" s="999" t="s">
        <v>1357</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329</v>
      </c>
      <c r="C373" s="275"/>
      <c r="D373" s="970" t="s">
        <v>1358</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329</v>
      </c>
      <c r="C405" s="275"/>
      <c r="D405" s="983" t="s">
        <v>1359</v>
      </c>
      <c r="E405" s="983"/>
      <c r="F405" s="983"/>
    </row>
    <row r="406" spans="1:7">
      <c r="D406" s="1000" t="s">
        <v>1116</v>
      </c>
      <c r="E406" s="1000"/>
      <c r="F406" s="1000"/>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70" t="s">
        <v>1361</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329</v>
      </c>
      <c r="C416" s="270"/>
      <c r="D416" s="984" t="s">
        <v>1362</v>
      </c>
      <c r="E416" s="984"/>
      <c r="F416" s="984"/>
      <c r="G416" s="12"/>
    </row>
    <row r="417" spans="1:7">
      <c r="D417" s="984"/>
      <c r="E417" s="984"/>
      <c r="F417" s="984"/>
      <c r="G417" s="12"/>
    </row>
    <row r="418" spans="1:7">
      <c r="D418" s="138"/>
      <c r="E418" s="138"/>
      <c r="F418" s="138"/>
      <c r="G418" s="12"/>
    </row>
    <row r="419" spans="1:7" ht="14.25">
      <c r="B419" s="703" t="s">
        <v>329</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1365</v>
      </c>
      <c r="E440" s="985"/>
      <c r="F440" s="985"/>
    </row>
    <row r="441" spans="1:7">
      <c r="A441" s="138"/>
      <c r="B441" s="138"/>
    </row>
    <row r="442" spans="1:7">
      <c r="A442" s="990" t="s">
        <v>1206</v>
      </c>
      <c r="B442" s="990"/>
      <c r="C442" s="990"/>
      <c r="D442" s="990"/>
      <c r="E442" s="990"/>
      <c r="F442" s="990"/>
      <c r="G442" s="990"/>
    </row>
    <row r="443" spans="1:7">
      <c r="A443" s="138"/>
      <c r="B443" s="138"/>
    </row>
    <row r="444" spans="1:7">
      <c r="D444" s="986" t="s">
        <v>977</v>
      </c>
      <c r="E444" s="986"/>
      <c r="F444" s="986"/>
    </row>
    <row r="445" spans="1:7" s="39" customFormat="1" ht="14.25">
      <c r="A445" s="420"/>
      <c r="B445" s="420"/>
      <c r="C445" s="282"/>
      <c r="D445" s="987" t="s">
        <v>1366</v>
      </c>
      <c r="E445" s="987"/>
      <c r="F445" s="987"/>
      <c r="G445" s="133"/>
    </row>
    <row r="446" spans="1:7" s="39" customFormat="1" ht="14.25">
      <c r="A446" s="420"/>
      <c r="B446" s="420"/>
      <c r="C446" s="282"/>
      <c r="D446" s="756"/>
      <c r="E446" s="6"/>
      <c r="F446" s="6"/>
      <c r="G446" s="133"/>
    </row>
    <row r="447" spans="1:7" s="39" customFormat="1" ht="14.25">
      <c r="A447" s="270"/>
      <c r="B447" s="703" t="s">
        <v>329</v>
      </c>
      <c r="C447" s="282"/>
      <c r="D447" s="988" t="s">
        <v>1367</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329</v>
      </c>
      <c r="D450" s="989" t="s">
        <v>1368</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329</v>
      </c>
      <c r="D455" s="971" t="s">
        <v>1369</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329</v>
      </c>
      <c r="D459" s="983" t="s">
        <v>1370</v>
      </c>
      <c r="E459" s="983"/>
      <c r="F459" s="983"/>
      <c r="G459" s="12"/>
    </row>
    <row r="460" spans="1:7" ht="14.25">
      <c r="A460" s="270"/>
      <c r="B460" s="270"/>
      <c r="D460" s="754"/>
      <c r="E460" s="6"/>
      <c r="F460" s="6"/>
      <c r="G460" s="12"/>
    </row>
    <row r="461" spans="1:7" ht="14.25">
      <c r="A461" s="270"/>
      <c r="B461" s="703" t="s">
        <v>329</v>
      </c>
      <c r="D461" s="970" t="s">
        <v>1371</v>
      </c>
      <c r="E461" s="970"/>
      <c r="F461" s="970"/>
      <c r="G461" s="12"/>
    </row>
    <row r="462" spans="1:7" ht="14.25">
      <c r="A462" s="270"/>
      <c r="D462" s="970"/>
      <c r="E462" s="970"/>
      <c r="F462" s="970"/>
      <c r="G462" s="12"/>
    </row>
    <row r="463" spans="1:7">
      <c r="A463" s="23"/>
      <c r="B463" s="699"/>
      <c r="D463" s="757"/>
      <c r="E463" s="6"/>
      <c r="F463" s="6"/>
      <c r="G463" s="12"/>
    </row>
    <row r="464" spans="1:7">
      <c r="A464" s="23"/>
      <c r="B464" s="742" t="s">
        <v>329</v>
      </c>
      <c r="D464" s="983" t="s">
        <v>1372</v>
      </c>
      <c r="E464" s="983"/>
      <c r="F464" s="983"/>
      <c r="G464" s="12"/>
    </row>
    <row r="465" spans="1:7" ht="14.25">
      <c r="A465" s="270"/>
      <c r="B465" s="270"/>
      <c r="D465" s="138"/>
    </row>
    <row r="466" spans="1:7">
      <c r="A466" s="990" t="s">
        <v>1207</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874</v>
      </c>
      <c r="E468" s="991"/>
      <c r="F468" s="991"/>
      <c r="G468" s="187"/>
    </row>
    <row r="469" spans="1:7" customFormat="1" ht="13.15" customHeight="1">
      <c r="A469" s="269"/>
      <c r="B469" s="269"/>
      <c r="C469" s="323"/>
      <c r="D469" s="992" t="s">
        <v>1250</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329</v>
      </c>
      <c r="C475" s="323"/>
      <c r="D475" s="1032" t="s">
        <v>1241</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329</v>
      </c>
      <c r="C481" s="323"/>
      <c r="D481" s="1032" t="s">
        <v>1244</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2" t="s">
        <v>1242</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329</v>
      </c>
      <c r="C490" s="323"/>
      <c r="D490" s="1032" t="s">
        <v>1243</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15" customHeight="1">
      <c r="A500" s="504"/>
      <c r="B500" s="703" t="s">
        <v>329</v>
      </c>
      <c r="C500" s="503"/>
      <c r="D500" s="982" t="s">
        <v>1387</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329</v>
      </c>
      <c r="C506" s="10"/>
      <c r="D506" s="1032" t="s">
        <v>1245</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1208</v>
      </c>
      <c r="B510" s="990"/>
      <c r="C510" s="990"/>
      <c r="D510" s="990"/>
      <c r="E510" s="990"/>
      <c r="F510" s="990"/>
      <c r="G510" s="990"/>
    </row>
    <row r="511" spans="1:7">
      <c r="A511" s="138"/>
      <c r="B511" s="138"/>
      <c r="C511" s="275"/>
      <c r="F511" s="137"/>
    </row>
    <row r="512" spans="1:7">
      <c r="B512" s="1018" t="s">
        <v>483</v>
      </c>
      <c r="C512" s="1018"/>
      <c r="D512" s="1018"/>
      <c r="E512" s="1018"/>
      <c r="F512" s="1018"/>
    </row>
    <row r="513" spans="1:7">
      <c r="A513" s="138"/>
      <c r="B513" s="138"/>
      <c r="C513" s="275"/>
      <c r="D513" s="138"/>
      <c r="F513" s="138"/>
    </row>
    <row r="514" spans="1:7">
      <c r="A514" s="1040" t="s">
        <v>1209</v>
      </c>
      <c r="B514" s="1040"/>
      <c r="C514" s="1040"/>
      <c r="D514" s="1040"/>
      <c r="E514" s="1040"/>
      <c r="F514" s="1040"/>
      <c r="G514" s="1040"/>
    </row>
    <row r="515" spans="1:7">
      <c r="A515" s="138"/>
      <c r="B515" s="138"/>
      <c r="C515" s="275"/>
      <c r="D515" s="138"/>
      <c r="F515" s="138"/>
    </row>
    <row r="516" spans="1:7">
      <c r="C516" s="275"/>
      <c r="D516" s="993" t="s">
        <v>736</v>
      </c>
      <c r="E516" s="993"/>
      <c r="F516" s="993"/>
    </row>
    <row r="517" spans="1:7" s="706" customFormat="1">
      <c r="A517" s="723"/>
      <c r="B517" s="723"/>
      <c r="C517" s="275"/>
      <c r="D517" s="983" t="s">
        <v>1266</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978</v>
      </c>
      <c r="E519" s="983"/>
      <c r="F519" s="983"/>
      <c r="G519" s="12"/>
    </row>
    <row r="520" spans="1:7" ht="13.15" customHeight="1">
      <c r="A520" s="275"/>
      <c r="B520" s="275"/>
      <c r="C520" s="275"/>
      <c r="D520" s="728"/>
      <c r="E520" s="701"/>
      <c r="F520" s="701"/>
      <c r="G520" s="12"/>
    </row>
    <row r="521" spans="1:7" ht="14.25">
      <c r="A521" s="270"/>
      <c r="B521" s="703" t="s">
        <v>329</v>
      </c>
      <c r="C521" s="275"/>
      <c r="D521" s="970" t="s">
        <v>1267</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329</v>
      </c>
      <c r="C524" s="275"/>
      <c r="D524" s="970" t="s">
        <v>1268</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329</v>
      </c>
      <c r="C527" s="275"/>
      <c r="D527" s="970" t="s">
        <v>1269</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329</v>
      </c>
      <c r="C530" s="275"/>
      <c r="D530" s="970" t="s">
        <v>1270</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329</v>
      </c>
      <c r="C534" s="275"/>
      <c r="D534" s="1005" t="s">
        <v>1388</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329</v>
      </c>
      <c r="C537" s="275"/>
      <c r="D537" s="1005" t="s">
        <v>1271</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329</v>
      </c>
      <c r="C540" s="275"/>
      <c r="D540" s="970" t="s">
        <v>1272</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329</v>
      </c>
      <c r="C543" s="275"/>
      <c r="D543" s="983" t="s">
        <v>1273</v>
      </c>
      <c r="E543" s="983"/>
      <c r="F543" s="983"/>
      <c r="G543" s="57"/>
    </row>
    <row r="544" spans="1:7">
      <c r="A544" s="23"/>
      <c r="B544" s="699"/>
      <c r="C544" s="275"/>
      <c r="D544" s="983" t="s">
        <v>904</v>
      </c>
      <c r="E544" s="983"/>
      <c r="F544" s="983"/>
      <c r="G544" s="57"/>
    </row>
    <row r="545" spans="1:7">
      <c r="A545" s="23"/>
      <c r="B545" s="699"/>
      <c r="C545" s="275"/>
      <c r="D545" s="6"/>
      <c r="E545" s="1001" t="s">
        <v>1274</v>
      </c>
      <c r="F545" s="1001"/>
      <c r="G545" s="57"/>
    </row>
    <row r="546" spans="1:7" ht="14.25">
      <c r="A546" s="270"/>
      <c r="B546" s="270"/>
      <c r="C546" s="275"/>
      <c r="E546" s="138"/>
      <c r="F546" s="138"/>
      <c r="G546" s="57"/>
    </row>
    <row r="547" spans="1:7" ht="14.25">
      <c r="A547" s="270"/>
      <c r="B547" s="703" t="s">
        <v>329</v>
      </c>
      <c r="C547" s="275"/>
      <c r="D547" s="1045" t="s">
        <v>1275</v>
      </c>
      <c r="E547" s="1045"/>
      <c r="F547" s="1045"/>
      <c r="G547" s="57"/>
    </row>
    <row r="548" spans="1:7">
      <c r="C548" s="275"/>
      <c r="D548" s="970" t="s">
        <v>1276</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329</v>
      </c>
      <c r="C552" s="275"/>
      <c r="D552" s="970" t="s">
        <v>1277</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1210</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1226</v>
      </c>
      <c r="E560" s="1013"/>
      <c r="F560" s="1013"/>
      <c r="G560" s="57"/>
    </row>
    <row r="561" spans="1:7">
      <c r="A561" s="12"/>
      <c r="B561" s="12"/>
      <c r="C561" s="269"/>
      <c r="D561" s="393"/>
      <c r="G561" s="57"/>
    </row>
    <row r="562" spans="1:7">
      <c r="A562" s="269"/>
      <c r="B562" s="703" t="s">
        <v>329</v>
      </c>
      <c r="D562" s="1013" t="s">
        <v>984</v>
      </c>
      <c r="E562" s="1013"/>
      <c r="F562" s="1013"/>
      <c r="G562" s="57"/>
    </row>
    <row r="563" spans="1:7">
      <c r="A563" s="23"/>
      <c r="B563" s="699"/>
      <c r="D563" s="335"/>
    </row>
    <row r="564" spans="1:7">
      <c r="A564" s="23"/>
      <c r="B564" s="703" t="s">
        <v>329</v>
      </c>
      <c r="D564" s="989" t="s">
        <v>1227</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1228</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1229</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1230</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979</v>
      </c>
      <c r="E579" s="1013"/>
      <c r="F579" s="1013"/>
    </row>
    <row r="580" spans="1:7" ht="14.25">
      <c r="A580" s="270"/>
      <c r="B580" s="270"/>
      <c r="D580" s="393"/>
    </row>
    <row r="581" spans="1:7" ht="14.25">
      <c r="A581" s="270"/>
      <c r="B581" s="703" t="s">
        <v>329</v>
      </c>
      <c r="D581" s="1013" t="s">
        <v>1231</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1211</v>
      </c>
      <c r="B588" s="990"/>
      <c r="C588" s="990"/>
      <c r="D588" s="990"/>
      <c r="E588" s="990"/>
      <c r="F588" s="990"/>
      <c r="G588" s="990"/>
    </row>
    <row r="589" spans="1:7"/>
    <row r="590" spans="1:7">
      <c r="D590" s="1007" t="s">
        <v>1311</v>
      </c>
      <c r="E590" s="1007"/>
      <c r="F590" s="1007"/>
    </row>
    <row r="591" spans="1:7">
      <c r="D591" s="1046" t="s">
        <v>1312</v>
      </c>
      <c r="E591" s="1046"/>
      <c r="F591" s="1046"/>
    </row>
    <row r="592" spans="1:7" s="743" customFormat="1">
      <c r="A592" s="729"/>
      <c r="B592" s="729"/>
      <c r="C592" s="729"/>
      <c r="D592" s="747"/>
      <c r="E592" s="746"/>
      <c r="F592" s="746"/>
      <c r="G592" s="7"/>
    </row>
    <row r="593" spans="1:7" s="39" customFormat="1" ht="14.25">
      <c r="A593" s="420"/>
      <c r="B593" s="703" t="s">
        <v>329</v>
      </c>
      <c r="C593" s="282"/>
      <c r="D593" s="1009" t="s">
        <v>1313</v>
      </c>
      <c r="E593" s="1009"/>
      <c r="F593" s="1009"/>
      <c r="G593" s="133"/>
    </row>
    <row r="594" spans="1:7">
      <c r="D594" s="1009"/>
      <c r="E594" s="1009"/>
      <c r="F594" s="1009"/>
    </row>
    <row r="595" spans="1:7">
      <c r="D595" s="1009"/>
      <c r="E595" s="1009"/>
      <c r="F595" s="1009"/>
    </row>
    <row r="596" spans="1:7"/>
    <row r="597" spans="1:7">
      <c r="A597" s="990" t="s">
        <v>1212</v>
      </c>
      <c r="B597" s="990"/>
      <c r="C597" s="990"/>
      <c r="D597" s="990"/>
      <c r="E597" s="990"/>
      <c r="F597" s="990"/>
      <c r="G597" s="990"/>
    </row>
    <row r="598" spans="1:7">
      <c r="A598" s="138"/>
      <c r="B598" s="138"/>
      <c r="G598" s="57"/>
    </row>
    <row r="599" spans="1:7">
      <c r="A599" s="266"/>
      <c r="B599" s="698"/>
      <c r="C599" s="264"/>
      <c r="D599" s="1047" t="s">
        <v>1314</v>
      </c>
      <c r="E599" s="1047"/>
      <c r="F599" s="1047"/>
      <c r="G599" s="57"/>
    </row>
    <row r="600" spans="1:7">
      <c r="A600" s="266"/>
      <c r="B600" s="698"/>
      <c r="C600" s="264"/>
      <c r="D600" s="1047"/>
      <c r="E600" s="1047"/>
      <c r="F600" s="1047"/>
      <c r="G600" s="57"/>
    </row>
    <row r="601" spans="1:7">
      <c r="C601" s="269"/>
      <c r="D601" s="1046" t="s">
        <v>1315</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1316</v>
      </c>
      <c r="E605" s="1006"/>
      <c r="F605" s="1006"/>
      <c r="G605" s="57"/>
    </row>
    <row r="606" spans="1:7">
      <c r="D606" s="1006"/>
      <c r="E606" s="1006"/>
      <c r="F606" s="1006"/>
      <c r="G606" s="57"/>
    </row>
    <row r="607" spans="1:7">
      <c r="D607" s="12"/>
      <c r="G607" s="57"/>
    </row>
    <row r="608" spans="1:7">
      <c r="B608" s="703" t="s">
        <v>329</v>
      </c>
      <c r="D608" s="1006" t="s">
        <v>1317</v>
      </c>
      <c r="E608" s="1006"/>
      <c r="F608" s="1006"/>
      <c r="G608" s="57"/>
    </row>
    <row r="609" spans="1:7">
      <c r="C609" s="277"/>
      <c r="D609" s="1006"/>
      <c r="E609" s="1006"/>
      <c r="F609" s="1006"/>
      <c r="G609" s="57"/>
    </row>
    <row r="610" spans="1:7">
      <c r="C610" s="277"/>
      <c r="G610" s="57"/>
    </row>
    <row r="611" spans="1:7">
      <c r="B611" s="703" t="s">
        <v>329</v>
      </c>
      <c r="C611" s="277"/>
      <c r="D611" s="1006" t="s">
        <v>1318</v>
      </c>
      <c r="E611" s="1006"/>
      <c r="F611" s="1006"/>
      <c r="G611" s="57"/>
    </row>
    <row r="612" spans="1:7">
      <c r="C612" s="277"/>
      <c r="D612" s="1006"/>
      <c r="E612" s="1006"/>
      <c r="F612" s="1006"/>
      <c r="G612" s="57"/>
    </row>
    <row r="613" spans="1:7">
      <c r="C613" s="277"/>
      <c r="G613" s="57"/>
    </row>
    <row r="614" spans="1:7">
      <c r="A614" s="990" t="s">
        <v>1213</v>
      </c>
      <c r="B614" s="990"/>
      <c r="C614" s="990"/>
      <c r="D614" s="990"/>
      <c r="E614" s="990"/>
      <c r="F614" s="990"/>
      <c r="G614" s="990"/>
    </row>
    <row r="615" spans="1:7">
      <c r="A615" s="276"/>
      <c r="B615" s="276"/>
      <c r="C615" s="276"/>
      <c r="G615" s="57"/>
    </row>
    <row r="616" spans="1:7">
      <c r="C616" s="23"/>
      <c r="D616" s="1007" t="s">
        <v>1319</v>
      </c>
      <c r="E616" s="1007"/>
      <c r="F616" s="1007"/>
      <c r="G616" s="57"/>
    </row>
    <row r="617" spans="1:7">
      <c r="A617" s="23"/>
      <c r="B617" s="699"/>
      <c r="C617" s="274"/>
      <c r="D617" s="50"/>
      <c r="G617" s="57"/>
    </row>
    <row r="618" spans="1:7" ht="14.25">
      <c r="A618" s="270"/>
      <c r="B618" s="703" t="s">
        <v>329</v>
      </c>
      <c r="C618" s="274"/>
      <c r="D618" s="1008" t="s">
        <v>1320</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329</v>
      </c>
      <c r="C625" s="274"/>
      <c r="D625" s="1008" t="s">
        <v>1321</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329</v>
      </c>
      <c r="C628" s="275"/>
      <c r="D628" s="1009" t="s">
        <v>1322</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1323</v>
      </c>
      <c r="E633" s="1010"/>
      <c r="F633" s="1010"/>
      <c r="G633" s="57"/>
    </row>
    <row r="634" spans="1:7">
      <c r="A634" s="275"/>
      <c r="B634" s="275"/>
      <c r="C634" s="275"/>
      <c r="D634" s="751"/>
      <c r="E634" s="751"/>
      <c r="F634" s="751"/>
      <c r="G634" s="57"/>
    </row>
    <row r="635" spans="1:7">
      <c r="A635" s="990" t="s">
        <v>1214</v>
      </c>
      <c r="B635" s="990"/>
      <c r="C635" s="990"/>
      <c r="D635" s="990"/>
      <c r="E635" s="990"/>
      <c r="F635" s="990"/>
      <c r="G635" s="990"/>
    </row>
    <row r="636" spans="1:7">
      <c r="A636" s="138"/>
      <c r="B636" s="138"/>
      <c r="C636" s="275"/>
      <c r="D636" s="150"/>
      <c r="E636" s="150"/>
      <c r="F636" s="150"/>
      <c r="G636" s="57"/>
    </row>
    <row r="637" spans="1:7">
      <c r="C637" s="276"/>
      <c r="D637" s="1011" t="s">
        <v>1373</v>
      </c>
      <c r="E637" s="1011"/>
      <c r="F637" s="1011"/>
      <c r="G637" s="57"/>
    </row>
    <row r="638" spans="1:7">
      <c r="A638" s="269"/>
      <c r="B638" s="269"/>
      <c r="C638" s="269"/>
      <c r="D638" s="1012" t="s">
        <v>1374</v>
      </c>
      <c r="E638" s="1012"/>
      <c r="F638" s="1012"/>
      <c r="G638" s="57"/>
    </row>
    <row r="639" spans="1:7" s="743" customFormat="1">
      <c r="A639" s="744"/>
      <c r="B639" s="744"/>
      <c r="C639" s="744"/>
      <c r="D639" s="758"/>
      <c r="E639" s="758"/>
      <c r="F639" s="758"/>
      <c r="G639" s="57"/>
    </row>
    <row r="640" spans="1:7" ht="14.45" customHeight="1">
      <c r="A640" s="270"/>
      <c r="B640" s="703" t="s">
        <v>329</v>
      </c>
      <c r="C640" s="275"/>
      <c r="D640" s="968" t="s">
        <v>1375</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329</v>
      </c>
      <c r="C646" s="275"/>
      <c r="D646" s="1029" t="s">
        <v>1225</v>
      </c>
      <c r="E646" s="1029"/>
      <c r="F646" s="1029"/>
      <c r="G646" s="57"/>
    </row>
    <row r="647" spans="1:11" s="706" customFormat="1" ht="14.25">
      <c r="A647" s="270"/>
      <c r="B647" s="270"/>
      <c r="C647" s="275"/>
      <c r="D647" s="1030" t="s">
        <v>1376</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1377</v>
      </c>
      <c r="E652" s="1031"/>
      <c r="F652" s="1031"/>
      <c r="G652" s="57"/>
    </row>
    <row r="653" spans="1:11">
      <c r="A653" s="275"/>
      <c r="B653" s="275"/>
      <c r="C653" s="275"/>
      <c r="D653" s="150"/>
      <c r="E653" s="150"/>
      <c r="F653" s="150"/>
      <c r="G653" s="57"/>
    </row>
    <row r="654" spans="1:11">
      <c r="A654" s="990" t="s">
        <v>1215</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1251</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79" t="s">
        <v>1252</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0" t="s">
        <v>1253</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1001" t="s">
        <v>1254</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5" t="s">
        <v>1264</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5" t="s">
        <v>1255</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5" t="s">
        <v>1265</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1262</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1263</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1256</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1257</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0" t="s">
        <v>1258</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5" t="s">
        <v>1391</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1259</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1216</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15" customHeight="1">
      <c r="C728" s="269"/>
      <c r="D728" s="1019" t="s">
        <v>1232</v>
      </c>
      <c r="E728" s="1019"/>
      <c r="F728" s="1019"/>
      <c r="G728" s="280"/>
      <c r="H728" s="278"/>
      <c r="I728" s="278"/>
      <c r="J728" s="278"/>
      <c r="K728" s="278"/>
    </row>
    <row r="729" spans="1:11">
      <c r="A729" s="269"/>
      <c r="B729" s="269"/>
      <c r="C729" s="269"/>
      <c r="D729" s="1036" t="s">
        <v>1233</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0" t="s">
        <v>1234</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1" t="s">
        <v>1235</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329</v>
      </c>
      <c r="C743" s="425"/>
      <c r="D743" s="1037" t="s">
        <v>1236</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329</v>
      </c>
      <c r="C747" s="282"/>
      <c r="D747" s="971" t="s">
        <v>1237</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1238</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1239</v>
      </c>
      <c r="B754" s="1042"/>
      <c r="C754" s="1042"/>
      <c r="D754" s="1042"/>
      <c r="E754" s="1042"/>
      <c r="F754" s="1042"/>
      <c r="G754" s="1042"/>
    </row>
    <row r="755" spans="1:11">
      <c r="A755" s="269"/>
      <c r="B755" s="269"/>
      <c r="C755" s="269"/>
      <c r="D755" s="285"/>
      <c r="F755" s="150"/>
      <c r="G755" s="280"/>
    </row>
    <row r="756" spans="1:11">
      <c r="A756" s="282"/>
      <c r="B756" s="282"/>
      <c r="C756" s="459"/>
      <c r="D756" s="1043" t="s">
        <v>1223</v>
      </c>
      <c r="E756" s="1043"/>
      <c r="F756" s="1043"/>
      <c r="G756" s="280"/>
    </row>
    <row r="757" spans="1:11">
      <c r="A757" s="523"/>
      <c r="B757" s="523"/>
      <c r="C757" s="522"/>
      <c r="D757" s="1033" t="s">
        <v>1240</v>
      </c>
      <c r="E757" s="1033"/>
      <c r="F757" s="1033"/>
      <c r="G757" s="280"/>
    </row>
    <row r="758" spans="1:11">
      <c r="A758" s="282"/>
      <c r="B758" s="282"/>
      <c r="C758" s="459"/>
      <c r="D758" s="717"/>
      <c r="E758" s="717"/>
      <c r="F758" s="717"/>
      <c r="G758" s="280"/>
    </row>
    <row r="759" spans="1:11" ht="14.25">
      <c r="A759" s="270"/>
      <c r="B759" s="703" t="s">
        <v>329</v>
      </c>
      <c r="C759" s="459"/>
      <c r="D759" s="1034" t="s">
        <v>1101</v>
      </c>
      <c r="E759" s="1034"/>
      <c r="F759" s="1034"/>
      <c r="G759" s="280"/>
    </row>
    <row r="760" spans="1:11">
      <c r="A760" s="282"/>
      <c r="B760" s="282"/>
      <c r="C760" s="459"/>
      <c r="D760" s="716"/>
      <c r="E760" s="1035" t="s">
        <v>1224</v>
      </c>
      <c r="F760" s="1035"/>
      <c r="G760" s="280"/>
    </row>
    <row r="761" spans="1:11">
      <c r="A761" s="276"/>
      <c r="B761" s="276"/>
      <c r="C761" s="276"/>
      <c r="D761" s="138"/>
      <c r="F761" s="57"/>
      <c r="G761" s="280"/>
    </row>
    <row r="762" spans="1:11">
      <c r="A762" s="1039" t="s">
        <v>484</v>
      </c>
      <c r="B762" s="1039"/>
      <c r="C762" s="1039"/>
      <c r="D762" s="1039"/>
      <c r="E762" s="1039"/>
      <c r="F762" s="1039"/>
      <c r="G762" s="1039"/>
    </row>
    <row r="763" spans="1:11">
      <c r="A763" s="264"/>
      <c r="B763" s="697"/>
      <c r="C763" s="275"/>
      <c r="D763" s="280"/>
      <c r="E763" s="280"/>
      <c r="F763" s="280"/>
      <c r="G763" s="280"/>
    </row>
    <row r="764" spans="1:11">
      <c r="A764" s="138"/>
      <c r="B764" s="1041" t="s">
        <v>1100</v>
      </c>
      <c r="C764" s="1041"/>
      <c r="D764" s="1041"/>
      <c r="E764" s="1041"/>
      <c r="F764" s="1041"/>
      <c r="G764" s="280"/>
    </row>
    <row r="765" spans="1:11">
      <c r="A765" s="23"/>
      <c r="B765" s="699"/>
      <c r="G765" s="280"/>
    </row>
    <row r="766" spans="1:11">
      <c r="A766" s="1039" t="s">
        <v>485</v>
      </c>
      <c r="B766" s="1039"/>
      <c r="C766" s="1039"/>
      <c r="D766" s="1039"/>
      <c r="E766" s="1039"/>
      <c r="F766" s="1039"/>
      <c r="G766" s="1039"/>
    </row>
    <row r="767" spans="1:11">
      <c r="A767" s="264"/>
      <c r="B767" s="697"/>
      <c r="C767" s="264"/>
      <c r="D767" s="272"/>
      <c r="G767" s="280"/>
    </row>
    <row r="768" spans="1:11">
      <c r="A768" s="138"/>
      <c r="B768" s="985" t="s">
        <v>483</v>
      </c>
      <c r="C768" s="985"/>
      <c r="D768" s="985"/>
      <c r="E768" s="985"/>
      <c r="F768" s="985"/>
      <c r="G768" s="280"/>
    </row>
    <row r="769" spans="1:7" ht="14.25">
      <c r="A769" s="270"/>
      <c r="B769" s="270"/>
      <c r="D769" s="138"/>
      <c r="E769" s="138"/>
      <c r="F769" s="280"/>
      <c r="G769" s="280"/>
    </row>
    <row r="770" spans="1:7">
      <c r="A770" s="1039" t="s">
        <v>486</v>
      </c>
      <c r="B770" s="1039"/>
      <c r="C770" s="1039"/>
      <c r="D770" s="1039"/>
      <c r="E770" s="1039"/>
      <c r="F770" s="1039"/>
      <c r="G770" s="1039"/>
    </row>
    <row r="771" spans="1:7">
      <c r="C771" s="269"/>
      <c r="D771" s="268"/>
      <c r="E771" s="138"/>
      <c r="F771" s="280"/>
      <c r="G771" s="280"/>
    </row>
    <row r="772" spans="1:7">
      <c r="A772" s="138"/>
      <c r="B772" s="985" t="s">
        <v>483</v>
      </c>
      <c r="C772" s="985"/>
      <c r="D772" s="985"/>
      <c r="E772" s="985"/>
      <c r="F772" s="985"/>
      <c r="G772" s="280"/>
    </row>
    <row r="773" spans="1:7">
      <c r="A773" s="138"/>
      <c r="B773" s="138"/>
      <c r="C773" s="275"/>
      <c r="D773" s="280"/>
      <c r="E773" s="280"/>
      <c r="F773" s="280"/>
      <c r="G773" s="280"/>
    </row>
    <row r="774" spans="1:7">
      <c r="A774" s="1039" t="s">
        <v>487</v>
      </c>
      <c r="B774" s="1039"/>
      <c r="C774" s="1039"/>
      <c r="D774" s="1039"/>
      <c r="E774" s="1039"/>
      <c r="F774" s="1039"/>
      <c r="G774" s="1039"/>
    </row>
    <row r="775" spans="1:7">
      <c r="A775" s="138"/>
      <c r="B775" s="138"/>
    </row>
    <row r="776" spans="1:7">
      <c r="A776" s="138"/>
      <c r="B776" s="985" t="s">
        <v>483</v>
      </c>
      <c r="C776" s="985"/>
      <c r="D776" s="985"/>
      <c r="E776" s="985"/>
      <c r="F776" s="985"/>
    </row>
    <row r="777" spans="1:7">
      <c r="A777" s="275"/>
      <c r="B777" s="275"/>
      <c r="C777" s="275"/>
      <c r="D777" s="267"/>
      <c r="F777" s="280"/>
    </row>
    <row r="778" spans="1:7">
      <c r="A778" s="1039" t="s">
        <v>488</v>
      </c>
      <c r="B778" s="1039"/>
      <c r="C778" s="1039"/>
      <c r="D778" s="1039"/>
      <c r="E778" s="1039"/>
      <c r="F778" s="1039"/>
      <c r="G778" s="1039"/>
    </row>
    <row r="779" spans="1:7">
      <c r="A779" s="138"/>
      <c r="B779" s="138"/>
    </row>
    <row r="780" spans="1:7">
      <c r="A780" s="138"/>
      <c r="B780" s="985" t="s">
        <v>483</v>
      </c>
      <c r="C780" s="985"/>
      <c r="D780" s="985"/>
      <c r="E780" s="985"/>
      <c r="F780" s="985"/>
    </row>
    <row r="781" spans="1:7">
      <c r="A781" s="275"/>
      <c r="B781" s="275"/>
      <c r="C781" s="275"/>
      <c r="D781" s="267"/>
      <c r="F781" s="280"/>
    </row>
    <row r="782" spans="1:7">
      <c r="A782" s="1039" t="s">
        <v>489</v>
      </c>
      <c r="B782" s="1039"/>
      <c r="C782" s="1039"/>
      <c r="D782" s="1039"/>
      <c r="E782" s="1039"/>
      <c r="F782" s="1039"/>
      <c r="G782" s="1039"/>
    </row>
    <row r="783" spans="1:7">
      <c r="A783" s="138"/>
      <c r="B783" s="138"/>
    </row>
    <row r="784" spans="1:7">
      <c r="A784" s="138"/>
      <c r="B784" s="985" t="s">
        <v>483</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483</v>
      </c>
      <c r="C788" s="985"/>
      <c r="D788" s="985"/>
      <c r="E788" s="985"/>
      <c r="F788" s="985"/>
    </row>
    <row r="789" spans="1:7">
      <c r="A789" s="138"/>
      <c r="B789" s="138"/>
      <c r="D789" s="267"/>
    </row>
    <row r="790" spans="1:7">
      <c r="A790" s="1039" t="s">
        <v>967</v>
      </c>
      <c r="B790" s="1039"/>
      <c r="C790" s="1039"/>
      <c r="D790" s="1039"/>
      <c r="E790" s="1039"/>
      <c r="F790" s="1039"/>
      <c r="G790" s="1039"/>
    </row>
    <row r="791" spans="1:7">
      <c r="A791" s="138"/>
      <c r="B791" s="138"/>
    </row>
    <row r="792" spans="1:7">
      <c r="A792" s="138"/>
      <c r="B792" s="985" t="s">
        <v>483</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8" t="s">
        <v>1471</v>
      </c>
      <c r="B2" s="1049"/>
      <c r="C2" s="1049"/>
      <c r="D2" s="1049"/>
      <c r="E2" s="1049"/>
      <c r="F2" s="1049"/>
      <c r="G2" s="1049"/>
      <c r="H2" s="1049"/>
      <c r="I2" s="1049"/>
      <c r="J2" s="1049"/>
    </row>
    <row r="3" spans="1:10" ht="15.75">
      <c r="A3" s="1053" t="s">
        <v>698</v>
      </c>
      <c r="B3" s="1054"/>
      <c r="C3" s="1054"/>
      <c r="D3" s="1054"/>
      <c r="E3" s="1054"/>
      <c r="F3" s="1054"/>
      <c r="G3" s="1054"/>
      <c r="H3" s="1054"/>
      <c r="I3" s="1054"/>
      <c r="J3" s="1054"/>
    </row>
    <row r="4" spans="1:10" ht="15">
      <c r="A4" s="1055" t="s">
        <v>1557</v>
      </c>
      <c r="B4" s="1054"/>
      <c r="C4" s="1054"/>
      <c r="D4" s="1054"/>
      <c r="E4" s="1054"/>
      <c r="F4" s="1054"/>
      <c r="G4" s="1054"/>
      <c r="H4" s="1054"/>
      <c r="I4" s="1054"/>
      <c r="J4" s="1054"/>
    </row>
    <row r="5" spans="1:10" ht="12.75"/>
    <row r="6" spans="1:10" ht="12.75">
      <c r="A6" s="1050" t="s">
        <v>1596</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1432</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1526</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1434</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1435</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1436</v>
      </c>
      <c r="B75" s="1052"/>
      <c r="C75" s="1052"/>
      <c r="D75" s="1052"/>
      <c r="E75" s="1052"/>
      <c r="F75" s="1052"/>
      <c r="G75" s="1052"/>
      <c r="H75" s="1052"/>
      <c r="I75" s="1052"/>
    </row>
    <row r="76" spans="1:9" ht="12.75">
      <c r="A76" s="976" t="s">
        <v>1130</v>
      </c>
      <c r="B76" s="976"/>
      <c r="C76" s="976"/>
      <c r="D76" s="976"/>
      <c r="E76" s="976"/>
    </row>
    <row r="77" spans="1:9" ht="12.75">
      <c r="A77" s="976" t="s">
        <v>1437</v>
      </c>
      <c r="B77" s="976"/>
      <c r="C77" s="976"/>
      <c r="D77" s="976"/>
      <c r="E77" s="9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562" zoomScaleNormal="100" zoomScaleSheetLayoutView="100" workbookViewId="0">
      <selection activeCell="D582" sqref="D582:F58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5" t="s">
        <v>1558</v>
      </c>
      <c r="B2" s="1065"/>
      <c r="C2" s="1066"/>
      <c r="D2" s="1066"/>
      <c r="E2" s="1066"/>
      <c r="F2" s="1066"/>
      <c r="G2" s="1066"/>
    </row>
    <row r="3" spans="1:9">
      <c r="A3" s="1073" t="s">
        <v>1561</v>
      </c>
      <c r="B3" s="1073"/>
      <c r="C3" s="1074"/>
      <c r="D3" s="1074"/>
      <c r="E3" s="1074"/>
      <c r="F3" s="1074"/>
      <c r="G3" s="1074"/>
      <c r="I3" s="717" t="s">
        <v>1197</v>
      </c>
    </row>
    <row r="4" spans="1:9">
      <c r="A4" s="1069" t="s">
        <v>1560</v>
      </c>
      <c r="B4" s="1069"/>
      <c r="C4" s="1075"/>
      <c r="D4" s="1075"/>
      <c r="E4" s="1075"/>
      <c r="F4" s="1075"/>
      <c r="G4" s="1075"/>
      <c r="I4" s="717"/>
    </row>
    <row r="5" spans="1:9" s="816" customFormat="1">
      <c r="A5" s="1069"/>
      <c r="B5" s="1069"/>
      <c r="C5" s="1070"/>
      <c r="D5" s="1070"/>
      <c r="E5" s="1070"/>
      <c r="F5" s="1070"/>
      <c r="G5" s="1070"/>
      <c r="I5" s="717" t="s">
        <v>1198</v>
      </c>
    </row>
    <row r="6" spans="1:9" s="816" customFormat="1">
      <c r="A6" s="1067" t="s">
        <v>1293</v>
      </c>
      <c r="B6" s="1067"/>
      <c r="C6" s="1068"/>
      <c r="D6" s="1068"/>
      <c r="E6" s="1068"/>
      <c r="F6" s="1068"/>
      <c r="G6" s="1068"/>
    </row>
    <row r="7" spans="1:9" s="816" customFormat="1">
      <c r="A7" s="1067" t="s">
        <v>1294</v>
      </c>
      <c r="B7" s="1067"/>
      <c r="C7" s="1068"/>
      <c r="D7" s="1068"/>
      <c r="E7" s="1068"/>
      <c r="F7" s="1068"/>
      <c r="G7" s="1068"/>
    </row>
    <row r="8" spans="1:9">
      <c r="A8" s="817"/>
      <c r="B8" s="817"/>
      <c r="C8" s="818"/>
      <c r="D8" s="818"/>
      <c r="E8" s="818"/>
      <c r="F8" s="818"/>
    </row>
    <row r="9" spans="1:9">
      <c r="A9" s="1026" t="s">
        <v>1296</v>
      </c>
      <c r="B9" s="1026"/>
      <c r="C9" s="1026"/>
      <c r="D9" s="1026"/>
      <c r="E9" s="1026"/>
      <c r="F9" s="1026"/>
      <c r="G9" s="1026"/>
    </row>
    <row r="10" spans="1:9">
      <c r="A10" s="818"/>
      <c r="B10" s="818"/>
      <c r="E10" s="819"/>
    </row>
    <row r="11" spans="1:9" ht="13.7" customHeight="1">
      <c r="C11" s="818"/>
      <c r="D11" s="1092" t="s">
        <v>1295</v>
      </c>
      <c r="E11" s="1092"/>
      <c r="F11" s="1092"/>
    </row>
    <row r="12" spans="1:9">
      <c r="C12" s="818"/>
      <c r="D12" s="1092"/>
      <c r="E12" s="1092"/>
      <c r="F12" s="1092"/>
    </row>
    <row r="13" spans="1:9">
      <c r="A13" s="820"/>
      <c r="B13" s="820"/>
      <c r="C13" s="820"/>
      <c r="D13" s="1010" t="s">
        <v>1278</v>
      </c>
      <c r="E13" s="1010"/>
      <c r="F13" s="1010"/>
    </row>
    <row r="14" spans="1:9">
      <c r="A14" s="820"/>
      <c r="B14" s="820"/>
      <c r="C14" s="820"/>
      <c r="D14" s="821"/>
    </row>
    <row r="15" spans="1:9" ht="14.25">
      <c r="A15" s="822"/>
      <c r="B15" s="823" t="s">
        <v>329</v>
      </c>
      <c r="C15" s="824"/>
      <c r="D15" s="1008" t="s">
        <v>1279</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329</v>
      </c>
      <c r="D19" s="1034" t="s">
        <v>1280</v>
      </c>
      <c r="E19" s="1034"/>
      <c r="F19" s="1034"/>
    </row>
    <row r="20" spans="1:7" ht="14.25">
      <c r="A20" s="822"/>
      <c r="B20" s="822"/>
      <c r="D20" s="825"/>
    </row>
    <row r="21" spans="1:7" ht="14.25">
      <c r="A21" s="822"/>
      <c r="B21" s="823" t="s">
        <v>329</v>
      </c>
      <c r="D21" s="1008" t="s">
        <v>1281</v>
      </c>
      <c r="E21" s="1008"/>
      <c r="F21" s="1008"/>
    </row>
    <row r="22" spans="1:7" ht="14.25">
      <c r="A22" s="822"/>
      <c r="B22" s="822"/>
      <c r="D22" s="1008"/>
      <c r="E22" s="1008"/>
      <c r="F22" s="1008"/>
    </row>
    <row r="23" spans="1:7"/>
    <row r="24" spans="1:7" ht="14.25">
      <c r="A24" s="822"/>
      <c r="B24" s="823" t="s">
        <v>329</v>
      </c>
      <c r="D24" s="1062" t="s">
        <v>1282</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1283</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329</v>
      </c>
      <c r="D33" s="1009" t="s">
        <v>1472</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329</v>
      </c>
      <c r="D38" s="1009" t="s">
        <v>1285</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329</v>
      </c>
      <c r="D44" s="1009" t="s">
        <v>1286</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329</v>
      </c>
      <c r="D49" s="1009" t="s">
        <v>1287</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329</v>
      </c>
      <c r="C53" s="831"/>
      <c r="D53" s="1009" t="s">
        <v>1288</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329</v>
      </c>
      <c r="D56" s="1009" t="s">
        <v>1289</v>
      </c>
      <c r="E56" s="1009"/>
      <c r="F56" s="1009"/>
    </row>
    <row r="57" spans="1:7">
      <c r="D57" s="1009"/>
      <c r="E57" s="1009"/>
      <c r="F57" s="1009"/>
    </row>
    <row r="58" spans="1:7">
      <c r="D58" s="1009"/>
      <c r="E58" s="1009"/>
      <c r="F58" s="1009"/>
    </row>
    <row r="59" spans="1:7">
      <c r="D59" s="717"/>
    </row>
    <row r="60" spans="1:7" ht="14.25">
      <c r="A60" s="822"/>
      <c r="B60" s="823" t="s">
        <v>329</v>
      </c>
      <c r="D60" s="1009" t="s">
        <v>1290</v>
      </c>
      <c r="E60" s="1009"/>
      <c r="F60" s="1009"/>
    </row>
    <row r="61" spans="1:7">
      <c r="D61" s="1009"/>
      <c r="E61" s="1009"/>
      <c r="F61" s="1009"/>
    </row>
    <row r="62" spans="1:7"/>
    <row r="63" spans="1:7" ht="14.25">
      <c r="A63" s="822"/>
      <c r="B63" s="823" t="s">
        <v>329</v>
      </c>
      <c r="D63" s="1009" t="s">
        <v>1291</v>
      </c>
      <c r="E63" s="1009"/>
      <c r="F63" s="1009"/>
    </row>
    <row r="64" spans="1:7">
      <c r="D64" s="1009"/>
      <c r="E64" s="1009"/>
      <c r="F64" s="1009"/>
    </row>
    <row r="65" spans="1:7">
      <c r="D65" s="1009"/>
      <c r="E65" s="1009"/>
      <c r="F65" s="1009"/>
    </row>
    <row r="66" spans="1:7">
      <c r="D66" s="815"/>
    </row>
    <row r="67" spans="1:7" ht="14.25">
      <c r="A67" s="822"/>
      <c r="B67" s="823" t="s">
        <v>329</v>
      </c>
      <c r="D67" s="1008" t="s">
        <v>1292</v>
      </c>
      <c r="E67" s="1008"/>
      <c r="F67" s="1008"/>
    </row>
    <row r="68" spans="1:7">
      <c r="D68" s="1008"/>
      <c r="E68" s="1008"/>
      <c r="F68" s="1008"/>
    </row>
    <row r="69" spans="1:7" ht="14.25">
      <c r="A69" s="822"/>
      <c r="B69" s="822"/>
      <c r="D69" s="825"/>
    </row>
    <row r="70" spans="1:7">
      <c r="A70" s="990" t="s">
        <v>1199</v>
      </c>
      <c r="B70" s="990"/>
      <c r="C70" s="990"/>
      <c r="D70" s="990"/>
      <c r="E70" s="990"/>
      <c r="F70" s="990"/>
      <c r="G70" s="990"/>
    </row>
    <row r="71" spans="1:7"/>
    <row r="72" spans="1:7">
      <c r="C72" s="832"/>
      <c r="D72" s="1079" t="s">
        <v>1297</v>
      </c>
      <c r="E72" s="1079"/>
      <c r="F72" s="1079"/>
    </row>
    <row r="73" spans="1:7">
      <c r="A73" s="825"/>
      <c r="B73" s="825"/>
      <c r="D73" s="1008" t="s">
        <v>1324</v>
      </c>
      <c r="E73" s="1008"/>
      <c r="F73" s="1008"/>
    </row>
    <row r="74" spans="1:7">
      <c r="A74" s="825"/>
      <c r="B74" s="825"/>
    </row>
    <row r="75" spans="1:7" ht="13.7" customHeight="1">
      <c r="A75" s="822"/>
      <c r="B75" s="823" t="s">
        <v>329</v>
      </c>
      <c r="D75" s="1008" t="s">
        <v>1525</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329</v>
      </c>
      <c r="C84" s="813"/>
      <c r="D84" s="1008" t="s">
        <v>1444</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329</v>
      </c>
      <c r="D100" s="1028" t="s">
        <v>1299</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329</v>
      </c>
      <c r="C109" s="746"/>
      <c r="D109" s="1028" t="s">
        <v>1301</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329</v>
      </c>
      <c r="C112" s="829"/>
      <c r="D112" s="1008" t="s">
        <v>1302</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329</v>
      </c>
      <c r="C118" s="829"/>
      <c r="D118" s="1009" t="s">
        <v>1303</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7" t="s">
        <v>1411</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1454</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329</v>
      </c>
      <c r="C151" s="839"/>
      <c r="D151" s="982" t="s">
        <v>1486</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8" t="s">
        <v>1305</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1306</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1200</v>
      </c>
      <c r="B164" s="990"/>
      <c r="C164" s="990"/>
      <c r="D164" s="990"/>
      <c r="E164" s="990"/>
      <c r="F164" s="990"/>
      <c r="G164" s="990"/>
    </row>
    <row r="165" spans="1:7" ht="12" customHeight="1">
      <c r="D165" s="825"/>
      <c r="E165" s="825"/>
      <c r="F165" s="825"/>
    </row>
    <row r="166" spans="1:7">
      <c r="B166" s="1072" t="s">
        <v>483</v>
      </c>
      <c r="C166" s="1072"/>
      <c r="D166" s="1072"/>
      <c r="E166" s="1072"/>
      <c r="F166" s="1072"/>
    </row>
    <row r="167" spans="1:7" ht="12" customHeight="1">
      <c r="A167" s="818"/>
      <c r="B167" s="818"/>
      <c r="C167" s="818"/>
    </row>
    <row r="168" spans="1:7">
      <c r="A168" s="990" t="s">
        <v>1201</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1309</v>
      </c>
      <c r="E170" s="1014"/>
      <c r="F170" s="1014"/>
      <c r="G170" s="844"/>
    </row>
    <row r="171" spans="1:7">
      <c r="A171" s="842"/>
      <c r="B171" s="842"/>
      <c r="C171" s="843"/>
      <c r="D171" s="1014"/>
      <c r="E171" s="1014"/>
      <c r="F171" s="1014"/>
      <c r="G171" s="844"/>
    </row>
    <row r="172" spans="1:7">
      <c r="A172" s="842"/>
      <c r="B172" s="842"/>
      <c r="C172" s="843"/>
      <c r="D172" s="1015" t="s">
        <v>1445</v>
      </c>
      <c r="E172" s="1015"/>
      <c r="F172" s="1015"/>
      <c r="G172" s="844"/>
    </row>
    <row r="173" spans="1:7" ht="12" customHeight="1">
      <c r="A173" s="842"/>
      <c r="B173" s="842"/>
      <c r="C173" s="843"/>
      <c r="D173" s="844"/>
      <c r="E173" s="845"/>
      <c r="F173" s="844"/>
      <c r="G173" s="844"/>
    </row>
    <row r="174" spans="1:7" ht="14.25">
      <c r="A174" s="822"/>
      <c r="B174" s="823" t="s">
        <v>329</v>
      </c>
      <c r="C174" s="843"/>
      <c r="D174" s="1008" t="s">
        <v>1308</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1217</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329</v>
      </c>
      <c r="C182" s="831"/>
      <c r="D182" s="1008" t="s">
        <v>1474</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1202</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1331</v>
      </c>
      <c r="E190" s="1085"/>
      <c r="F190" s="1085"/>
    </row>
    <row r="191" spans="1:7" ht="12" customHeight="1">
      <c r="A191" s="841"/>
      <c r="B191" s="841"/>
      <c r="C191" s="841"/>
    </row>
    <row r="192" spans="1:7" ht="13.7" customHeight="1">
      <c r="A192" s="841"/>
      <c r="C192" s="841"/>
      <c r="D192" s="1007" t="s">
        <v>592</v>
      </c>
      <c r="E192" s="1007"/>
      <c r="F192" s="1007"/>
    </row>
    <row r="193" spans="1:6" ht="14.25">
      <c r="A193" s="822"/>
      <c r="B193" s="823" t="s">
        <v>329</v>
      </c>
      <c r="D193" s="1008" t="s">
        <v>1326</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1327</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329</v>
      </c>
      <c r="D203" s="1080" t="s">
        <v>1328</v>
      </c>
      <c r="E203" s="1080"/>
      <c r="F203" s="1080"/>
    </row>
    <row r="204" spans="1:6" ht="14.25">
      <c r="A204" s="822"/>
      <c r="B204" s="822"/>
      <c r="D204" s="1080"/>
      <c r="E204" s="1080"/>
      <c r="F204" s="1080"/>
    </row>
    <row r="205" spans="1:6" ht="14.25">
      <c r="A205" s="822"/>
      <c r="B205" s="822"/>
      <c r="D205" s="1072" t="s">
        <v>992</v>
      </c>
      <c r="E205" s="1072"/>
      <c r="F205" s="1072"/>
    </row>
    <row r="206" spans="1:6" ht="14.25">
      <c r="A206" s="822"/>
      <c r="B206" s="822"/>
      <c r="D206" s="825"/>
      <c r="E206" s="825"/>
      <c r="F206" s="825"/>
    </row>
    <row r="207" spans="1:6" ht="14.45" customHeight="1">
      <c r="A207" s="822"/>
      <c r="B207" s="823" t="s">
        <v>329</v>
      </c>
      <c r="D207" s="1080" t="s">
        <v>1330</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329</v>
      </c>
      <c r="D213" s="1008" t="s">
        <v>1329</v>
      </c>
      <c r="E213" s="1008"/>
      <c r="F213" s="1008"/>
    </row>
    <row r="214" spans="1:7" ht="14.25">
      <c r="A214" s="822"/>
      <c r="B214" s="822"/>
      <c r="D214" s="1008"/>
      <c r="E214" s="1008"/>
      <c r="F214" s="1008"/>
    </row>
    <row r="215" spans="1:7">
      <c r="D215" s="846"/>
    </row>
    <row r="216" spans="1:7">
      <c r="A216" s="990" t="s">
        <v>1203</v>
      </c>
      <c r="B216" s="990"/>
      <c r="C216" s="990"/>
      <c r="D216" s="990"/>
      <c r="E216" s="990"/>
      <c r="F216" s="990"/>
      <c r="G216" s="990"/>
    </row>
    <row r="217" spans="1:7">
      <c r="D217" s="846"/>
    </row>
    <row r="218" spans="1:7">
      <c r="C218" s="832"/>
      <c r="D218" s="1007" t="s">
        <v>1332</v>
      </c>
      <c r="E218" s="1007"/>
      <c r="F218" s="1007"/>
    </row>
    <row r="219" spans="1:7">
      <c r="A219" s="818"/>
      <c r="B219" s="818"/>
      <c r="C219" s="818"/>
      <c r="D219" s="825"/>
      <c r="E219" s="825"/>
      <c r="F219" s="825"/>
    </row>
    <row r="220" spans="1:7">
      <c r="A220" s="820"/>
      <c r="B220" s="820"/>
      <c r="C220" s="820"/>
      <c r="D220" s="1007" t="s">
        <v>285</v>
      </c>
      <c r="E220" s="1007"/>
      <c r="F220" s="1007"/>
    </row>
    <row r="221" spans="1:7" ht="14.45" customHeight="1">
      <c r="A221" s="822"/>
      <c r="B221" s="823" t="s">
        <v>329</v>
      </c>
      <c r="D221" s="1082" t="s">
        <v>1446</v>
      </c>
      <c r="E221" s="1082"/>
      <c r="F221" s="1082"/>
    </row>
    <row r="222" spans="1:7">
      <c r="D222" s="1082"/>
      <c r="E222" s="1082"/>
      <c r="F222" s="1082"/>
    </row>
    <row r="223" spans="1:7">
      <c r="D223" s="1085" t="s">
        <v>983</v>
      </c>
      <c r="E223" s="1085"/>
      <c r="F223" s="1085"/>
    </row>
    <row r="224" spans="1:7">
      <c r="D224" s="825"/>
      <c r="E224" s="825"/>
      <c r="F224" s="825"/>
    </row>
    <row r="225" spans="1:7" ht="14.45" customHeight="1">
      <c r="A225" s="822"/>
      <c r="B225" s="823" t="s">
        <v>329</v>
      </c>
      <c r="D225" s="1080" t="s">
        <v>1447</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329</v>
      </c>
      <c r="D231" s="1008" t="s">
        <v>1335</v>
      </c>
      <c r="E231" s="1008"/>
      <c r="F231" s="1008"/>
    </row>
    <row r="232" spans="1:7">
      <c r="D232" s="1008"/>
      <c r="E232" s="1008"/>
      <c r="F232" s="1008"/>
    </row>
    <row r="233" spans="1:7">
      <c r="D233" s="1008"/>
      <c r="E233" s="1008"/>
      <c r="F233" s="1008"/>
    </row>
    <row r="234" spans="1:7">
      <c r="D234" s="847"/>
      <c r="E234" s="825"/>
      <c r="F234" s="825"/>
    </row>
    <row r="235" spans="1:7">
      <c r="A235" s="990" t="s">
        <v>1204</v>
      </c>
      <c r="B235" s="990"/>
      <c r="C235" s="990"/>
      <c r="D235" s="990"/>
      <c r="E235" s="990"/>
      <c r="F235" s="990"/>
      <c r="G235" s="990"/>
    </row>
    <row r="236" spans="1:7">
      <c r="D236" s="847"/>
      <c r="E236" s="825"/>
      <c r="F236" s="825"/>
    </row>
    <row r="237" spans="1:7">
      <c r="C237" s="818"/>
      <c r="D237" s="1079" t="s">
        <v>1337</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1338</v>
      </c>
      <c r="E241" s="1063"/>
      <c r="F241" s="1063"/>
    </row>
    <row r="242" spans="1:7">
      <c r="E242" s="825"/>
      <c r="F242" s="825"/>
    </row>
    <row r="243" spans="1:7" ht="14.25">
      <c r="A243" s="822"/>
      <c r="B243" s="823" t="s">
        <v>329</v>
      </c>
      <c r="D243" s="1008" t="s">
        <v>1339</v>
      </c>
      <c r="E243" s="1008"/>
      <c r="F243" s="1008"/>
    </row>
    <row r="244" spans="1:7" ht="14.25">
      <c r="A244" s="822"/>
      <c r="B244" s="822"/>
      <c r="D244" s="1008"/>
      <c r="E244" s="1008"/>
      <c r="F244" s="1008"/>
    </row>
    <row r="245" spans="1:7">
      <c r="D245" s="825"/>
      <c r="E245" s="825"/>
      <c r="F245" s="825"/>
    </row>
    <row r="246" spans="1:7" ht="14.25">
      <c r="A246" s="822"/>
      <c r="B246" s="823" t="s">
        <v>329</v>
      </c>
      <c r="D246" s="1080" t="s">
        <v>1340</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329</v>
      </c>
      <c r="D250" s="1008" t="s">
        <v>1341</v>
      </c>
      <c r="E250" s="1008"/>
      <c r="F250" s="1008"/>
    </row>
    <row r="251" spans="1:7" ht="14.25">
      <c r="A251" s="822"/>
      <c r="B251" s="822"/>
      <c r="D251" s="1008"/>
      <c r="E251" s="1008"/>
      <c r="F251" s="1008"/>
    </row>
    <row r="252" spans="1:7">
      <c r="A252" s="841"/>
      <c r="B252" s="841"/>
      <c r="E252" s="825"/>
      <c r="F252" s="825"/>
    </row>
    <row r="253" spans="1:7">
      <c r="A253" s="990" t="s">
        <v>1205</v>
      </c>
      <c r="B253" s="990"/>
      <c r="C253" s="990"/>
      <c r="D253" s="990"/>
      <c r="E253" s="990"/>
      <c r="F253" s="990"/>
      <c r="G253" s="990"/>
    </row>
    <row r="254" spans="1:7">
      <c r="A254" s="841"/>
      <c r="B254" s="841"/>
      <c r="D254" s="825"/>
      <c r="E254" s="825"/>
      <c r="F254" s="825"/>
    </row>
    <row r="255" spans="1:7">
      <c r="C255" s="841"/>
      <c r="D255" s="1007" t="s">
        <v>735</v>
      </c>
      <c r="E255" s="1007"/>
      <c r="F255" s="1007"/>
    </row>
    <row r="256" spans="1:7">
      <c r="C256" s="841"/>
      <c r="D256" s="1010" t="s">
        <v>1342</v>
      </c>
      <c r="E256" s="1010"/>
      <c r="F256" s="1010"/>
    </row>
    <row r="257" spans="1:7">
      <c r="C257" s="841"/>
      <c r="D257" s="848"/>
    </row>
    <row r="258" spans="1:7">
      <c r="A258" s="826"/>
      <c r="B258" s="823" t="s">
        <v>329</v>
      </c>
      <c r="D258" s="1010" t="s">
        <v>1343</v>
      </c>
      <c r="E258" s="1010"/>
      <c r="F258" s="1010"/>
    </row>
    <row r="259" spans="1:7" s="816" customFormat="1" ht="14.25">
      <c r="A259" s="830"/>
      <c r="B259" s="830"/>
      <c r="C259" s="826"/>
      <c r="D259" s="849"/>
      <c r="E259" s="850"/>
      <c r="F259" s="850"/>
      <c r="G259" s="827"/>
    </row>
    <row r="260" spans="1:7" s="816" customFormat="1" ht="13.7" customHeight="1">
      <c r="A260" s="826"/>
      <c r="B260" s="823" t="s">
        <v>329</v>
      </c>
      <c r="C260" s="826"/>
      <c r="D260" s="1089" t="s">
        <v>1479</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329</v>
      </c>
      <c r="C266" s="826"/>
      <c r="D266" s="1089" t="s">
        <v>1345</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329</v>
      </c>
      <c r="D269" s="1010" t="s">
        <v>1346</v>
      </c>
      <c r="E269" s="1010"/>
      <c r="F269" s="1010"/>
    </row>
    <row r="270" spans="1:7">
      <c r="E270" s="825"/>
      <c r="F270" s="825"/>
    </row>
    <row r="271" spans="1:7" ht="14.25">
      <c r="A271" s="822"/>
      <c r="B271" s="823" t="s">
        <v>329</v>
      </c>
      <c r="D271" s="1080" t="s">
        <v>1509</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329</v>
      </c>
      <c r="D287" s="1080" t="s">
        <v>1348</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329</v>
      </c>
      <c r="D297" s="1008" t="s">
        <v>1579</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1091</v>
      </c>
      <c r="E304" s="1081"/>
      <c r="F304" s="1081"/>
      <c r="G304" s="815"/>
    </row>
    <row r="305" spans="1:7" ht="13.5" thickTop="1">
      <c r="D305" s="1090" t="s">
        <v>1350</v>
      </c>
      <c r="E305" s="1090"/>
      <c r="F305" s="1090"/>
      <c r="G305" s="815"/>
    </row>
    <row r="306" spans="1:7">
      <c r="A306" s="839"/>
      <c r="B306" s="839"/>
      <c r="C306" s="839"/>
      <c r="D306" s="811"/>
      <c r="E306" s="811"/>
      <c r="F306" s="825"/>
      <c r="G306" s="815"/>
    </row>
    <row r="307" spans="1:7" ht="14.25">
      <c r="A307" s="822"/>
      <c r="B307" s="823" t="s">
        <v>329</v>
      </c>
      <c r="C307" s="839"/>
      <c r="D307" s="1004" t="s">
        <v>1351</v>
      </c>
      <c r="E307" s="1004"/>
      <c r="F307" s="1004"/>
      <c r="G307" s="815"/>
    </row>
    <row r="308" spans="1:7">
      <c r="A308" s="839"/>
      <c r="B308" s="839"/>
      <c r="C308" s="839"/>
      <c r="D308" s="811"/>
      <c r="E308" s="811"/>
      <c r="F308" s="825"/>
      <c r="G308" s="815"/>
    </row>
    <row r="309" spans="1:7">
      <c r="A309" s="839"/>
      <c r="B309" s="823" t="s">
        <v>329</v>
      </c>
      <c r="C309" s="839"/>
      <c r="D309" s="999" t="s">
        <v>1483</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 customHeight="1">
      <c r="A321" s="839"/>
      <c r="B321" s="823" t="s">
        <v>329</v>
      </c>
      <c r="C321" s="839"/>
      <c r="D321" s="1091" t="s">
        <v>1484</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329</v>
      </c>
      <c r="C326" s="839"/>
      <c r="D326" s="997" t="s">
        <v>1353</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1354</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1355</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1356</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329</v>
      </c>
      <c r="D362" s="998" t="s">
        <v>1602</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329</v>
      </c>
      <c r="C368" s="839"/>
      <c r="D368" s="999" t="s">
        <v>1510</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1580</v>
      </c>
      <c r="E372" s="999"/>
      <c r="F372" s="999"/>
      <c r="G372" s="815"/>
    </row>
    <row r="373" spans="1:7">
      <c r="D373" s="825"/>
      <c r="E373" s="825"/>
      <c r="F373" s="825"/>
      <c r="G373" s="815"/>
    </row>
    <row r="374" spans="1:7" ht="14.25">
      <c r="A374" s="822"/>
      <c r="B374" s="823" t="s">
        <v>329</v>
      </c>
      <c r="C374" s="854"/>
      <c r="D374" s="1008" t="s">
        <v>1358</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329</v>
      </c>
      <c r="C406" s="854"/>
      <c r="D406" s="1010" t="s">
        <v>1359</v>
      </c>
      <c r="E406" s="1010"/>
      <c r="F406" s="1010"/>
    </row>
    <row r="407" spans="1:7">
      <c r="D407" s="1000" t="s">
        <v>1507</v>
      </c>
      <c r="E407" s="1000"/>
      <c r="F407" s="1000"/>
    </row>
    <row r="408" spans="1:7">
      <c r="D408" s="1080" t="s">
        <v>1506</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329</v>
      </c>
      <c r="C412" s="854"/>
      <c r="D412" s="1008" t="s">
        <v>1361</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329</v>
      </c>
      <c r="C416" s="822"/>
      <c r="D416" s="1080" t="s">
        <v>1448</v>
      </c>
      <c r="E416" s="1080"/>
      <c r="F416" s="1080"/>
      <c r="G416" s="815"/>
    </row>
    <row r="417" spans="1:7">
      <c r="D417" s="1080"/>
      <c r="E417" s="1080"/>
      <c r="F417" s="1080"/>
      <c r="G417" s="815"/>
    </row>
    <row r="418" spans="1:7">
      <c r="D418" s="825"/>
      <c r="E418" s="825"/>
      <c r="F418" s="825"/>
      <c r="G418" s="815"/>
    </row>
    <row r="419" spans="1:7" ht="14.25">
      <c r="B419" s="823" t="s">
        <v>329</v>
      </c>
      <c r="C419" s="822"/>
      <c r="D419" s="1080" t="s">
        <v>1363</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1364</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1365</v>
      </c>
      <c r="E440" s="1085"/>
      <c r="F440" s="1085"/>
    </row>
    <row r="441" spans="1:7">
      <c r="A441" s="825"/>
      <c r="B441" s="825"/>
    </row>
    <row r="442" spans="1:7">
      <c r="A442" s="990" t="s">
        <v>1206</v>
      </c>
      <c r="B442" s="990"/>
      <c r="C442" s="990"/>
      <c r="D442" s="990"/>
      <c r="E442" s="990"/>
      <c r="F442" s="990"/>
      <c r="G442" s="990"/>
    </row>
    <row r="443" spans="1:7">
      <c r="A443" s="825"/>
      <c r="B443" s="825"/>
    </row>
    <row r="444" spans="1:7">
      <c r="D444" s="986" t="s">
        <v>977</v>
      </c>
      <c r="E444" s="986"/>
      <c r="F444" s="986"/>
    </row>
    <row r="445" spans="1:7" s="816" customFormat="1" ht="14.25">
      <c r="A445" s="830"/>
      <c r="B445" s="830"/>
      <c r="C445" s="826"/>
      <c r="D445" s="987" t="s">
        <v>1366</v>
      </c>
      <c r="E445" s="987"/>
      <c r="F445" s="987"/>
      <c r="G445" s="827"/>
    </row>
    <row r="446" spans="1:7" s="816" customFormat="1" ht="14.25">
      <c r="A446" s="830"/>
      <c r="B446" s="830"/>
      <c r="C446" s="826"/>
      <c r="D446" s="812"/>
      <c r="E446" s="696"/>
      <c r="F446" s="696"/>
      <c r="G446" s="827"/>
    </row>
    <row r="447" spans="1:7" s="816" customFormat="1" ht="14.25">
      <c r="A447" s="822"/>
      <c r="B447" s="823" t="s">
        <v>329</v>
      </c>
      <c r="C447" s="826"/>
      <c r="D447" s="988" t="s">
        <v>1367</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329</v>
      </c>
      <c r="D450" s="989" t="s">
        <v>1581</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329</v>
      </c>
      <c r="D455" s="1010" t="s">
        <v>1370</v>
      </c>
      <c r="E455" s="1010"/>
      <c r="F455" s="1010"/>
      <c r="G455" s="815"/>
    </row>
    <row r="456" spans="1:7" ht="14.25">
      <c r="A456" s="822"/>
      <c r="B456" s="822"/>
      <c r="D456" s="810"/>
      <c r="E456" s="696"/>
      <c r="F456" s="696"/>
      <c r="G456" s="815"/>
    </row>
    <row r="457" spans="1:7" ht="14.25">
      <c r="A457" s="822"/>
      <c r="B457" s="823" t="s">
        <v>329</v>
      </c>
      <c r="D457" s="1008" t="s">
        <v>1371</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329</v>
      </c>
      <c r="D460" s="1010" t="s">
        <v>1372</v>
      </c>
      <c r="E460" s="1010"/>
      <c r="F460" s="1010"/>
      <c r="G460" s="815"/>
    </row>
    <row r="461" spans="1:7" ht="14.25">
      <c r="A461" s="822"/>
      <c r="B461" s="822"/>
      <c r="D461" s="825"/>
    </row>
    <row r="462" spans="1:7">
      <c r="A462" s="990" t="s">
        <v>1207</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874</v>
      </c>
      <c r="E464" s="1084"/>
      <c r="F464" s="1084"/>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2" t="s">
        <v>1450</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329</v>
      </c>
      <c r="C471" s="824"/>
      <c r="D471" s="982" t="s">
        <v>1626</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329</v>
      </c>
      <c r="C477" s="824"/>
      <c r="D477" s="982" t="s">
        <v>1244</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2" t="s">
        <v>1242</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329</v>
      </c>
      <c r="C486" s="824"/>
      <c r="D486" s="982" t="s">
        <v>1243</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329</v>
      </c>
      <c r="C496" s="861"/>
      <c r="D496" s="982" t="s">
        <v>1387</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15" customHeight="1">
      <c r="A502" s="820"/>
      <c r="B502" s="823" t="s">
        <v>329</v>
      </c>
      <c r="C502" s="824"/>
      <c r="D502" s="1062" t="s">
        <v>1271</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982" t="s">
        <v>1245</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1208</v>
      </c>
      <c r="B509" s="990"/>
      <c r="C509" s="990"/>
      <c r="D509" s="990"/>
      <c r="E509" s="990"/>
      <c r="F509" s="990"/>
      <c r="G509" s="990"/>
    </row>
    <row r="510" spans="1:7">
      <c r="A510" s="825"/>
      <c r="B510" s="825"/>
      <c r="C510" s="854"/>
      <c r="F510" s="863"/>
    </row>
    <row r="511" spans="1:7">
      <c r="B511" s="1072" t="s">
        <v>483</v>
      </c>
      <c r="C511" s="1072"/>
      <c r="D511" s="1072"/>
      <c r="E511" s="1072"/>
      <c r="F511" s="1072"/>
    </row>
    <row r="512" spans="1:7">
      <c r="A512" s="825"/>
      <c r="B512" s="825"/>
      <c r="C512" s="854"/>
      <c r="D512" s="825"/>
      <c r="F512" s="825"/>
    </row>
    <row r="513" spans="1:7">
      <c r="A513" s="1040" t="s">
        <v>1209</v>
      </c>
      <c r="B513" s="1040"/>
      <c r="C513" s="1040"/>
      <c r="D513" s="1040"/>
      <c r="E513" s="1040"/>
      <c r="F513" s="1040"/>
      <c r="G513" s="1040"/>
    </row>
    <row r="514" spans="1:7">
      <c r="A514" s="825"/>
      <c r="B514" s="825"/>
      <c r="C514" s="854"/>
      <c r="D514" s="825"/>
      <c r="F514" s="825"/>
    </row>
    <row r="515" spans="1:7">
      <c r="C515" s="854"/>
      <c r="D515" s="1007" t="s">
        <v>736</v>
      </c>
      <c r="E515" s="1007"/>
      <c r="F515" s="1007"/>
    </row>
    <row r="516" spans="1:7">
      <c r="C516" s="854"/>
      <c r="D516" s="1010" t="s">
        <v>1266</v>
      </c>
      <c r="E516" s="1010"/>
      <c r="F516" s="1010"/>
    </row>
    <row r="517" spans="1:7">
      <c r="C517" s="854"/>
      <c r="D517" s="810"/>
      <c r="E517" s="810"/>
      <c r="F517" s="810"/>
    </row>
    <row r="518" spans="1:7" ht="13.7" customHeight="1">
      <c r="A518" s="822"/>
      <c r="B518" s="823" t="s">
        <v>329</v>
      </c>
      <c r="C518" s="854"/>
      <c r="D518" s="1010" t="s">
        <v>978</v>
      </c>
      <c r="E518" s="1010"/>
      <c r="F518" s="1010"/>
      <c r="G518" s="815"/>
    </row>
    <row r="519" spans="1:7" ht="13.7" customHeight="1">
      <c r="A519" s="854"/>
      <c r="B519" s="854"/>
      <c r="C519" s="854"/>
      <c r="D519" s="810"/>
      <c r="E519" s="642"/>
      <c r="F519" s="642"/>
      <c r="G519" s="815"/>
    </row>
    <row r="520" spans="1:7" ht="14.25">
      <c r="A520" s="822"/>
      <c r="B520" s="823" t="s">
        <v>329</v>
      </c>
      <c r="C520" s="854"/>
      <c r="D520" s="1008" t="s">
        <v>1267</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329</v>
      </c>
      <c r="C523" s="854"/>
      <c r="D523" s="1008" t="s">
        <v>1268</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329</v>
      </c>
      <c r="C526" s="854"/>
      <c r="D526" s="1008" t="s">
        <v>1269</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329</v>
      </c>
      <c r="C529" s="854"/>
      <c r="D529" s="1008" t="s">
        <v>1270</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329</v>
      </c>
      <c r="C533" s="854"/>
      <c r="D533" s="1062" t="s">
        <v>1388</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08" t="s">
        <v>1272</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329</v>
      </c>
      <c r="C539" s="854"/>
      <c r="D539" s="1010" t="s">
        <v>1273</v>
      </c>
      <c r="E539" s="1010"/>
      <c r="F539" s="1010"/>
      <c r="G539" s="844"/>
    </row>
    <row r="540" spans="1:7">
      <c r="A540" s="841"/>
      <c r="B540" s="841"/>
      <c r="C540" s="854"/>
      <c r="D540" s="1010" t="s">
        <v>904</v>
      </c>
      <c r="E540" s="1010"/>
      <c r="F540" s="1010"/>
      <c r="G540" s="844"/>
    </row>
    <row r="541" spans="1:7">
      <c r="A541" s="841"/>
      <c r="B541" s="841"/>
      <c r="C541" s="854"/>
      <c r="D541" s="696"/>
      <c r="E541" s="1063" t="s">
        <v>1274</v>
      </c>
      <c r="F541" s="1063"/>
      <c r="G541" s="844"/>
    </row>
    <row r="542" spans="1:7" ht="14.25">
      <c r="A542" s="822"/>
      <c r="B542" s="822"/>
      <c r="C542" s="854"/>
      <c r="E542" s="825"/>
      <c r="F542" s="825"/>
      <c r="G542" s="844"/>
    </row>
    <row r="543" spans="1:7" ht="14.25">
      <c r="A543" s="822"/>
      <c r="B543" s="823" t="s">
        <v>329</v>
      </c>
      <c r="C543" s="854"/>
      <c r="D543" s="1094" t="s">
        <v>1275</v>
      </c>
      <c r="E543" s="1094"/>
      <c r="F543" s="1094"/>
      <c r="G543" s="844"/>
    </row>
    <row r="544" spans="1:7">
      <c r="C544" s="854"/>
      <c r="D544" s="1008" t="s">
        <v>1276</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329</v>
      </c>
      <c r="C548" s="854"/>
      <c r="D548" s="1008" t="s">
        <v>1277</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1210</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1226</v>
      </c>
      <c r="E556" s="1013"/>
      <c r="F556" s="1013"/>
      <c r="G556" s="844"/>
    </row>
    <row r="557" spans="1:7">
      <c r="A557" s="815"/>
      <c r="B557" s="815"/>
      <c r="C557" s="820"/>
      <c r="D557" s="864"/>
      <c r="G557" s="844"/>
    </row>
    <row r="558" spans="1:7">
      <c r="A558" s="820"/>
      <c r="B558" s="823" t="s">
        <v>329</v>
      </c>
      <c r="D558" s="1013" t="s">
        <v>984</v>
      </c>
      <c r="E558" s="1013"/>
      <c r="F558" s="1013"/>
      <c r="G558" s="844"/>
    </row>
    <row r="559" spans="1:7">
      <c r="A559" s="841"/>
      <c r="B559" s="841"/>
      <c r="D559" s="839"/>
    </row>
    <row r="560" spans="1:7">
      <c r="A560" s="841"/>
      <c r="B560" s="823" t="s">
        <v>329</v>
      </c>
      <c r="D560" s="989" t="s">
        <v>1227</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1228</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1229</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1230</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979</v>
      </c>
      <c r="E575" s="1013"/>
      <c r="F575" s="1013"/>
      <c r="G575" s="815"/>
    </row>
    <row r="576" spans="1:7" ht="14.25">
      <c r="A576" s="822"/>
      <c r="B576" s="822"/>
      <c r="D576" s="864"/>
      <c r="G576" s="815"/>
    </row>
    <row r="577" spans="1:7">
      <c r="A577" s="990" t="s">
        <v>1211</v>
      </c>
      <c r="B577" s="990"/>
      <c r="C577" s="990"/>
      <c r="D577" s="990"/>
      <c r="E577" s="990"/>
      <c r="F577" s="990"/>
      <c r="G577" s="990"/>
    </row>
    <row r="578" spans="1:7"/>
    <row r="579" spans="1:7">
      <c r="D579" s="1007" t="s">
        <v>1311</v>
      </c>
      <c r="E579" s="1007"/>
      <c r="F579" s="1007"/>
    </row>
    <row r="580" spans="1:7">
      <c r="D580" s="1046" t="s">
        <v>1312</v>
      </c>
      <c r="E580" s="1046"/>
      <c r="F580" s="1046"/>
    </row>
    <row r="581" spans="1:7">
      <c r="D581" s="804"/>
      <c r="E581" s="746"/>
      <c r="F581" s="746"/>
    </row>
    <row r="582" spans="1:7" s="816" customFormat="1" ht="14.25">
      <c r="A582" s="830"/>
      <c r="B582" s="823" t="s">
        <v>329</v>
      </c>
      <c r="C582" s="826"/>
      <c r="D582" s="1009" t="s">
        <v>1313</v>
      </c>
      <c r="E582" s="1009"/>
      <c r="F582" s="1009"/>
      <c r="G582" s="827"/>
    </row>
    <row r="583" spans="1:7">
      <c r="D583" s="1009"/>
      <c r="E583" s="1009"/>
      <c r="F583" s="1009"/>
    </row>
    <row r="584" spans="1:7">
      <c r="D584" s="1009"/>
      <c r="E584" s="1009"/>
      <c r="F584" s="1009"/>
    </row>
    <row r="585" spans="1:7"/>
    <row r="586" spans="1:7">
      <c r="A586" s="990" t="s">
        <v>1212</v>
      </c>
      <c r="B586" s="990"/>
      <c r="C586" s="990"/>
      <c r="D586" s="990"/>
      <c r="E586" s="990"/>
      <c r="F586" s="990"/>
      <c r="G586" s="990"/>
    </row>
    <row r="587" spans="1:7">
      <c r="A587" s="825"/>
      <c r="B587" s="825"/>
      <c r="G587" s="844"/>
    </row>
    <row r="588" spans="1:7">
      <c r="A588" s="865"/>
      <c r="B588" s="865"/>
      <c r="C588" s="818"/>
      <c r="D588" s="1047" t="s">
        <v>1314</v>
      </c>
      <c r="E588" s="1047"/>
      <c r="F588" s="1047"/>
      <c r="G588" s="844"/>
    </row>
    <row r="589" spans="1:7">
      <c r="A589" s="865"/>
      <c r="B589" s="865"/>
      <c r="C589" s="818"/>
      <c r="D589" s="1047"/>
      <c r="E589" s="1047"/>
      <c r="F589" s="1047"/>
      <c r="G589" s="844"/>
    </row>
    <row r="590" spans="1:7">
      <c r="C590" s="820"/>
      <c r="D590" s="1046" t="s">
        <v>1315</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1316</v>
      </c>
      <c r="E594" s="1006"/>
      <c r="F594" s="1006"/>
      <c r="G594" s="844"/>
    </row>
    <row r="595" spans="1:7">
      <c r="D595" s="1006"/>
      <c r="E595" s="1006"/>
      <c r="F595" s="1006"/>
      <c r="G595" s="844"/>
    </row>
    <row r="596" spans="1:7">
      <c r="D596" s="815"/>
      <c r="G596" s="844"/>
    </row>
    <row r="597" spans="1:7">
      <c r="B597" s="823" t="s">
        <v>329</v>
      </c>
      <c r="D597" s="1006" t="s">
        <v>1317</v>
      </c>
      <c r="E597" s="1006"/>
      <c r="F597" s="1006"/>
      <c r="G597" s="844"/>
    </row>
    <row r="598" spans="1:7">
      <c r="C598" s="866"/>
      <c r="D598" s="1006"/>
      <c r="E598" s="1006"/>
      <c r="F598" s="1006"/>
      <c r="G598" s="844"/>
    </row>
    <row r="599" spans="1:7">
      <c r="C599" s="866"/>
      <c r="G599" s="844"/>
    </row>
    <row r="600" spans="1:7">
      <c r="B600" s="823" t="s">
        <v>329</v>
      </c>
      <c r="C600" s="866"/>
      <c r="D600" s="1006" t="s">
        <v>1318</v>
      </c>
      <c r="E600" s="1006"/>
      <c r="F600" s="1006"/>
      <c r="G600" s="844"/>
    </row>
    <row r="601" spans="1:7">
      <c r="C601" s="866"/>
      <c r="D601" s="1006"/>
      <c r="E601" s="1006"/>
      <c r="F601" s="1006"/>
      <c r="G601" s="844"/>
    </row>
    <row r="602" spans="1:7">
      <c r="C602" s="866"/>
      <c r="G602" s="844"/>
    </row>
    <row r="603" spans="1:7">
      <c r="A603" s="990" t="s">
        <v>1213</v>
      </c>
      <c r="B603" s="990"/>
      <c r="C603" s="990"/>
      <c r="D603" s="990"/>
      <c r="E603" s="990"/>
      <c r="F603" s="990"/>
      <c r="G603" s="990"/>
    </row>
    <row r="604" spans="1:7">
      <c r="A604" s="867"/>
      <c r="B604" s="867"/>
      <c r="C604" s="867"/>
      <c r="G604" s="844"/>
    </row>
    <row r="605" spans="1:7">
      <c r="C605" s="841"/>
      <c r="D605" s="1007" t="s">
        <v>1319</v>
      </c>
      <c r="E605" s="1007"/>
      <c r="F605" s="1007"/>
      <c r="G605" s="844"/>
    </row>
    <row r="606" spans="1:7">
      <c r="A606" s="841"/>
      <c r="B606" s="841"/>
      <c r="C606" s="843"/>
      <c r="D606" s="819"/>
      <c r="G606" s="844"/>
    </row>
    <row r="607" spans="1:7" ht="14.25">
      <c r="A607" s="822"/>
      <c r="B607" s="823" t="s">
        <v>329</v>
      </c>
      <c r="C607" s="843"/>
      <c r="D607" s="1008" t="s">
        <v>1564</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329</v>
      </c>
      <c r="C614" s="843"/>
      <c r="D614" s="1008" t="s">
        <v>1321</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329</v>
      </c>
      <c r="C617" s="854"/>
      <c r="D617" s="1009" t="s">
        <v>1491</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329</v>
      </c>
      <c r="C620" s="854"/>
      <c r="D620" s="1010" t="s">
        <v>1323</v>
      </c>
      <c r="E620" s="1010"/>
      <c r="F620" s="1010"/>
      <c r="G620" s="844"/>
    </row>
    <row r="621" spans="1:7">
      <c r="A621" s="854"/>
      <c r="B621" s="854"/>
      <c r="C621" s="854"/>
      <c r="D621" s="751"/>
      <c r="E621" s="751"/>
      <c r="F621" s="751"/>
      <c r="G621" s="844"/>
    </row>
    <row r="622" spans="1:7">
      <c r="A622" s="990" t="s">
        <v>1214</v>
      </c>
      <c r="B622" s="990"/>
      <c r="C622" s="990"/>
      <c r="D622" s="990"/>
      <c r="E622" s="990"/>
      <c r="F622" s="990"/>
      <c r="G622" s="990"/>
    </row>
    <row r="623" spans="1:7">
      <c r="A623" s="825"/>
      <c r="B623" s="825"/>
      <c r="C623" s="854"/>
      <c r="D623" s="868"/>
      <c r="E623" s="868"/>
      <c r="F623" s="868"/>
      <c r="G623" s="844"/>
    </row>
    <row r="624" spans="1:7">
      <c r="C624" s="867"/>
      <c r="D624" s="1086" t="s">
        <v>1373</v>
      </c>
      <c r="E624" s="1086"/>
      <c r="F624" s="1086"/>
      <c r="G624" s="844"/>
    </row>
    <row r="625" spans="1:7">
      <c r="A625" s="820"/>
      <c r="B625" s="820"/>
      <c r="C625" s="820"/>
      <c r="D625" s="1087" t="s">
        <v>1374</v>
      </c>
      <c r="E625" s="1087"/>
      <c r="F625" s="1087"/>
      <c r="G625" s="844"/>
    </row>
    <row r="626" spans="1:7">
      <c r="A626" s="820"/>
      <c r="B626" s="820"/>
      <c r="C626" s="820"/>
      <c r="D626" s="751"/>
      <c r="E626" s="751"/>
      <c r="F626" s="751"/>
      <c r="G626" s="844"/>
    </row>
    <row r="627" spans="1:7" ht="12.75" customHeight="1">
      <c r="B627" s="823" t="s">
        <v>329</v>
      </c>
      <c r="C627" s="854"/>
      <c r="D627" s="1077" t="s">
        <v>1598</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329</v>
      </c>
      <c r="C632" s="854"/>
      <c r="D632" s="1077" t="s">
        <v>1601</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1599</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329</v>
      </c>
      <c r="C643" s="854"/>
      <c r="D643" s="1077" t="s">
        <v>1600</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329</v>
      </c>
      <c r="C653" s="854"/>
      <c r="D653" s="1083" t="s">
        <v>1225</v>
      </c>
      <c r="E653" s="1083"/>
      <c r="F653" s="1083"/>
      <c r="G653" s="844"/>
    </row>
    <row r="654" spans="1:7" ht="14.25">
      <c r="A654" s="822"/>
      <c r="B654" s="822"/>
      <c r="C654" s="854"/>
      <c r="D654" s="1006" t="s">
        <v>1376</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1563</v>
      </c>
      <c r="E659" s="1031"/>
      <c r="F659" s="1031"/>
      <c r="G659" s="844"/>
    </row>
    <row r="660" spans="1:11">
      <c r="A660" s="854"/>
      <c r="B660" s="854"/>
      <c r="C660" s="854"/>
      <c r="D660" s="868"/>
      <c r="E660" s="868"/>
      <c r="F660" s="868"/>
      <c r="G660" s="844"/>
    </row>
    <row r="661" spans="1:11">
      <c r="A661" s="990" t="s">
        <v>1215</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1251</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0" t="s">
        <v>980</v>
      </c>
      <c r="E667" s="1010"/>
      <c r="F667" s="1010"/>
      <c r="G667" s="844"/>
      <c r="H667" s="869"/>
      <c r="I667" s="869"/>
      <c r="J667" s="869"/>
      <c r="K667" s="869"/>
    </row>
    <row r="668" spans="1:11">
      <c r="A668" s="820"/>
      <c r="B668" s="820"/>
      <c r="C668" s="820"/>
      <c r="D668" s="1010" t="s">
        <v>991</v>
      </c>
      <c r="E668" s="1010"/>
      <c r="F668" s="1010"/>
      <c r="G668" s="844"/>
      <c r="H668" s="869"/>
      <c r="I668" s="869"/>
      <c r="J668" s="869"/>
      <c r="K668" s="869"/>
    </row>
    <row r="669" spans="1:11">
      <c r="A669" s="820"/>
      <c r="B669" s="820"/>
      <c r="C669" s="820"/>
      <c r="D669" s="696"/>
      <c r="E669" s="1064" t="s">
        <v>1252</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8" t="s">
        <v>1453</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0" t="s">
        <v>1021</v>
      </c>
      <c r="E676" s="1010"/>
      <c r="F676" s="1010"/>
      <c r="G676" s="844"/>
      <c r="H676" s="869"/>
      <c r="I676" s="869"/>
      <c r="J676" s="869"/>
      <c r="K676" s="869"/>
    </row>
    <row r="677" spans="1:11" ht="14.25">
      <c r="A677" s="822"/>
      <c r="B677" s="822"/>
      <c r="C677" s="820"/>
      <c r="D677" s="1010" t="s">
        <v>991</v>
      </c>
      <c r="E677" s="1010"/>
      <c r="F677" s="1010"/>
      <c r="G677" s="844"/>
      <c r="H677" s="869"/>
      <c r="I677" s="869"/>
      <c r="J677" s="869"/>
      <c r="K677" s="869"/>
    </row>
    <row r="678" spans="1:11">
      <c r="A678" s="820"/>
      <c r="B678" s="820"/>
      <c r="C678" s="820"/>
      <c r="D678" s="696"/>
      <c r="E678" s="1063" t="s">
        <v>1254</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1264</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1455</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1255</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1262</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1263</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1256</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1257</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8" t="s">
        <v>1258</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1391</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1259</v>
      </c>
      <c r="E730" s="1038"/>
      <c r="F730" s="1038"/>
      <c r="G730" s="844"/>
      <c r="H730" s="869"/>
      <c r="I730" s="869"/>
      <c r="J730" s="869"/>
      <c r="K730" s="869"/>
    </row>
    <row r="731" spans="1:11">
      <c r="A731" s="820"/>
      <c r="B731" s="820"/>
      <c r="C731" s="820"/>
      <c r="D731" s="806"/>
      <c r="G731" s="844"/>
      <c r="H731" s="869"/>
      <c r="I731" s="869"/>
      <c r="J731" s="869"/>
      <c r="K731" s="869"/>
    </row>
    <row r="732" spans="1:11">
      <c r="A732" s="1040" t="s">
        <v>1216</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1232</v>
      </c>
      <c r="E734" s="1079"/>
      <c r="F734" s="1079"/>
      <c r="G734" s="874"/>
      <c r="H734" s="869"/>
      <c r="I734" s="869"/>
      <c r="J734" s="869"/>
      <c r="K734" s="869"/>
    </row>
    <row r="735" spans="1:11">
      <c r="A735" s="820"/>
      <c r="B735" s="820"/>
      <c r="C735" s="820"/>
      <c r="D735" s="1034" t="s">
        <v>1233</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8" t="s">
        <v>1234</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9" t="s">
        <v>1511</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329</v>
      </c>
      <c r="C749" s="878"/>
      <c r="D749" s="1088" t="s">
        <v>1512</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329</v>
      </c>
      <c r="C753" s="826"/>
      <c r="D753" s="1009" t="s">
        <v>1449</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1473</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1569</v>
      </c>
      <c r="B760" s="1042"/>
      <c r="C760" s="1042"/>
      <c r="D760" s="1042"/>
      <c r="E760" s="1042"/>
      <c r="F760" s="1042"/>
      <c r="G760" s="1042"/>
    </row>
    <row r="761" spans="1:11">
      <c r="A761" s="820"/>
      <c r="B761" s="820"/>
      <c r="C761" s="820"/>
      <c r="D761" s="881"/>
      <c r="F761" s="868"/>
      <c r="G761" s="874"/>
    </row>
    <row r="762" spans="1:11">
      <c r="A762" s="826"/>
      <c r="B762" s="826"/>
      <c r="C762" s="831"/>
      <c r="D762" s="1043" t="s">
        <v>1577</v>
      </c>
      <c r="E762" s="1043"/>
      <c r="F762" s="1043"/>
      <c r="G762" s="874"/>
    </row>
    <row r="763" spans="1:11">
      <c r="A763" s="882"/>
      <c r="B763" s="882"/>
      <c r="C763" s="883"/>
      <c r="D763" s="1033" t="s">
        <v>1565</v>
      </c>
      <c r="E763" s="1033"/>
      <c r="F763" s="1033"/>
      <c r="G763" s="874"/>
    </row>
    <row r="764" spans="1:11">
      <c r="A764" s="882"/>
      <c r="B764" s="882"/>
      <c r="C764" s="883"/>
      <c r="D764" s="920"/>
      <c r="E764" s="920"/>
      <c r="F764" s="920"/>
      <c r="G764" s="874"/>
    </row>
    <row r="765" spans="1:11">
      <c r="A765" s="826"/>
      <c r="C765" s="831"/>
      <c r="D765" s="1043" t="s">
        <v>1562</v>
      </c>
      <c r="E765" s="1043"/>
      <c r="F765" s="1043"/>
      <c r="G765" s="874"/>
    </row>
    <row r="766" spans="1:11" ht="14.25">
      <c r="A766" s="822"/>
      <c r="B766" s="823" t="s">
        <v>329</v>
      </c>
      <c r="C766" s="831"/>
      <c r="D766" s="1034" t="s">
        <v>1101</v>
      </c>
      <c r="E766" s="1034"/>
      <c r="F766" s="1034"/>
      <c r="G766" s="874"/>
    </row>
    <row r="767" spans="1:11" ht="14.25">
      <c r="A767" s="822"/>
      <c r="B767" s="815"/>
      <c r="C767" s="831"/>
      <c r="D767" s="921"/>
      <c r="E767" s="1035" t="s">
        <v>1224</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1578</v>
      </c>
      <c r="E770" s="1043"/>
      <c r="F770" s="1043"/>
      <c r="G770" s="874"/>
    </row>
    <row r="771" spans="1:7" ht="14.25">
      <c r="A771" s="822"/>
      <c r="B771" s="823" t="s">
        <v>329</v>
      </c>
      <c r="C771" s="831"/>
      <c r="D771" s="1061" t="s">
        <v>1574</v>
      </c>
      <c r="E771" s="1061"/>
      <c r="F771" s="1061"/>
      <c r="G771" s="815"/>
    </row>
    <row r="772" spans="1:7" ht="14.25">
      <c r="A772" s="822"/>
      <c r="B772" s="815"/>
      <c r="C772" s="831"/>
      <c r="D772" s="1061" t="s">
        <v>1575</v>
      </c>
      <c r="E772" s="1061"/>
      <c r="F772" s="1061"/>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484</v>
      </c>
      <c r="B780" s="990"/>
      <c r="C780" s="990"/>
      <c r="D780" s="990"/>
      <c r="E780" s="990"/>
      <c r="F780" s="990"/>
      <c r="G780" s="990"/>
    </row>
    <row r="781" spans="1:7">
      <c r="A781" s="818"/>
      <c r="B781" s="818"/>
      <c r="C781" s="854"/>
      <c r="D781" s="874"/>
      <c r="E781" s="874"/>
      <c r="F781" s="874"/>
      <c r="G781" s="874"/>
    </row>
    <row r="782" spans="1:7">
      <c r="A782" s="825"/>
      <c r="B782" s="1072" t="s">
        <v>1100</v>
      </c>
      <c r="C782" s="1072"/>
      <c r="D782" s="1072"/>
      <c r="E782" s="1072"/>
      <c r="F782" s="1072"/>
      <c r="G782" s="874"/>
    </row>
    <row r="783" spans="1:7">
      <c r="A783" s="841"/>
      <c r="B783" s="841"/>
      <c r="G783" s="874"/>
    </row>
    <row r="784" spans="1:7">
      <c r="A784" s="990" t="s">
        <v>485</v>
      </c>
      <c r="B784" s="990"/>
      <c r="C784" s="990"/>
      <c r="D784" s="990"/>
      <c r="E784" s="990"/>
      <c r="F784" s="990"/>
      <c r="G784" s="990"/>
    </row>
    <row r="785" spans="1:7">
      <c r="A785" s="818"/>
      <c r="B785" s="818"/>
      <c r="C785" s="818"/>
      <c r="D785" s="847"/>
      <c r="G785" s="874"/>
    </row>
    <row r="786" spans="1:7">
      <c r="A786" s="825"/>
      <c r="B786" s="1085" t="s">
        <v>483</v>
      </c>
      <c r="C786" s="1085"/>
      <c r="D786" s="1085"/>
      <c r="E786" s="1085"/>
      <c r="F786" s="1085"/>
      <c r="G786" s="874"/>
    </row>
    <row r="787" spans="1:7" ht="14.25">
      <c r="A787" s="822"/>
      <c r="B787" s="822"/>
      <c r="D787" s="825"/>
      <c r="E787" s="825"/>
      <c r="F787" s="874"/>
      <c r="G787" s="874"/>
    </row>
    <row r="788" spans="1:7">
      <c r="A788" s="990" t="s">
        <v>486</v>
      </c>
      <c r="B788" s="990"/>
      <c r="C788" s="990"/>
      <c r="D788" s="990"/>
      <c r="E788" s="990"/>
      <c r="F788" s="990"/>
      <c r="G788" s="990"/>
    </row>
    <row r="789" spans="1:7">
      <c r="C789" s="820"/>
      <c r="D789" s="848"/>
      <c r="E789" s="825"/>
      <c r="F789" s="874"/>
      <c r="G789" s="874"/>
    </row>
    <row r="790" spans="1:7">
      <c r="A790" s="825"/>
      <c r="B790" s="1085" t="s">
        <v>483</v>
      </c>
      <c r="C790" s="1085"/>
      <c r="D790" s="1085"/>
      <c r="E790" s="1085"/>
      <c r="F790" s="1085"/>
      <c r="G790" s="874"/>
    </row>
    <row r="791" spans="1:7">
      <c r="A791" s="825"/>
      <c r="B791" s="825"/>
      <c r="C791" s="854"/>
      <c r="D791" s="874"/>
      <c r="E791" s="874"/>
      <c r="F791" s="874"/>
      <c r="G791" s="874"/>
    </row>
    <row r="792" spans="1:7">
      <c r="A792" s="990" t="s">
        <v>487</v>
      </c>
      <c r="B792" s="990"/>
      <c r="C792" s="990"/>
      <c r="D792" s="990"/>
      <c r="E792" s="990"/>
      <c r="F792" s="990"/>
      <c r="G792" s="990"/>
    </row>
    <row r="793" spans="1:7">
      <c r="A793" s="825"/>
      <c r="B793" s="825"/>
    </row>
    <row r="794" spans="1:7">
      <c r="A794" s="825"/>
      <c r="B794" s="1085" t="s">
        <v>483</v>
      </c>
      <c r="C794" s="1085"/>
      <c r="D794" s="1085"/>
      <c r="E794" s="1085"/>
      <c r="F794" s="1085"/>
    </row>
    <row r="795" spans="1:7">
      <c r="A795" s="854"/>
      <c r="B795" s="854"/>
      <c r="C795" s="854"/>
      <c r="D795" s="817"/>
      <c r="F795" s="874"/>
    </row>
    <row r="796" spans="1:7">
      <c r="A796" s="990" t="s">
        <v>488</v>
      </c>
      <c r="B796" s="990"/>
      <c r="C796" s="990"/>
      <c r="D796" s="990"/>
      <c r="E796" s="990"/>
      <c r="F796" s="990"/>
      <c r="G796" s="990"/>
    </row>
    <row r="797" spans="1:7">
      <c r="A797" s="825"/>
      <c r="B797" s="825"/>
    </row>
    <row r="798" spans="1:7">
      <c r="A798" s="825"/>
      <c r="B798" s="1085" t="s">
        <v>483</v>
      </c>
      <c r="C798" s="1085"/>
      <c r="D798" s="1085"/>
      <c r="E798" s="1085"/>
      <c r="F798" s="1085"/>
    </row>
    <row r="799" spans="1:7">
      <c r="A799" s="854"/>
      <c r="B799" s="854"/>
      <c r="C799" s="854"/>
      <c r="D799" s="817"/>
      <c r="F799" s="874"/>
    </row>
    <row r="800" spans="1:7">
      <c r="A800" s="990" t="s">
        <v>489</v>
      </c>
      <c r="B800" s="990"/>
      <c r="C800" s="990"/>
      <c r="D800" s="990"/>
      <c r="E800" s="990"/>
      <c r="F800" s="990"/>
      <c r="G800" s="990"/>
    </row>
    <row r="801" spans="1:7">
      <c r="A801" s="825"/>
      <c r="B801" s="825"/>
    </row>
    <row r="802" spans="1:7">
      <c r="A802" s="825"/>
      <c r="B802" s="1085" t="s">
        <v>483</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483</v>
      </c>
      <c r="C806" s="1085"/>
      <c r="D806" s="1085"/>
      <c r="E806" s="1085"/>
      <c r="F806" s="1085"/>
    </row>
    <row r="807" spans="1:7">
      <c r="A807" s="825"/>
      <c r="B807" s="825"/>
      <c r="D807" s="817"/>
    </row>
    <row r="808" spans="1:7">
      <c r="A808" s="990" t="s">
        <v>967</v>
      </c>
      <c r="B808" s="990"/>
      <c r="C808" s="990"/>
      <c r="D808" s="990"/>
      <c r="E808" s="990"/>
      <c r="F808" s="990"/>
      <c r="G808" s="990"/>
    </row>
    <row r="809" spans="1:7">
      <c r="A809" s="825"/>
      <c r="B809" s="825"/>
    </row>
    <row r="810" spans="1:7">
      <c r="A810" s="825"/>
      <c r="B810" s="1085" t="s">
        <v>483</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7" zoomScaleNormal="100" zoomScaleSheetLayoutView="100" workbookViewId="0">
      <selection activeCell="AB620" sqref="AB620:AF6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499" t="s">
        <v>1567</v>
      </c>
      <c r="B9" s="1499"/>
      <c r="C9" s="1499"/>
      <c r="D9" s="1499"/>
      <c r="E9" s="1499"/>
      <c r="F9" s="1499"/>
      <c r="G9" s="1499"/>
      <c r="H9" s="1499"/>
      <c r="I9" s="1499"/>
      <c r="J9" s="1499"/>
      <c r="K9" s="1499"/>
      <c r="L9" s="1499"/>
      <c r="M9" s="1499"/>
      <c r="N9" s="1499"/>
      <c r="O9" s="1499"/>
      <c r="P9" s="1499"/>
      <c r="Q9" s="1499"/>
      <c r="R9" s="1499"/>
      <c r="S9" s="1499"/>
      <c r="T9" s="1499"/>
      <c r="U9" s="1499"/>
      <c r="V9" s="1499"/>
      <c r="W9" s="1499"/>
      <c r="X9" s="1499"/>
      <c r="Y9" s="1499"/>
      <c r="Z9" s="1499"/>
      <c r="AA9" s="1499"/>
      <c r="AB9" s="1499"/>
      <c r="AC9" s="1499"/>
      <c r="AD9" s="1499"/>
      <c r="AE9" s="1499"/>
      <c r="AF9" s="1499"/>
      <c r="AG9" s="1499"/>
      <c r="AH9" s="1499"/>
      <c r="AI9" s="1499"/>
      <c r="AJ9" s="1499"/>
      <c r="AK9" s="1499"/>
      <c r="AL9" s="1499"/>
    </row>
    <row r="10" spans="1:38" ht="15" customHeight="1">
      <c r="A10" s="1095" t="s">
        <v>1568</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1566</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2.75">
      <c r="A12" s="1522" t="s">
        <v>1641</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 r="A13" s="966" t="s">
        <v>1426</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508" t="s">
        <v>1653</v>
      </c>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row>
    <row r="17" spans="1:39" ht="12.75" customHeight="1"/>
    <row r="18" spans="1:39" ht="12.75" customHeight="1">
      <c r="A18" s="137" t="s">
        <v>108</v>
      </c>
      <c r="C18" s="7"/>
      <c r="D18" s="7"/>
      <c r="E18" s="7"/>
      <c r="F18" s="7"/>
      <c r="G18" s="7"/>
      <c r="H18" s="1103" t="s">
        <v>1764</v>
      </c>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row>
    <row r="19" spans="1:39" ht="12.75" customHeight="1"/>
    <row r="20" spans="1:39" ht="14.25" customHeight="1">
      <c r="A20" s="1501" t="s">
        <v>965</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row>
    <row r="21" spans="1:39" ht="12.75" customHeight="1">
      <c r="A21" s="1525" t="s">
        <v>1152</v>
      </c>
      <c r="B21" s="1525"/>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4">
        <f>'Basis &amp; Credits'!AB56</f>
        <v>1811502.4</v>
      </c>
      <c r="N26" s="1524"/>
      <c r="O26" s="1524"/>
      <c r="P26" s="1524"/>
      <c r="Q26" s="152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6" t="s">
        <v>722</v>
      </c>
      <c r="P33" s="110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3"/>
      <c r="H122" s="1503"/>
      <c r="I122" s="247" t="s">
        <v>195</v>
      </c>
      <c r="L122" s="1503"/>
      <c r="M122" s="1503"/>
      <c r="N122" s="1503"/>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1" t="s">
        <v>540</v>
      </c>
      <c r="D124" s="1521"/>
      <c r="E124" s="1521"/>
      <c r="F124" s="1521"/>
      <c r="G124" s="1521"/>
      <c r="H124" s="1521"/>
      <c r="I124" s="1521"/>
      <c r="J124" s="1521"/>
      <c r="K124" s="152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03"/>
      <c r="Z126" s="1503"/>
      <c r="AA126" s="1503"/>
      <c r="AB126" s="1503"/>
      <c r="AC126" s="1503"/>
      <c r="AD126" s="1503"/>
      <c r="AE126" s="1503"/>
      <c r="AF126" s="1503"/>
      <c r="AG126" s="1503"/>
      <c r="AH126" s="1503"/>
      <c r="AI126" s="1503"/>
      <c r="AJ126" s="1503"/>
      <c r="AK126" s="150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9"/>
      <c r="Z129" s="1509"/>
      <c r="AA129" s="1509"/>
      <c r="AB129" s="1509"/>
      <c r="AC129" s="1509"/>
      <c r="AD129" s="1509"/>
      <c r="AE129" s="1509"/>
      <c r="AF129" s="1509"/>
      <c r="AG129" s="1509"/>
      <c r="AH129" s="1509"/>
      <c r="AI129" s="1509"/>
      <c r="AJ129" s="1509"/>
      <c r="AK129" s="150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9"/>
      <c r="Z132" s="1509"/>
      <c r="AA132" s="1509"/>
      <c r="AB132" s="1509"/>
      <c r="AC132" s="1509"/>
      <c r="AD132" s="1509"/>
      <c r="AE132" s="1509"/>
      <c r="AF132" s="1509"/>
      <c r="AG132" s="1509"/>
      <c r="AH132" s="1509"/>
      <c r="AI132" s="1509"/>
      <c r="AJ132" s="1509"/>
      <c r="AK132" s="15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7"/>
      <c r="G150" s="1517"/>
      <c r="H150" s="1517"/>
      <c r="I150" s="1517"/>
      <c r="J150" s="1517"/>
      <c r="K150" s="1517"/>
      <c r="L150" s="1517"/>
      <c r="M150" s="1517"/>
      <c r="N150" s="1517"/>
      <c r="O150" s="1517"/>
      <c r="P150" s="1517"/>
      <c r="Q150" s="1517"/>
      <c r="R150" s="1517"/>
      <c r="S150" s="1517"/>
      <c r="T150" s="151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3" t="s">
        <v>1705</v>
      </c>
      <c r="P153" s="1227"/>
      <c r="Q153" s="1227"/>
      <c r="R153" s="1227"/>
      <c r="S153" s="1227"/>
      <c r="T153" s="1227"/>
      <c r="U153" s="1227"/>
      <c r="V153" s="1227"/>
      <c r="W153" s="1227"/>
      <c r="X153" s="1227"/>
      <c r="Y153" s="1227"/>
      <c r="Z153" s="1227"/>
      <c r="AA153" s="1227"/>
      <c r="AB153" s="1227"/>
      <c r="AC153" s="1227"/>
      <c r="AD153" s="1227"/>
      <c r="AE153" s="1227"/>
      <c r="AF153" s="1227"/>
      <c r="AG153" s="1227"/>
      <c r="AH153" s="1227"/>
    </row>
    <row r="154" spans="1:59" ht="12.75" customHeight="1">
      <c r="D154" s="483" t="s">
        <v>476</v>
      </c>
      <c r="F154" s="32"/>
      <c r="G154" s="32"/>
      <c r="H154" s="32"/>
      <c r="I154" s="32"/>
      <c r="J154" s="32"/>
      <c r="K154" s="32"/>
      <c r="L154" s="32"/>
      <c r="M154" s="32"/>
      <c r="N154" s="32"/>
      <c r="O154" s="1132" t="s">
        <v>1765</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2.75">
      <c r="D155" s="13" t="s">
        <v>477</v>
      </c>
      <c r="F155" s="13"/>
      <c r="G155" s="13"/>
      <c r="H155" s="13"/>
      <c r="I155" s="13"/>
      <c r="J155" s="13"/>
      <c r="K155" s="13"/>
      <c r="L155" s="13"/>
      <c r="M155" s="13"/>
      <c r="N155" s="13"/>
      <c r="O155" s="1512" t="s">
        <v>1767</v>
      </c>
      <c r="P155" s="1513"/>
      <c r="Q155" s="1513"/>
      <c r="R155" s="1513"/>
      <c r="S155" s="1513"/>
      <c r="T155" s="1513"/>
      <c r="U155" s="1513"/>
      <c r="V155" s="1513"/>
      <c r="W155" s="1513"/>
      <c r="X155" s="1513"/>
      <c r="Y155" s="1513"/>
      <c r="Z155" s="1513"/>
      <c r="AA155" s="1513"/>
      <c r="AB155" s="1513"/>
      <c r="AC155" s="1513"/>
      <c r="AD155" s="1513"/>
      <c r="AE155" s="1513"/>
      <c r="AF155" s="1513"/>
      <c r="AG155" s="1513"/>
      <c r="AH155" s="1513"/>
      <c r="AM155" s="25"/>
    </row>
    <row r="156" spans="1:59" ht="12.75">
      <c r="D156" s="32" t="s">
        <v>335</v>
      </c>
      <c r="F156" s="32"/>
      <c r="G156" s="32"/>
      <c r="H156" s="32"/>
      <c r="I156" s="32"/>
      <c r="J156" s="32"/>
      <c r="K156" s="32"/>
      <c r="L156" s="32"/>
      <c r="M156" s="32"/>
      <c r="N156" s="32"/>
      <c r="O156" s="1105" t="s">
        <v>1737</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2.75">
      <c r="D157" s="32" t="s">
        <v>336</v>
      </c>
      <c r="F157" s="32"/>
      <c r="G157" s="32"/>
      <c r="H157" s="32"/>
      <c r="I157" s="32"/>
      <c r="J157" s="32"/>
      <c r="K157" s="32"/>
      <c r="L157" s="32"/>
      <c r="M157" s="32"/>
      <c r="N157" s="32"/>
      <c r="O157" s="1103" t="s">
        <v>1766</v>
      </c>
      <c r="P157" s="1227"/>
      <c r="Q157" s="1227"/>
      <c r="R157" s="1227"/>
      <c r="S157" s="1227"/>
      <c r="T157" s="1227"/>
      <c r="U157" s="1227"/>
      <c r="V157" s="1227"/>
      <c r="W157" s="1227"/>
      <c r="X157" s="1227"/>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22">
        <v>91801</v>
      </c>
      <c r="P158" s="1322"/>
      <c r="Q158" s="1322"/>
      <c r="R158" s="1322"/>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1" t="s">
        <v>1769</v>
      </c>
      <c r="P159" s="1321"/>
      <c r="Q159" s="1321"/>
      <c r="R159" s="1321"/>
      <c r="S159" s="1321"/>
      <c r="T159" s="1321"/>
      <c r="V159" s="149" t="s">
        <v>287</v>
      </c>
      <c r="W159" s="1323"/>
      <c r="X159" s="1323"/>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1" t="s">
        <v>1770</v>
      </c>
      <c r="P160" s="1321"/>
      <c r="Q160" s="1321"/>
      <c r="R160" s="1321"/>
      <c r="S160" s="1321"/>
      <c r="T160" s="1321"/>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506" t="s">
        <v>1768</v>
      </c>
      <c r="P161" s="1506"/>
      <c r="Q161" s="1506"/>
      <c r="R161" s="1506"/>
      <c r="S161" s="1506"/>
      <c r="T161" s="1506"/>
      <c r="U161" s="1506"/>
      <c r="V161" s="1506"/>
      <c r="W161" s="1506"/>
      <c r="X161" s="1506"/>
      <c r="Y161" s="1506"/>
      <c r="Z161" s="1506"/>
      <c r="AA161" s="1506"/>
      <c r="AB161" s="1506"/>
      <c r="AC161" s="1506"/>
      <c r="AD161" s="1506"/>
      <c r="AE161" s="1506"/>
      <c r="AF161" s="1506"/>
      <c r="AG161" s="1506"/>
      <c r="AH161" s="150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07" t="s">
        <v>1508</v>
      </c>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7" t="s">
        <v>585</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726</v>
      </c>
      <c r="BG169" s="12" t="s">
        <v>534</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505" t="s">
        <v>403</v>
      </c>
      <c r="K173" s="1505"/>
      <c r="L173" s="1505"/>
      <c r="M173" s="1505"/>
      <c r="N173" s="1505"/>
      <c r="O173" s="1505"/>
      <c r="P173" s="1505"/>
      <c r="Q173" s="1505"/>
      <c r="R173" s="1505"/>
      <c r="S173" s="1505"/>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105" t="s">
        <v>1645</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6" t="s">
        <v>722</v>
      </c>
      <c r="V175" s="110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2"/>
      <c r="V176" s="1502"/>
      <c r="W176" s="4" t="s">
        <v>328</v>
      </c>
      <c r="X176" s="1511"/>
      <c r="Y176" s="151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6" t="s">
        <v>722</v>
      </c>
      <c r="S177" s="110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5"/>
      <c r="AJ178" s="1125"/>
      <c r="AK178" s="112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6" t="s">
        <v>722</v>
      </c>
      <c r="Y180" s="1106"/>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7" t="str">
        <f>H18</f>
        <v>Corazón del Valle</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2.75">
      <c r="A187" s="25"/>
      <c r="C187" s="45"/>
      <c r="D187" s="25" t="s">
        <v>629</v>
      </c>
      <c r="E187" s="25"/>
      <c r="F187" s="25"/>
      <c r="G187" s="25"/>
      <c r="H187" s="25"/>
      <c r="I187" s="1127" t="s">
        <v>1647</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6"/>
      <c r="F189" s="1326"/>
      <c r="G189" s="1326"/>
      <c r="H189" s="1326"/>
      <c r="I189" s="1326"/>
      <c r="J189" s="1326"/>
      <c r="K189" s="1326"/>
      <c r="L189" s="1326"/>
      <c r="M189" s="1326"/>
      <c r="N189" s="1326"/>
      <c r="O189" s="1326"/>
      <c r="P189" s="1326"/>
      <c r="Q189" s="1326"/>
      <c r="R189" s="1326"/>
      <c r="S189" s="1326"/>
      <c r="T189" s="1326"/>
      <c r="U189" s="1326"/>
      <c r="V189" s="1326"/>
      <c r="W189" s="1326"/>
      <c r="X189" s="1326"/>
      <c r="Y189" s="1326"/>
      <c r="Z189" s="1326"/>
      <c r="AA189" s="1326"/>
      <c r="AB189" s="1326"/>
      <c r="AC189" s="1326"/>
      <c r="AD189" s="1326"/>
      <c r="AE189" s="1326"/>
      <c r="AF189" s="25"/>
      <c r="AH189" s="25"/>
      <c r="AJ189" s="3"/>
      <c r="AK189" s="3"/>
      <c r="AL189" s="3"/>
      <c r="AP189" s="12" t="s">
        <v>329</v>
      </c>
      <c r="BA189" s="36" t="s">
        <v>251</v>
      </c>
      <c r="BG189" s="12" t="s">
        <v>72</v>
      </c>
    </row>
    <row r="190" spans="1:59" ht="12.75">
      <c r="A190" s="25"/>
      <c r="C190" s="45"/>
      <c r="D190" s="25"/>
      <c r="E190" s="1327"/>
      <c r="F190" s="1327"/>
      <c r="G190" s="1327"/>
      <c r="H190" s="1327"/>
      <c r="I190" s="1327"/>
      <c r="J190" s="1327"/>
      <c r="K190" s="1327"/>
      <c r="L190" s="1327"/>
      <c r="M190" s="1327"/>
      <c r="N190" s="1327"/>
      <c r="O190" s="1327"/>
      <c r="P190" s="1327"/>
      <c r="Q190" s="1327"/>
      <c r="R190" s="1327"/>
      <c r="S190" s="1327"/>
      <c r="T190" s="1327"/>
      <c r="U190" s="1327"/>
      <c r="V190" s="1327"/>
      <c r="W190" s="1327"/>
      <c r="X190" s="1327"/>
      <c r="Y190" s="1327"/>
      <c r="Z190" s="1327"/>
      <c r="AA190" s="1327"/>
      <c r="AB190" s="1327"/>
      <c r="AC190" s="1327"/>
      <c r="AD190" s="1327"/>
      <c r="AE190" s="1327"/>
      <c r="AF190" s="25"/>
      <c r="AH190" s="25"/>
      <c r="AJ190" s="3"/>
      <c r="AK190" s="3"/>
      <c r="AL190" s="3"/>
      <c r="AP190" s="12" t="s">
        <v>1191</v>
      </c>
      <c r="BA190" s="36" t="s">
        <v>685</v>
      </c>
      <c r="BG190" s="12" t="s">
        <v>73</v>
      </c>
    </row>
    <row r="191" spans="1:59" ht="12.75">
      <c r="A191" s="25"/>
      <c r="C191" s="45"/>
      <c r="D191" s="25" t="s">
        <v>630</v>
      </c>
      <c r="E191" s="25"/>
      <c r="I191" s="1105" t="s">
        <v>1646</v>
      </c>
      <c r="J191" s="1105"/>
      <c r="K191" s="1105"/>
      <c r="L191" s="1105"/>
      <c r="M191" s="1105"/>
      <c r="N191" s="1105"/>
      <c r="O191" s="1105"/>
      <c r="P191" s="1105"/>
      <c r="Q191" s="25" t="s">
        <v>632</v>
      </c>
      <c r="T191" s="1105" t="s">
        <v>540</v>
      </c>
      <c r="U191" s="1105"/>
      <c r="V191" s="1105"/>
      <c r="W191" s="1105"/>
      <c r="X191" s="1105"/>
      <c r="Y191" s="1105"/>
      <c r="Z191" s="1105"/>
      <c r="AA191" s="1105"/>
      <c r="AB191" s="1105"/>
      <c r="AC191" s="1105"/>
      <c r="AD191" s="1105"/>
      <c r="AE191" s="1105"/>
      <c r="AH191" s="25"/>
      <c r="AJ191" s="3"/>
      <c r="AK191" s="3"/>
      <c r="AL191" s="3"/>
      <c r="AP191" s="12" t="s">
        <v>1192</v>
      </c>
      <c r="BA191" s="36" t="s">
        <v>742</v>
      </c>
      <c r="BG191" s="12" t="s">
        <v>788</v>
      </c>
    </row>
    <row r="192" spans="1:59" ht="12.75">
      <c r="A192" s="25"/>
      <c r="C192" s="46"/>
      <c r="D192" s="25" t="s">
        <v>633</v>
      </c>
      <c r="E192" s="25"/>
      <c r="F192" s="25"/>
      <c r="G192" s="25"/>
      <c r="I192" s="1127">
        <v>91402</v>
      </c>
      <c r="J192" s="1127"/>
      <c r="K192" s="1127"/>
      <c r="L192" s="1127"/>
      <c r="M192" s="1127"/>
      <c r="N192" s="1127"/>
      <c r="O192" s="25" t="s">
        <v>635</v>
      </c>
      <c r="P192" s="25"/>
      <c r="Q192" s="25"/>
      <c r="R192" s="25"/>
      <c r="S192" s="25"/>
      <c r="T192" s="1504">
        <v>1200.2</v>
      </c>
      <c r="U192" s="1504"/>
      <c r="V192" s="1504"/>
      <c r="W192" s="1504"/>
      <c r="X192" s="1504"/>
      <c r="Y192" s="1504"/>
      <c r="Z192" s="1504"/>
      <c r="AA192" s="1504"/>
      <c r="AB192" s="1504"/>
      <c r="AC192" s="1504"/>
      <c r="AD192" s="1504"/>
      <c r="AE192" s="1504"/>
      <c r="AF192" s="25"/>
      <c r="AH192" s="25"/>
      <c r="AJ192" s="3"/>
      <c r="AK192" s="3"/>
      <c r="AL192" s="3"/>
      <c r="AP192" s="12" t="s">
        <v>1193</v>
      </c>
      <c r="BA192" s="36" t="s">
        <v>743</v>
      </c>
      <c r="BG192" s="12" t="s">
        <v>789</v>
      </c>
    </row>
    <row r="193" spans="1:66" ht="12.75">
      <c r="A193" s="25"/>
      <c r="C193" s="46"/>
      <c r="D193" s="25" t="s">
        <v>508</v>
      </c>
      <c r="E193" s="25"/>
      <c r="F193" s="25"/>
      <c r="G193" s="25"/>
      <c r="H193" s="25"/>
      <c r="I193" s="25"/>
      <c r="J193" s="25"/>
      <c r="K193" s="25"/>
      <c r="L193" s="25"/>
      <c r="M193" s="25"/>
      <c r="N193" s="1326" t="s">
        <v>1648</v>
      </c>
      <c r="O193" s="1326"/>
      <c r="P193" s="1326"/>
      <c r="Q193" s="1326"/>
      <c r="R193" s="1326"/>
      <c r="S193" s="1326"/>
      <c r="T193" s="1326"/>
      <c r="U193" s="1326"/>
      <c r="V193" s="1326"/>
      <c r="W193" s="1326"/>
      <c r="X193" s="1326"/>
      <c r="Y193" s="1326"/>
      <c r="Z193" s="1326"/>
      <c r="AA193" s="1326"/>
      <c r="AB193" s="1326"/>
      <c r="AC193" s="1326"/>
      <c r="AD193" s="1326"/>
      <c r="AE193" s="1326"/>
      <c r="AF193" s="25"/>
      <c r="AH193" s="25"/>
      <c r="AJ193" s="3"/>
      <c r="AK193" s="3"/>
      <c r="AL193" s="3"/>
      <c r="AP193" s="12" t="s">
        <v>1194</v>
      </c>
      <c r="BA193" s="36" t="s">
        <v>744</v>
      </c>
      <c r="BG193" s="12" t="s">
        <v>790</v>
      </c>
    </row>
    <row r="194" spans="1:66" ht="12.75">
      <c r="A194" s="25"/>
      <c r="C194" s="46"/>
      <c r="D194" s="25"/>
      <c r="E194" s="25"/>
      <c r="F194" s="25"/>
      <c r="G194" s="25"/>
      <c r="H194" s="25"/>
      <c r="I194" s="25"/>
      <c r="J194" s="25"/>
      <c r="K194" s="25"/>
      <c r="L194" s="25"/>
      <c r="M194" s="174"/>
      <c r="N194" s="1327"/>
      <c r="O194" s="1327"/>
      <c r="P194" s="1327"/>
      <c r="Q194" s="1327"/>
      <c r="R194" s="1327"/>
      <c r="S194" s="1327"/>
      <c r="T194" s="1327"/>
      <c r="U194" s="1327"/>
      <c r="V194" s="1327"/>
      <c r="W194" s="1327"/>
      <c r="X194" s="1327"/>
      <c r="Y194" s="1327"/>
      <c r="Z194" s="1327"/>
      <c r="AA194" s="1327"/>
      <c r="AB194" s="1327"/>
      <c r="AC194" s="1327"/>
      <c r="AD194" s="1327"/>
      <c r="AE194" s="1327"/>
      <c r="AF194" s="25"/>
      <c r="AH194" s="25"/>
      <c r="AJ194" s="3"/>
      <c r="AK194" s="3"/>
      <c r="AL194" s="3"/>
      <c r="AP194" s="12" t="s">
        <v>1195</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6" t="s">
        <v>722</v>
      </c>
      <c r="U195" s="1106"/>
      <c r="W195" s="25" t="s">
        <v>738</v>
      </c>
      <c r="X195" s="25"/>
      <c r="Y195" s="25"/>
      <c r="Z195" s="25"/>
      <c r="AA195" s="25"/>
      <c r="AB195" s="25"/>
      <c r="AC195" s="25"/>
      <c r="AD195" s="25"/>
      <c r="AE195" s="25"/>
      <c r="AF195" s="25"/>
      <c r="AG195" s="25"/>
      <c r="AH195" s="1106">
        <v>29</v>
      </c>
      <c r="AI195" s="110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32" t="s">
        <v>591</v>
      </c>
      <c r="U196" s="1232"/>
      <c r="W196" s="25" t="s">
        <v>739</v>
      </c>
      <c r="X196" s="25"/>
      <c r="Y196" s="25"/>
      <c r="Z196" s="25"/>
      <c r="AA196" s="25"/>
      <c r="AB196" s="25"/>
      <c r="AC196" s="25"/>
      <c r="AD196" s="25"/>
      <c r="AE196" s="25"/>
      <c r="AF196" s="25"/>
      <c r="AG196" s="25"/>
      <c r="AH196" s="1106">
        <v>46</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2" t="s">
        <v>722</v>
      </c>
      <c r="U197" s="1232"/>
      <c r="V197" s="12"/>
      <c r="W197" s="25" t="s">
        <v>740</v>
      </c>
      <c r="X197" s="25"/>
      <c r="Y197" s="25"/>
      <c r="Z197" s="25"/>
      <c r="AA197" s="25"/>
      <c r="AB197" s="25"/>
      <c r="AC197" s="25"/>
      <c r="AD197" s="25"/>
      <c r="AE197" s="25"/>
      <c r="AF197" s="25"/>
      <c r="AG197" s="25"/>
      <c r="AH197" s="1106">
        <v>18</v>
      </c>
      <c r="AI197" s="110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32" t="s">
        <v>722</v>
      </c>
      <c r="Z198" s="123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209</v>
      </c>
      <c r="BH202" s="51"/>
    </row>
    <row r="203" spans="1:66" ht="12.75" customHeight="1">
      <c r="A203" s="25"/>
      <c r="C203" s="25"/>
      <c r="D203" s="1107" t="s">
        <v>417</v>
      </c>
      <c r="E203" s="1107"/>
      <c r="F203" s="1107"/>
      <c r="G203" s="1107"/>
      <c r="H203" s="1107"/>
      <c r="I203" s="1107"/>
      <c r="J203" s="1107"/>
      <c r="K203" s="1107"/>
      <c r="L203" s="1107"/>
      <c r="M203" s="1107"/>
      <c r="P203" s="1500">
        <f>M26</f>
        <v>1811502.4</v>
      </c>
      <c r="Q203" s="1324"/>
      <c r="R203" s="1324"/>
      <c r="S203" s="1324"/>
      <c r="T203" s="1324"/>
      <c r="U203" s="132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25" t="s">
        <v>1530</v>
      </c>
      <c r="E204" s="1107"/>
      <c r="F204" s="1107"/>
      <c r="G204" s="1107"/>
      <c r="H204" s="1107"/>
      <c r="I204" s="1107"/>
      <c r="J204" s="1107"/>
      <c r="K204" s="1107"/>
      <c r="L204" s="1107"/>
      <c r="M204" s="1107"/>
      <c r="P204" s="1324">
        <f>M27</f>
        <v>0</v>
      </c>
      <c r="Q204" s="1324"/>
      <c r="R204" s="1324"/>
      <c r="S204" s="1324"/>
      <c r="T204" s="1324"/>
      <c r="U204" s="1324"/>
      <c r="V204" s="47"/>
      <c r="W204" s="25" t="s">
        <v>1531</v>
      </c>
      <c r="X204" s="25"/>
      <c r="Y204" s="25"/>
      <c r="Z204" s="25"/>
      <c r="AA204" s="25"/>
      <c r="AB204" s="25"/>
      <c r="AC204" s="25"/>
      <c r="AD204" s="25"/>
      <c r="AE204" s="25"/>
      <c r="AF204" s="1106" t="s">
        <v>722</v>
      </c>
      <c r="AG204" s="1106"/>
      <c r="AH204" s="25"/>
      <c r="AI204" s="25"/>
      <c r="AJ204" s="3"/>
      <c r="AK204" s="3"/>
      <c r="AL204" s="3"/>
      <c r="AP204" s="708" t="s">
        <v>1175</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27" t="s">
        <v>1715</v>
      </c>
      <c r="E207" s="1227"/>
      <c r="F207" s="1227"/>
      <c r="G207" s="1227"/>
      <c r="H207" s="1227"/>
      <c r="I207" s="1227"/>
      <c r="J207" s="1227"/>
      <c r="K207" s="1227"/>
      <c r="L207" s="1227"/>
      <c r="M207" s="1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7" t="s">
        <v>1192</v>
      </c>
      <c r="E210" s="1227"/>
      <c r="F210" s="1227"/>
      <c r="G210" s="1227"/>
      <c r="H210" s="1227"/>
      <c r="I210" s="1227"/>
      <c r="J210" s="1227"/>
      <c r="K210" s="1227"/>
      <c r="L210" s="1227"/>
      <c r="M210" s="1227"/>
      <c r="N210" s="12" t="s">
        <v>1515</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1122</v>
      </c>
      <c r="AG214" s="3"/>
      <c r="AJ214" s="3"/>
      <c r="AK214" s="3"/>
      <c r="AL214" s="3"/>
      <c r="AN214" s="58"/>
      <c r="AP214" s="12" t="s">
        <v>614</v>
      </c>
      <c r="BA214" s="36" t="s">
        <v>349</v>
      </c>
      <c r="BG214" s="55" t="s">
        <v>219</v>
      </c>
    </row>
    <row r="215" spans="1:59" ht="12.75">
      <c r="A215" s="50"/>
      <c r="C215" s="50"/>
      <c r="D215" s="1227" t="s">
        <v>969</v>
      </c>
      <c r="E215" s="1227"/>
      <c r="F215" s="1227"/>
      <c r="G215" s="1227"/>
      <c r="H215" s="1227"/>
      <c r="I215" s="1227"/>
      <c r="J215" s="1227"/>
      <c r="K215" s="1227"/>
      <c r="L215" s="1227"/>
      <c r="M215" s="1227"/>
      <c r="N215" s="1227"/>
      <c r="O215" s="1227"/>
      <c r="P215" s="1227"/>
      <c r="Q215" s="1227"/>
      <c r="R215" s="1227"/>
      <c r="S215" s="1227"/>
      <c r="T215" s="1227"/>
      <c r="U215" s="1227"/>
      <c r="V215" s="1227"/>
      <c r="W215" s="1227"/>
      <c r="X215" s="1227"/>
      <c r="Y215" s="1227"/>
      <c r="Z215" s="122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7" t="s">
        <v>586</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409</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591</v>
      </c>
      <c r="AJ221" s="110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641</v>
      </c>
      <c r="AJ222" s="110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641</v>
      </c>
      <c r="AJ223" s="110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641</v>
      </c>
      <c r="AJ224" s="110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14" t="str">
        <f>H16</f>
        <v>CDV, L.P.</v>
      </c>
      <c r="N227" s="1514"/>
      <c r="O227" s="1514"/>
      <c r="P227" s="1514"/>
      <c r="Q227" s="1514"/>
      <c r="R227" s="1514"/>
      <c r="S227" s="1514"/>
      <c r="T227" s="1514"/>
      <c r="U227" s="1514"/>
      <c r="V227" s="1514"/>
      <c r="W227" s="1514"/>
      <c r="X227" s="1514"/>
      <c r="Y227" s="1514"/>
      <c r="Z227" s="1514"/>
      <c r="AA227" s="1514"/>
      <c r="AB227" s="1514"/>
      <c r="AC227" s="1514"/>
      <c r="AD227" s="1514"/>
      <c r="AE227" s="1514"/>
      <c r="AF227" s="1514"/>
      <c r="AG227" s="1514"/>
      <c r="AH227" s="1514"/>
      <c r="AI227" s="1514"/>
      <c r="AJ227" s="1514"/>
      <c r="AK227" s="1514"/>
      <c r="AO227" s="344" t="s">
        <v>584</v>
      </c>
      <c r="AT227" s="406">
        <f>IF(AND(AND($M$244="nonprofit",$M$252="for profit",$M$260="nonprofit")),2,0)</f>
        <v>0</v>
      </c>
    </row>
    <row r="228" spans="1:59" ht="12.75">
      <c r="D228" s="57" t="s">
        <v>92</v>
      </c>
      <c r="E228" s="57"/>
      <c r="F228" s="57"/>
      <c r="G228" s="57"/>
      <c r="H228" s="57"/>
      <c r="I228" s="57"/>
      <c r="J228" s="57"/>
      <c r="K228" s="7"/>
      <c r="M228" s="1103" t="s">
        <v>1655</v>
      </c>
      <c r="N228" s="1227"/>
      <c r="O228" s="1227"/>
      <c r="P228" s="1227"/>
      <c r="Q228" s="1227"/>
      <c r="R228" s="1227"/>
      <c r="S228" s="1227"/>
      <c r="T228" s="1227"/>
      <c r="U228" s="1227"/>
      <c r="V228" s="1227"/>
      <c r="W228" s="1227"/>
      <c r="X228" s="1227"/>
      <c r="Y228" s="1227"/>
      <c r="Z228" s="1227"/>
      <c r="AA228" s="1227"/>
      <c r="AB228" s="1227"/>
      <c r="AC228" s="1227"/>
      <c r="AD228" s="1227"/>
      <c r="AE228" s="1227"/>
      <c r="AM228" s="7"/>
      <c r="AO228" s="344" t="s">
        <v>584</v>
      </c>
      <c r="AT228" s="405">
        <f>IF(AND(AND($M$244="for profit",$M$252="nonprofit",$M$260="nonprofit")),2,0)</f>
        <v>0</v>
      </c>
      <c r="BB228" s="61"/>
    </row>
    <row r="229" spans="1:59" ht="12.75">
      <c r="D229" s="57" t="s">
        <v>630</v>
      </c>
      <c r="E229" s="57"/>
      <c r="M229" s="1103" t="s">
        <v>1656</v>
      </c>
      <c r="N229" s="1227"/>
      <c r="O229" s="1227"/>
      <c r="P229" s="1227"/>
      <c r="Q229" s="1227"/>
      <c r="R229" s="1227"/>
      <c r="S229" s="1227"/>
      <c r="T229" s="1227"/>
      <c r="V229" s="59" t="s">
        <v>93</v>
      </c>
      <c r="W229" s="1132" t="s">
        <v>1649</v>
      </c>
      <c r="X229" s="1110"/>
      <c r="Y229" s="57" t="s">
        <v>633</v>
      </c>
      <c r="AC229" s="1227">
        <v>91606</v>
      </c>
      <c r="AD229" s="1227"/>
      <c r="AE229" s="1227"/>
      <c r="AO229" s="402"/>
      <c r="AT229" s="403"/>
    </row>
    <row r="230" spans="1:59" ht="12.75">
      <c r="D230" s="60" t="s">
        <v>94</v>
      </c>
      <c r="E230" s="7"/>
      <c r="F230" s="7"/>
      <c r="G230" s="7"/>
      <c r="H230" s="7"/>
      <c r="I230" s="7"/>
      <c r="J230" s="7"/>
      <c r="K230" s="29"/>
      <c r="M230" s="1103" t="s">
        <v>1643</v>
      </c>
      <c r="N230" s="1227"/>
      <c r="O230" s="1227"/>
      <c r="P230" s="1227"/>
      <c r="Q230" s="1227"/>
      <c r="R230" s="1227"/>
      <c r="S230" s="1227"/>
      <c r="T230" s="1227"/>
      <c r="U230" s="1227"/>
      <c r="V230" s="1227"/>
      <c r="W230" s="1227"/>
      <c r="X230" s="1227"/>
      <c r="Y230" s="1227"/>
      <c r="Z230" s="1227"/>
      <c r="AA230" s="1227"/>
      <c r="AB230" s="1227"/>
      <c r="AC230" s="1227"/>
      <c r="AD230" s="1227"/>
      <c r="AE230" s="1227"/>
      <c r="AI230" s="7"/>
      <c r="AJ230" s="7"/>
      <c r="AK230" s="7"/>
      <c r="AL230" s="7"/>
      <c r="AM230" s="7"/>
      <c r="AO230" s="400" t="s">
        <v>583</v>
      </c>
      <c r="AT230" s="406">
        <f>IF(AND(AND($M$244="nonprofit",$M$252="nonprofit",$M$260="(select one)")),1,0)</f>
        <v>0</v>
      </c>
    </row>
    <row r="231" spans="1:59" ht="12.75">
      <c r="D231" s="60" t="s">
        <v>95</v>
      </c>
      <c r="E231" s="7"/>
      <c r="F231" s="7"/>
      <c r="M231" s="1108" t="s">
        <v>1650</v>
      </c>
      <c r="N231" s="1109"/>
      <c r="O231" s="1109"/>
      <c r="P231" s="1109"/>
      <c r="Q231" s="1109"/>
      <c r="R231" s="1109"/>
      <c r="S231" s="7" t="s">
        <v>220</v>
      </c>
      <c r="T231" s="7"/>
      <c r="U231" s="1110">
        <v>105</v>
      </c>
      <c r="V231" s="1110"/>
      <c r="W231" s="1110"/>
      <c r="X231" s="7" t="s">
        <v>96</v>
      </c>
      <c r="Z231" s="1109"/>
      <c r="AA231" s="1109"/>
      <c r="AB231" s="1109"/>
      <c r="AC231" s="1109"/>
      <c r="AD231" s="1109"/>
      <c r="AE231" s="1109"/>
      <c r="AO231" s="400" t="s">
        <v>583</v>
      </c>
      <c r="AT231" s="406">
        <f>IF(AND(AND($M$244="nonprofit",$M$252="nonprofit",$M$260="nonprofit")),1,0)</f>
        <v>0</v>
      </c>
    </row>
    <row r="232" spans="1:59" ht="12.75">
      <c r="D232" s="60" t="s">
        <v>97</v>
      </c>
      <c r="E232" s="7"/>
      <c r="F232" s="7"/>
      <c r="M232" s="1506" t="s">
        <v>1651</v>
      </c>
      <c r="N232" s="1506"/>
      <c r="O232" s="1506"/>
      <c r="P232" s="1506"/>
      <c r="Q232" s="1506"/>
      <c r="R232" s="1506"/>
      <c r="S232" s="1506"/>
      <c r="T232" s="1506"/>
      <c r="U232" s="1506"/>
      <c r="V232" s="1506"/>
      <c r="W232" s="1506"/>
      <c r="X232" s="1506"/>
      <c r="Y232" s="1506"/>
      <c r="Z232" s="1506"/>
      <c r="AA232" s="1506"/>
      <c r="AB232" s="1506"/>
      <c r="AC232" s="1506"/>
      <c r="AD232" s="1506"/>
      <c r="AE232" s="1506"/>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27" t="s">
        <v>574</v>
      </c>
      <c r="N233" s="1127"/>
      <c r="O233" s="1127"/>
      <c r="P233" s="1127"/>
      <c r="Q233" s="1127"/>
      <c r="R233" s="1127"/>
      <c r="S233" s="1127"/>
      <c r="T233" s="1127"/>
      <c r="U233" s="404" t="s">
        <v>1004</v>
      </c>
      <c r="V233" s="335"/>
      <c r="W233" s="335"/>
      <c r="X233" s="335"/>
      <c r="Y233" s="335"/>
      <c r="Z233" s="335"/>
      <c r="AA233" s="1269"/>
      <c r="AB233" s="1270"/>
      <c r="AC233" s="1270"/>
      <c r="AD233" s="1270"/>
      <c r="AE233" s="1270"/>
      <c r="AF233" s="1270"/>
      <c r="AG233" s="1270"/>
      <c r="AH233" s="1270"/>
      <c r="AI233" s="1270"/>
      <c r="AJ233" s="1270"/>
      <c r="AK233" s="1270"/>
      <c r="AL233" s="58"/>
      <c r="AO233" s="400" t="s">
        <v>971</v>
      </c>
      <c r="AT233" s="406">
        <f>IF(AND(AND($M$244="for profit",$M$252="for profit",$M$260="(select one)")),3,0)</f>
        <v>0</v>
      </c>
    </row>
    <row r="234" spans="1:59" ht="12.75">
      <c r="D234" s="12" t="s">
        <v>577</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08" t="s">
        <v>1652</v>
      </c>
      <c r="N238" s="1262"/>
      <c r="O238" s="1262"/>
      <c r="P238" s="1262"/>
      <c r="Q238" s="1262"/>
      <c r="R238" s="1262"/>
      <c r="S238" s="1262"/>
      <c r="T238" s="1262"/>
      <c r="U238" s="1262"/>
      <c r="V238" s="1262"/>
      <c r="W238" s="1262"/>
      <c r="X238" s="1262"/>
      <c r="Y238" s="1262"/>
      <c r="Z238" s="1262"/>
      <c r="AA238" s="1262"/>
      <c r="AB238" s="1262"/>
      <c r="AC238" s="1262"/>
      <c r="AD238" s="1262"/>
      <c r="AE238" s="1262"/>
      <c r="AF238" s="1262" t="s">
        <v>1654</v>
      </c>
      <c r="AG238" s="1262"/>
      <c r="AH238" s="1262"/>
      <c r="AI238" s="1262"/>
      <c r="AJ238" s="1262"/>
      <c r="AK238" s="1262"/>
      <c r="AT238" s="12">
        <v>1</v>
      </c>
      <c r="AU238" s="12" t="s">
        <v>580</v>
      </c>
      <c r="AZ238" s="25"/>
      <c r="BA238" s="3"/>
      <c r="BB238" s="3"/>
    </row>
    <row r="239" spans="1:59" ht="12.75">
      <c r="A239" s="29"/>
      <c r="B239" s="7"/>
      <c r="C239" s="7"/>
      <c r="D239" s="57" t="s">
        <v>92</v>
      </c>
      <c r="E239" s="57"/>
      <c r="F239" s="57"/>
      <c r="G239" s="57"/>
      <c r="H239" s="57"/>
      <c r="I239" s="57"/>
      <c r="J239" s="57"/>
      <c r="K239" s="57"/>
      <c r="L239" s="7"/>
      <c r="M239" s="1103" t="s">
        <v>1655</v>
      </c>
      <c r="N239" s="1227"/>
      <c r="O239" s="1227"/>
      <c r="P239" s="1227"/>
      <c r="Q239" s="1227"/>
      <c r="R239" s="1227"/>
      <c r="S239" s="1227"/>
      <c r="T239" s="1227"/>
      <c r="U239" s="1227"/>
      <c r="V239" s="1227"/>
      <c r="W239" s="1227"/>
      <c r="X239" s="1227"/>
      <c r="Y239" s="1227"/>
      <c r="Z239" s="1227"/>
      <c r="AA239" s="1227"/>
      <c r="AB239" s="1227"/>
      <c r="AC239" s="1227"/>
      <c r="AD239" s="1227"/>
      <c r="AE239" s="1227"/>
      <c r="AF239" s="58" t="s">
        <v>1417</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03" t="s">
        <v>1656</v>
      </c>
      <c r="N240" s="1227"/>
      <c r="O240" s="1227"/>
      <c r="P240" s="1227"/>
      <c r="Q240" s="1227"/>
      <c r="R240" s="1227"/>
      <c r="S240" s="1227"/>
      <c r="T240" s="1227"/>
      <c r="V240" s="59" t="s">
        <v>93</v>
      </c>
      <c r="W240" s="1132" t="s">
        <v>1649</v>
      </c>
      <c r="X240" s="1110"/>
      <c r="Y240" s="57" t="s">
        <v>633</v>
      </c>
      <c r="AC240" s="1227">
        <v>91606</v>
      </c>
      <c r="AD240" s="1227"/>
      <c r="AE240" s="1227"/>
      <c r="AF240" s="58" t="s">
        <v>1418</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03" t="s">
        <v>1657</v>
      </c>
      <c r="N241" s="1227"/>
      <c r="O241" s="1227"/>
      <c r="P241" s="1227"/>
      <c r="Q241" s="1227"/>
      <c r="R241" s="1227"/>
      <c r="S241" s="1227"/>
      <c r="T241" s="1227"/>
      <c r="U241" s="1227"/>
      <c r="V241" s="1227"/>
      <c r="W241" s="1227"/>
      <c r="X241" s="1227"/>
      <c r="Y241" s="1227"/>
      <c r="Z241" s="1227"/>
      <c r="AA241" s="1227"/>
      <c r="AB241" s="1227"/>
      <c r="AC241" s="1227"/>
      <c r="AD241" s="1227"/>
      <c r="AE241" s="1227"/>
      <c r="AH241" s="1599">
        <v>0.99990000000000001</v>
      </c>
      <c r="AI241" s="1599"/>
      <c r="AJ241" s="1599"/>
      <c r="AK241" s="1599"/>
      <c r="AL241" s="7"/>
      <c r="AN241" s="7" t="s">
        <v>296</v>
      </c>
      <c r="BA241" s="61"/>
    </row>
    <row r="242" spans="1:53" ht="12.75">
      <c r="A242" s="29"/>
      <c r="B242" s="7"/>
      <c r="C242" s="7"/>
      <c r="D242" s="60" t="s">
        <v>95</v>
      </c>
      <c r="E242" s="7"/>
      <c r="F242" s="7"/>
      <c r="M242" s="1108" t="s">
        <v>1650</v>
      </c>
      <c r="N242" s="1109"/>
      <c r="O242" s="1109"/>
      <c r="P242" s="1109"/>
      <c r="Q242" s="1109"/>
      <c r="R242" s="1109"/>
      <c r="S242" s="7" t="s">
        <v>220</v>
      </c>
      <c r="T242" s="7"/>
      <c r="U242" s="1110">
        <v>105</v>
      </c>
      <c r="V242" s="1110"/>
      <c r="W242" s="1110"/>
      <c r="X242" s="7" t="s">
        <v>96</v>
      </c>
      <c r="Z242" s="1109"/>
      <c r="AA242" s="1109"/>
      <c r="AB242" s="1109"/>
      <c r="AC242" s="1109"/>
      <c r="AD242" s="1109"/>
      <c r="AE242" s="1109"/>
      <c r="AN242" s="7" t="s">
        <v>186</v>
      </c>
      <c r="BA242" s="61"/>
    </row>
    <row r="243" spans="1:53" ht="12.75">
      <c r="A243" s="29"/>
      <c r="B243" s="7"/>
      <c r="C243" s="7"/>
      <c r="D243" s="60" t="s">
        <v>97</v>
      </c>
      <c r="E243" s="7"/>
      <c r="F243" s="7"/>
      <c r="M243" s="1506" t="s">
        <v>1651</v>
      </c>
      <c r="N243" s="1506"/>
      <c r="O243" s="1506"/>
      <c r="P243" s="1506"/>
      <c r="Q243" s="1506"/>
      <c r="R243" s="1506"/>
      <c r="S243" s="1506"/>
      <c r="T243" s="1506"/>
      <c r="U243" s="1506"/>
      <c r="V243" s="1506"/>
      <c r="W243" s="1506"/>
      <c r="X243" s="1506"/>
      <c r="Y243" s="1506"/>
      <c r="Z243" s="1506"/>
      <c r="AA243" s="1506"/>
      <c r="AB243" s="1506"/>
      <c r="AC243" s="1506"/>
      <c r="AD243" s="1506"/>
      <c r="AE243" s="1506"/>
      <c r="AG243" s="7"/>
      <c r="AH243" s="7"/>
      <c r="AI243" s="7"/>
      <c r="AJ243" s="7"/>
      <c r="AK243" s="7"/>
      <c r="AL243" s="7"/>
      <c r="BA243" s="61"/>
    </row>
    <row r="244" spans="1:53" ht="12.75">
      <c r="A244" s="23"/>
      <c r="B244" s="7"/>
      <c r="C244" s="139"/>
      <c r="D244" s="60" t="s">
        <v>581</v>
      </c>
      <c r="E244" s="7"/>
      <c r="F244" s="7"/>
      <c r="G244" s="7"/>
      <c r="H244" s="7"/>
      <c r="I244" s="7"/>
      <c r="J244" s="7"/>
      <c r="K244" s="7"/>
      <c r="L244" s="7"/>
      <c r="M244" s="1127" t="s">
        <v>580</v>
      </c>
      <c r="N244" s="1127"/>
      <c r="O244" s="1127"/>
      <c r="P244" s="1127"/>
      <c r="Q244" s="1127"/>
      <c r="R244" s="1127"/>
      <c r="S244" s="1127"/>
      <c r="T244" s="1127"/>
      <c r="U244" s="404" t="s">
        <v>1004</v>
      </c>
      <c r="V244" s="335"/>
      <c r="W244" s="335"/>
      <c r="X244" s="335"/>
      <c r="Y244" s="335"/>
      <c r="Z244" s="335"/>
      <c r="AA244" s="1269" t="s">
        <v>1658</v>
      </c>
      <c r="AB244" s="1270"/>
      <c r="AC244" s="1270"/>
      <c r="AD244" s="1270"/>
      <c r="AE244" s="1270"/>
      <c r="AF244" s="1270"/>
      <c r="AG244" s="1270"/>
      <c r="AH244" s="1270"/>
      <c r="AI244" s="1270"/>
      <c r="AJ244" s="1270"/>
      <c r="AK244" s="127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62"/>
      <c r="N246" s="1262"/>
      <c r="O246" s="1262"/>
      <c r="P246" s="1262"/>
      <c r="Q246" s="1262"/>
      <c r="R246" s="1262"/>
      <c r="S246" s="1262"/>
      <c r="T246" s="1262"/>
      <c r="U246" s="1262"/>
      <c r="V246" s="1262"/>
      <c r="W246" s="1262"/>
      <c r="X246" s="1262"/>
      <c r="Y246" s="1262"/>
      <c r="Z246" s="1262"/>
      <c r="AA246" s="1262"/>
      <c r="AB246" s="1262"/>
      <c r="AC246" s="1262"/>
      <c r="AD246" s="1262"/>
      <c r="AE246" s="1262"/>
      <c r="AF246" s="1262" t="s">
        <v>329</v>
      </c>
      <c r="AG246" s="1262"/>
      <c r="AH246" s="1262"/>
      <c r="AI246" s="1262"/>
      <c r="AJ246" s="1262"/>
      <c r="AK246" s="1262"/>
      <c r="BA246" s="61"/>
    </row>
    <row r="247" spans="1:53" ht="12.75">
      <c r="A247" s="29"/>
      <c r="B247" s="7"/>
      <c r="C247" s="7"/>
      <c r="D247" s="57" t="s">
        <v>92</v>
      </c>
      <c r="E247" s="57"/>
      <c r="F247" s="57"/>
      <c r="G247" s="57"/>
      <c r="H247" s="57"/>
      <c r="I247" s="57"/>
      <c r="J247" s="57"/>
      <c r="K247" s="57"/>
      <c r="L247" s="7"/>
      <c r="M247" s="1227"/>
      <c r="N247" s="1227"/>
      <c r="O247" s="1227"/>
      <c r="P247" s="1227"/>
      <c r="Q247" s="1227"/>
      <c r="R247" s="1227"/>
      <c r="S247" s="1227"/>
      <c r="T247" s="1227"/>
      <c r="U247" s="1227"/>
      <c r="V247" s="1227"/>
      <c r="W247" s="1227"/>
      <c r="X247" s="1227"/>
      <c r="Y247" s="1227"/>
      <c r="Z247" s="1227"/>
      <c r="AA247" s="1227"/>
      <c r="AB247" s="1227"/>
      <c r="AC247" s="1227"/>
      <c r="AD247" s="1227"/>
      <c r="AE247" s="1227"/>
      <c r="AF247" s="58" t="s">
        <v>1417</v>
      </c>
      <c r="AG247" s="743"/>
      <c r="AH247" s="743"/>
      <c r="AI247" s="743"/>
      <c r="AJ247" s="743"/>
      <c r="AK247" s="743"/>
      <c r="AL247" s="7"/>
      <c r="BA247" s="61"/>
    </row>
    <row r="248" spans="1:53" ht="12.75">
      <c r="A248" s="29"/>
      <c r="B248" s="7"/>
      <c r="C248" s="7"/>
      <c r="D248" s="57" t="s">
        <v>630</v>
      </c>
      <c r="E248" s="57"/>
      <c r="M248" s="1227"/>
      <c r="N248" s="1227"/>
      <c r="O248" s="1227"/>
      <c r="P248" s="1227"/>
      <c r="Q248" s="1227"/>
      <c r="R248" s="1227"/>
      <c r="S248" s="1227"/>
      <c r="T248" s="1227"/>
      <c r="V248" s="59" t="s">
        <v>93</v>
      </c>
      <c r="W248" s="1110"/>
      <c r="X248" s="1110"/>
      <c r="Y248" s="57" t="s">
        <v>633</v>
      </c>
      <c r="AC248" s="1227"/>
      <c r="AD248" s="1227"/>
      <c r="AE248" s="1227"/>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227"/>
      <c r="N249" s="1227"/>
      <c r="O249" s="1227"/>
      <c r="P249" s="1227"/>
      <c r="Q249" s="1227"/>
      <c r="R249" s="1227"/>
      <c r="S249" s="1227"/>
      <c r="T249" s="1227"/>
      <c r="U249" s="1227"/>
      <c r="V249" s="1227"/>
      <c r="W249" s="1227"/>
      <c r="X249" s="1227"/>
      <c r="Y249" s="1227"/>
      <c r="Z249" s="1227"/>
      <c r="AA249" s="1227"/>
      <c r="AB249" s="1227"/>
      <c r="AC249" s="1227"/>
      <c r="AD249" s="1227"/>
      <c r="AE249" s="1227"/>
      <c r="AF249" s="743"/>
      <c r="AG249" s="743"/>
      <c r="AH249" s="1599"/>
      <c r="AI249" s="1599"/>
      <c r="AJ249" s="1599"/>
      <c r="AK249" s="1599"/>
      <c r="AL249" s="7"/>
      <c r="BA249" s="61"/>
    </row>
    <row r="250" spans="1:53" ht="12.75">
      <c r="A250" s="29"/>
      <c r="B250" s="7"/>
      <c r="C250" s="7"/>
      <c r="D250" s="60" t="s">
        <v>95</v>
      </c>
      <c r="E250" s="7"/>
      <c r="F250" s="7"/>
      <c r="M250" s="1109"/>
      <c r="N250" s="1109"/>
      <c r="O250" s="1109"/>
      <c r="P250" s="1109"/>
      <c r="Q250" s="1109"/>
      <c r="R250" s="1109"/>
      <c r="S250" s="7" t="s">
        <v>220</v>
      </c>
      <c r="T250" s="7"/>
      <c r="U250" s="1110"/>
      <c r="V250" s="1110"/>
      <c r="W250" s="1110"/>
      <c r="X250" s="7" t="s">
        <v>96</v>
      </c>
      <c r="Z250" s="1109"/>
      <c r="AA250" s="1109"/>
      <c r="AB250" s="1109"/>
      <c r="AC250" s="1109"/>
      <c r="AD250" s="1109"/>
      <c r="AE250" s="1109"/>
      <c r="BA250" s="61"/>
    </row>
    <row r="251" spans="1:53" ht="12.75" customHeight="1">
      <c r="A251" s="29"/>
      <c r="B251" s="7"/>
      <c r="C251" s="7"/>
      <c r="D251" s="60" t="s">
        <v>97</v>
      </c>
      <c r="E251" s="7"/>
      <c r="F251" s="7"/>
      <c r="M251" s="1506"/>
      <c r="N251" s="1506"/>
      <c r="O251" s="1506"/>
      <c r="P251" s="1506"/>
      <c r="Q251" s="1506"/>
      <c r="R251" s="1506"/>
      <c r="S251" s="1506"/>
      <c r="T251" s="1506"/>
      <c r="U251" s="1506"/>
      <c r="V251" s="1506"/>
      <c r="W251" s="1506"/>
      <c r="X251" s="1506"/>
      <c r="Y251" s="1506"/>
      <c r="Z251" s="1506"/>
      <c r="AA251" s="1506"/>
      <c r="AB251" s="1506"/>
      <c r="AC251" s="1506"/>
      <c r="AD251" s="1506"/>
      <c r="AE251" s="150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7" t="s">
        <v>329</v>
      </c>
      <c r="N252" s="1127"/>
      <c r="O252" s="1127"/>
      <c r="P252" s="1127"/>
      <c r="Q252" s="1127"/>
      <c r="R252" s="1127"/>
      <c r="S252" s="1127"/>
      <c r="T252" s="1127"/>
      <c r="U252" s="404" t="s">
        <v>1004</v>
      </c>
      <c r="V252" s="335"/>
      <c r="W252" s="335"/>
      <c r="X252" s="335"/>
      <c r="Y252" s="335"/>
      <c r="Z252" s="335"/>
      <c r="AA252" s="1270"/>
      <c r="AB252" s="1270"/>
      <c r="AC252" s="1270"/>
      <c r="AD252" s="1270"/>
      <c r="AE252" s="1270"/>
      <c r="AF252" s="1270"/>
      <c r="AG252" s="1270"/>
      <c r="AH252" s="1270"/>
      <c r="AI252" s="1270"/>
      <c r="AJ252" s="1270"/>
      <c r="AK252" s="127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62"/>
      <c r="N254" s="1262"/>
      <c r="O254" s="1262"/>
      <c r="P254" s="1262"/>
      <c r="Q254" s="1262"/>
      <c r="R254" s="1262"/>
      <c r="S254" s="1262"/>
      <c r="T254" s="1262"/>
      <c r="U254" s="1262"/>
      <c r="V254" s="1262"/>
      <c r="W254" s="1262"/>
      <c r="X254" s="1262"/>
      <c r="Y254" s="1262"/>
      <c r="Z254" s="1262"/>
      <c r="AA254" s="1262"/>
      <c r="AB254" s="1262"/>
      <c r="AC254" s="1262"/>
      <c r="AD254" s="1262"/>
      <c r="AE254" s="1262"/>
      <c r="AF254" s="1262" t="s">
        <v>329</v>
      </c>
      <c r="AG254" s="1262"/>
      <c r="AH254" s="1262"/>
      <c r="AI254" s="1262"/>
      <c r="AJ254" s="1262"/>
      <c r="AK254" s="1262"/>
      <c r="AL254" s="58"/>
      <c r="BA254" s="61"/>
    </row>
    <row r="255" spans="1:53" ht="12.75">
      <c r="A255" s="23"/>
      <c r="B255" s="7"/>
      <c r="C255" s="7"/>
      <c r="D255" s="57" t="s">
        <v>92</v>
      </c>
      <c r="E255" s="57"/>
      <c r="F255" s="57"/>
      <c r="G255" s="57"/>
      <c r="H255" s="57"/>
      <c r="I255" s="57"/>
      <c r="J255" s="57"/>
      <c r="K255" s="57"/>
      <c r="L255" s="7"/>
      <c r="M255" s="1227"/>
      <c r="N255" s="1227"/>
      <c r="O255" s="1227"/>
      <c r="P255" s="1227"/>
      <c r="Q255" s="1227"/>
      <c r="R255" s="1227"/>
      <c r="S255" s="1227"/>
      <c r="T255" s="1227"/>
      <c r="U255" s="1227"/>
      <c r="V255" s="1227"/>
      <c r="W255" s="1227"/>
      <c r="X255" s="1227"/>
      <c r="Y255" s="1227"/>
      <c r="Z255" s="1227"/>
      <c r="AA255" s="1227"/>
      <c r="AB255" s="1227"/>
      <c r="AC255" s="1227"/>
      <c r="AD255" s="1227"/>
      <c r="AE255" s="1227"/>
      <c r="AF255" s="58" t="s">
        <v>1417</v>
      </c>
      <c r="AG255" s="743"/>
      <c r="AH255" s="743"/>
      <c r="AI255" s="743"/>
      <c r="AJ255" s="743"/>
      <c r="AK255" s="743"/>
      <c r="AL255" s="58"/>
      <c r="BA255" s="61"/>
    </row>
    <row r="256" spans="1:53" ht="12.75">
      <c r="A256" s="23"/>
      <c r="B256" s="7"/>
      <c r="C256" s="7"/>
      <c r="D256" s="57" t="s">
        <v>630</v>
      </c>
      <c r="E256" s="57"/>
      <c r="M256" s="1227"/>
      <c r="N256" s="1227"/>
      <c r="O256" s="1227"/>
      <c r="P256" s="1227"/>
      <c r="Q256" s="1227"/>
      <c r="R256" s="1227"/>
      <c r="S256" s="1227"/>
      <c r="T256" s="1227"/>
      <c r="V256" s="59" t="s">
        <v>93</v>
      </c>
      <c r="W256" s="1110"/>
      <c r="X256" s="1110"/>
      <c r="Y256" s="57" t="s">
        <v>633</v>
      </c>
      <c r="AC256" s="1227"/>
      <c r="AD256" s="1227"/>
      <c r="AE256" s="1227"/>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7"/>
      <c r="N257" s="1227"/>
      <c r="O257" s="1227"/>
      <c r="P257" s="1227"/>
      <c r="Q257" s="1227"/>
      <c r="R257" s="1227"/>
      <c r="S257" s="1227"/>
      <c r="T257" s="1227"/>
      <c r="U257" s="1227"/>
      <c r="V257" s="1227"/>
      <c r="W257" s="1227"/>
      <c r="X257" s="1227"/>
      <c r="Y257" s="1227"/>
      <c r="Z257" s="1227"/>
      <c r="AA257" s="1227"/>
      <c r="AB257" s="1227"/>
      <c r="AC257" s="1227"/>
      <c r="AD257" s="1227"/>
      <c r="AE257" s="1227"/>
      <c r="AF257" s="743"/>
      <c r="AG257" s="743"/>
      <c r="AH257" s="1599"/>
      <c r="AI257" s="1599"/>
      <c r="AJ257" s="1599"/>
      <c r="AK257" s="1599"/>
      <c r="AL257" s="58"/>
      <c r="BA257" s="61"/>
    </row>
    <row r="258" spans="1:53" ht="12.75">
      <c r="A258" s="23"/>
      <c r="B258" s="7"/>
      <c r="C258" s="7"/>
      <c r="D258" s="60" t="s">
        <v>95</v>
      </c>
      <c r="E258" s="7"/>
      <c r="F258" s="7"/>
      <c r="M258" s="1109"/>
      <c r="N258" s="1109"/>
      <c r="O258" s="1109"/>
      <c r="P258" s="1109"/>
      <c r="Q258" s="1109"/>
      <c r="R258" s="1109"/>
      <c r="S258" s="7" t="s">
        <v>220</v>
      </c>
      <c r="T258" s="7"/>
      <c r="U258" s="1110"/>
      <c r="V258" s="1110"/>
      <c r="W258" s="1110"/>
      <c r="X258" s="7" t="s">
        <v>96</v>
      </c>
      <c r="Z258" s="1109"/>
      <c r="AA258" s="1109"/>
      <c r="AB258" s="1109"/>
      <c r="AC258" s="1109"/>
      <c r="AD258" s="1109"/>
      <c r="AE258" s="1109"/>
      <c r="AL258" s="58"/>
      <c r="BA258" s="61"/>
    </row>
    <row r="259" spans="1:53" ht="12.75">
      <c r="A259" s="23"/>
      <c r="B259" s="7"/>
      <c r="C259" s="7"/>
      <c r="D259" s="60" t="s">
        <v>97</v>
      </c>
      <c r="E259" s="7"/>
      <c r="F259" s="7"/>
      <c r="M259" s="1506"/>
      <c r="N259" s="1506"/>
      <c r="O259" s="1506"/>
      <c r="P259" s="1506"/>
      <c r="Q259" s="1506"/>
      <c r="R259" s="1506"/>
      <c r="S259" s="1506"/>
      <c r="T259" s="1506"/>
      <c r="U259" s="1506"/>
      <c r="V259" s="1506"/>
      <c r="W259" s="1506"/>
      <c r="X259" s="1506"/>
      <c r="Y259" s="1506"/>
      <c r="Z259" s="1506"/>
      <c r="AA259" s="1515"/>
      <c r="AB259" s="1515"/>
      <c r="AC259" s="1515"/>
      <c r="AD259" s="1515"/>
      <c r="AE259" s="1515"/>
      <c r="AG259" s="7"/>
      <c r="AH259" s="7"/>
      <c r="AI259" s="7"/>
      <c r="AJ259" s="7"/>
      <c r="AK259" s="7"/>
      <c r="AL259" s="58"/>
      <c r="BA259" s="61"/>
    </row>
    <row r="260" spans="1:53" ht="12.75">
      <c r="A260" s="23"/>
      <c r="B260" s="7"/>
      <c r="C260" s="139"/>
      <c r="D260" s="60" t="s">
        <v>581</v>
      </c>
      <c r="E260" s="7"/>
      <c r="F260" s="7"/>
      <c r="G260" s="7"/>
      <c r="H260" s="7"/>
      <c r="I260" s="7"/>
      <c r="J260" s="7"/>
      <c r="K260" s="7"/>
      <c r="L260" s="7"/>
      <c r="M260" s="1127" t="s">
        <v>329</v>
      </c>
      <c r="N260" s="1127"/>
      <c r="O260" s="1127"/>
      <c r="P260" s="1127"/>
      <c r="Q260" s="1127"/>
      <c r="R260" s="1127"/>
      <c r="S260" s="1127"/>
      <c r="T260" s="1127"/>
      <c r="U260" s="404" t="s">
        <v>1004</v>
      </c>
      <c r="V260" s="335"/>
      <c r="W260" s="335"/>
      <c r="X260" s="335"/>
      <c r="Y260" s="335"/>
      <c r="Z260" s="335"/>
      <c r="AA260" s="1516"/>
      <c r="AB260" s="1516"/>
      <c r="AC260" s="1516"/>
      <c r="AD260" s="1516"/>
      <c r="AE260" s="1516"/>
      <c r="AF260" s="1516"/>
      <c r="AG260" s="1516"/>
      <c r="AH260" s="1516"/>
      <c r="AI260" s="1516"/>
      <c r="AJ260" s="1516"/>
      <c r="AK260" s="151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10" t="str">
        <f>BB239</f>
        <v>Nonprofit</v>
      </c>
      <c r="U262" s="1510"/>
      <c r="V262" s="1510"/>
      <c r="W262" s="1510"/>
      <c r="X262" s="151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7" t="s">
        <v>296</v>
      </c>
      <c r="E265" s="1227"/>
      <c r="F265" s="1227"/>
      <c r="G265" s="1227"/>
      <c r="H265" s="1227"/>
      <c r="J265" s="12" t="s">
        <v>295</v>
      </c>
      <c r="X265" s="1431"/>
      <c r="Y265" s="1431"/>
      <c r="Z265" s="1431"/>
      <c r="AA265" s="1431"/>
      <c r="AB265" s="1431"/>
      <c r="AC265" s="14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8" t="s">
        <v>1658</v>
      </c>
      <c r="M269" s="1262"/>
      <c r="N269" s="1262"/>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58"/>
      <c r="AL269" s="58"/>
      <c r="BA269" s="61"/>
    </row>
    <row r="270" spans="1:53" ht="12.75" customHeight="1">
      <c r="D270" s="57" t="s">
        <v>92</v>
      </c>
      <c r="E270" s="57"/>
      <c r="F270" s="57"/>
      <c r="G270" s="57"/>
      <c r="H270" s="57"/>
      <c r="I270" s="57"/>
      <c r="J270" s="57"/>
      <c r="K270" s="7"/>
      <c r="L270" s="1103" t="s">
        <v>1655</v>
      </c>
      <c r="M270" s="1227"/>
      <c r="N270" s="1227"/>
      <c r="O270" s="1227"/>
      <c r="P270" s="1227"/>
      <c r="Q270" s="1227"/>
      <c r="R270" s="1227"/>
      <c r="S270" s="1227"/>
      <c r="T270" s="1227"/>
      <c r="U270" s="1227"/>
      <c r="V270" s="1227"/>
      <c r="W270" s="1227"/>
      <c r="X270" s="1227"/>
      <c r="Y270" s="1227"/>
      <c r="Z270" s="1227"/>
      <c r="AA270" s="1227"/>
      <c r="AB270" s="1227"/>
      <c r="AC270" s="1227"/>
      <c r="AD270" s="1227"/>
      <c r="AK270" s="58"/>
      <c r="AL270" s="58"/>
      <c r="BA270" s="61"/>
    </row>
    <row r="271" spans="1:53" ht="12.75">
      <c r="D271" s="57" t="s">
        <v>630</v>
      </c>
      <c r="E271" s="57"/>
      <c r="L271" s="1103" t="s">
        <v>1656</v>
      </c>
      <c r="M271" s="1227"/>
      <c r="N271" s="1227"/>
      <c r="O271" s="1227"/>
      <c r="P271" s="1227"/>
      <c r="Q271" s="1227"/>
      <c r="R271" s="1227"/>
      <c r="S271" s="1227"/>
      <c r="U271" s="59" t="s">
        <v>93</v>
      </c>
      <c r="V271" s="1132" t="s">
        <v>1649</v>
      </c>
      <c r="W271" s="1110"/>
      <c r="X271" s="57" t="s">
        <v>633</v>
      </c>
      <c r="AB271" s="1227">
        <v>91606</v>
      </c>
      <c r="AC271" s="1227"/>
      <c r="AD271" s="1227"/>
      <c r="AK271" s="58"/>
      <c r="AL271" s="58"/>
      <c r="BA271" s="61"/>
    </row>
    <row r="272" spans="1:53" ht="12.75">
      <c r="D272" s="60" t="s">
        <v>94</v>
      </c>
      <c r="E272" s="7"/>
      <c r="F272" s="7"/>
      <c r="G272" s="7"/>
      <c r="H272" s="7"/>
      <c r="I272" s="7"/>
      <c r="J272" s="7"/>
      <c r="K272" s="29"/>
      <c r="L272" s="1103" t="s">
        <v>1643</v>
      </c>
      <c r="M272" s="1227"/>
      <c r="N272" s="1227"/>
      <c r="O272" s="1227"/>
      <c r="P272" s="1227"/>
      <c r="Q272" s="1227"/>
      <c r="R272" s="1227"/>
      <c r="S272" s="1227"/>
      <c r="T272" s="1227"/>
      <c r="U272" s="1227"/>
      <c r="V272" s="1227"/>
      <c r="W272" s="1227"/>
      <c r="X272" s="1227"/>
      <c r="Y272" s="1227"/>
      <c r="Z272" s="1227"/>
      <c r="AA272" s="1227"/>
      <c r="AB272" s="1227"/>
      <c r="AC272" s="1227"/>
      <c r="AD272" s="1227"/>
      <c r="AI272" s="7"/>
      <c r="AJ272" s="7"/>
      <c r="AK272" s="58"/>
      <c r="AL272" s="58"/>
      <c r="BA272" s="61"/>
    </row>
    <row r="273" spans="1:53" ht="12.75">
      <c r="D273" s="60" t="s">
        <v>95</v>
      </c>
      <c r="E273" s="7"/>
      <c r="F273" s="7"/>
      <c r="L273" s="1108" t="s">
        <v>1650</v>
      </c>
      <c r="M273" s="1109"/>
      <c r="N273" s="1109"/>
      <c r="O273" s="1109"/>
      <c r="P273" s="1109"/>
      <c r="Q273" s="1109"/>
      <c r="R273" s="7" t="s">
        <v>220</v>
      </c>
      <c r="S273" s="7"/>
      <c r="T273" s="1110">
        <v>105</v>
      </c>
      <c r="U273" s="1110"/>
      <c r="V273" s="1110"/>
      <c r="W273" s="7" t="s">
        <v>96</v>
      </c>
      <c r="Y273" s="1109"/>
      <c r="Z273" s="1109"/>
      <c r="AA273" s="1109"/>
      <c r="AB273" s="1109"/>
      <c r="AC273" s="1109"/>
      <c r="AD273" s="1109"/>
      <c r="BA273" s="61"/>
    </row>
    <row r="274" spans="1:53" ht="12.75">
      <c r="D274" s="60" t="s">
        <v>97</v>
      </c>
      <c r="E274" s="7"/>
      <c r="F274" s="7"/>
      <c r="L274" s="1506" t="s">
        <v>1659</v>
      </c>
      <c r="M274" s="1506"/>
      <c r="N274" s="1506"/>
      <c r="O274" s="1506"/>
      <c r="P274" s="1506"/>
      <c r="Q274" s="1506"/>
      <c r="R274" s="1506"/>
      <c r="S274" s="1506"/>
      <c r="T274" s="1506"/>
      <c r="U274" s="1506"/>
      <c r="V274" s="1506"/>
      <c r="W274" s="1506"/>
      <c r="X274" s="1506"/>
      <c r="Y274" s="1506"/>
      <c r="Z274" s="1506"/>
      <c r="AA274" s="1506"/>
      <c r="AB274" s="1506"/>
      <c r="AC274" s="1506"/>
      <c r="AD274" s="1506"/>
      <c r="AF274" s="7"/>
      <c r="AG274" s="7"/>
      <c r="AH274" s="7"/>
      <c r="AI274" s="7"/>
      <c r="AJ274" s="7"/>
      <c r="BA274" s="61"/>
    </row>
    <row r="275" spans="1:53" ht="12.75">
      <c r="D275" s="58" t="s">
        <v>673</v>
      </c>
      <c r="E275" s="58"/>
      <c r="F275" s="58"/>
      <c r="G275" s="58"/>
      <c r="H275" s="58"/>
      <c r="I275" s="58"/>
      <c r="L275" s="1132" t="s">
        <v>1644</v>
      </c>
      <c r="M275" s="1132"/>
      <c r="N275" s="1132"/>
      <c r="O275" s="1132"/>
      <c r="P275" s="1132"/>
      <c r="Q275" s="1132"/>
      <c r="R275" s="1132"/>
      <c r="S275" s="1132"/>
      <c r="T275" s="1132"/>
      <c r="U275" s="1132"/>
      <c r="V275" s="1132"/>
      <c r="W275" s="1132"/>
      <c r="X275" s="1132"/>
      <c r="Y275" s="1132"/>
      <c r="Z275" s="1132"/>
      <c r="AA275" s="1132"/>
      <c r="AB275" s="1132"/>
      <c r="AC275" s="1132"/>
      <c r="AD275" s="1132"/>
      <c r="AK275" s="58"/>
      <c r="AL275" s="58"/>
      <c r="BA275" s="61"/>
    </row>
    <row r="276" spans="1:53" ht="12.75">
      <c r="L276" s="35" t="s">
        <v>674</v>
      </c>
      <c r="BA276" s="61"/>
    </row>
    <row r="277" spans="1:53" ht="12.75">
      <c r="A277" s="1267" t="s">
        <v>587</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5" t="s">
        <v>1658</v>
      </c>
      <c r="I282" s="1105"/>
      <c r="J282" s="1105"/>
      <c r="K282" s="1105"/>
      <c r="L282" s="1105"/>
      <c r="M282" s="1105"/>
      <c r="N282" s="1105"/>
      <c r="O282" s="1105"/>
      <c r="P282" s="1105"/>
      <c r="Q282" s="1105"/>
      <c r="R282" s="1105"/>
      <c r="T282" s="58" t="s">
        <v>615</v>
      </c>
      <c r="V282" s="58"/>
      <c r="W282" s="58"/>
      <c r="X282" s="58"/>
      <c r="Y282" s="58"/>
      <c r="AA282" s="1105" t="s">
        <v>1681</v>
      </c>
      <c r="AB282" s="1105"/>
      <c r="AC282" s="1105"/>
      <c r="AD282" s="1105"/>
      <c r="AE282" s="1105"/>
      <c r="AF282" s="1105"/>
      <c r="AG282" s="1105"/>
      <c r="AH282" s="1105"/>
      <c r="AI282" s="1105"/>
      <c r="AJ282" s="1105"/>
      <c r="AK282" s="1105"/>
      <c r="BA282" s="61"/>
    </row>
    <row r="283" spans="1:53" ht="12.75" customHeight="1">
      <c r="B283" s="58" t="s">
        <v>517</v>
      </c>
      <c r="C283" s="58"/>
      <c r="D283" s="58"/>
      <c r="E283" s="58"/>
      <c r="F283" s="58"/>
      <c r="H283" s="1127" t="str">
        <f>L270</f>
        <v>11739 Victory Blvd</v>
      </c>
      <c r="I283" s="1127"/>
      <c r="J283" s="1127"/>
      <c r="K283" s="1127"/>
      <c r="L283" s="1127"/>
      <c r="M283" s="1127"/>
      <c r="N283" s="1127"/>
      <c r="O283" s="1127"/>
      <c r="P283" s="1127"/>
      <c r="Q283" s="1127"/>
      <c r="R283" s="1127"/>
      <c r="T283" s="58" t="s">
        <v>517</v>
      </c>
      <c r="V283" s="58"/>
      <c r="W283" s="58"/>
      <c r="X283" s="58"/>
      <c r="Y283" s="58"/>
      <c r="AA283" s="1127" t="s">
        <v>1682</v>
      </c>
      <c r="AB283" s="1127"/>
      <c r="AC283" s="1127"/>
      <c r="AD283" s="1127"/>
      <c r="AE283" s="1127"/>
      <c r="AF283" s="1127"/>
      <c r="AG283" s="1127"/>
      <c r="AH283" s="1127"/>
      <c r="AI283" s="1127"/>
      <c r="AJ283" s="1127"/>
      <c r="AK283" s="1127"/>
      <c r="BA283" s="61"/>
    </row>
    <row r="284" spans="1:53" ht="12.75" customHeight="1">
      <c r="B284" s="58" t="s">
        <v>518</v>
      </c>
      <c r="C284" s="58"/>
      <c r="D284" s="58"/>
      <c r="E284" s="58"/>
      <c r="F284" s="58"/>
      <c r="H284" s="1127" t="s">
        <v>1660</v>
      </c>
      <c r="I284" s="1127"/>
      <c r="J284" s="1127"/>
      <c r="K284" s="1127"/>
      <c r="L284" s="1127"/>
      <c r="M284" s="1127"/>
      <c r="N284" s="1127"/>
      <c r="O284" s="1127"/>
      <c r="P284" s="1127"/>
      <c r="Q284" s="1127"/>
      <c r="R284" s="1127"/>
      <c r="T284" s="58" t="s">
        <v>81</v>
      </c>
      <c r="V284" s="58"/>
      <c r="W284" s="58"/>
      <c r="X284" s="58"/>
      <c r="Y284" s="58"/>
      <c r="AA284" s="1127" t="s">
        <v>1683</v>
      </c>
      <c r="AB284" s="1127"/>
      <c r="AC284" s="1127"/>
      <c r="AD284" s="1127"/>
      <c r="AE284" s="1127"/>
      <c r="AF284" s="1127"/>
      <c r="AG284" s="1127"/>
      <c r="AH284" s="1127"/>
      <c r="AI284" s="1127"/>
      <c r="AJ284" s="1127"/>
      <c r="AK284" s="1127"/>
      <c r="BA284" s="61"/>
    </row>
    <row r="285" spans="1:53" ht="12.75" customHeight="1">
      <c r="B285" s="58" t="s">
        <v>94</v>
      </c>
      <c r="C285" s="58"/>
      <c r="D285" s="58"/>
      <c r="E285" s="58"/>
      <c r="F285" s="58"/>
      <c r="H285" s="1127" t="str">
        <f>L272</f>
        <v>Audrey Peterson</v>
      </c>
      <c r="I285" s="1127"/>
      <c r="J285" s="1127"/>
      <c r="K285" s="1127"/>
      <c r="L285" s="1127"/>
      <c r="M285" s="1127"/>
      <c r="N285" s="1127"/>
      <c r="O285" s="1127"/>
      <c r="P285" s="1127"/>
      <c r="Q285" s="1127"/>
      <c r="R285" s="1127"/>
      <c r="T285" s="58" t="s">
        <v>94</v>
      </c>
      <c r="V285" s="58"/>
      <c r="W285" s="58"/>
      <c r="X285" s="58"/>
      <c r="Y285" s="58"/>
      <c r="AA285" s="1132" t="s">
        <v>1716</v>
      </c>
      <c r="AB285" s="1127"/>
      <c r="AC285" s="1127"/>
      <c r="AD285" s="1127"/>
      <c r="AE285" s="1127"/>
      <c r="AF285" s="1127"/>
      <c r="AG285" s="1127"/>
      <c r="AH285" s="1127"/>
      <c r="AI285" s="1127"/>
      <c r="AJ285" s="1127"/>
      <c r="AK285" s="1127"/>
      <c r="BA285" s="61"/>
    </row>
    <row r="286" spans="1:53" ht="12.75" customHeight="1">
      <c r="B286" s="58" t="s">
        <v>95</v>
      </c>
      <c r="C286" s="58"/>
      <c r="D286" s="58"/>
      <c r="E286" s="58"/>
      <c r="F286" s="58"/>
      <c r="G286" s="58"/>
      <c r="H286" s="1129" t="str">
        <f>L273</f>
        <v>213-316-0108</v>
      </c>
      <c r="I286" s="1129"/>
      <c r="J286" s="1129"/>
      <c r="K286" s="1129"/>
      <c r="L286" s="1129"/>
      <c r="M286" s="1129"/>
      <c r="N286" s="7" t="s">
        <v>220</v>
      </c>
      <c r="O286" s="7"/>
      <c r="P286" s="1227">
        <f>T273</f>
        <v>105</v>
      </c>
      <c r="Q286" s="1227"/>
      <c r="R286" s="1227"/>
      <c r="S286" s="58"/>
      <c r="T286" s="58" t="s">
        <v>95</v>
      </c>
      <c r="V286" s="58"/>
      <c r="W286" s="58"/>
      <c r="X286" s="58"/>
      <c r="Y286" s="58"/>
      <c r="AA286" s="1128" t="s">
        <v>1717</v>
      </c>
      <c r="AB286" s="1129"/>
      <c r="AC286" s="1129"/>
      <c r="AD286" s="1129"/>
      <c r="AE286" s="1129"/>
      <c r="AF286" s="1129"/>
      <c r="AG286" s="7" t="s">
        <v>220</v>
      </c>
      <c r="AH286" s="7"/>
      <c r="AI286" s="1227"/>
      <c r="AJ286" s="1227"/>
      <c r="AK286" s="1227"/>
      <c r="BA286" s="61"/>
    </row>
    <row r="287" spans="1:53" ht="12.75">
      <c r="B287" s="58" t="s">
        <v>96</v>
      </c>
      <c r="C287" s="58"/>
      <c r="D287" s="58"/>
      <c r="E287" s="58"/>
      <c r="F287" s="58"/>
      <c r="G287" s="58"/>
      <c r="H287" s="1109"/>
      <c r="I287" s="1109"/>
      <c r="J287" s="1109"/>
      <c r="K287" s="1109"/>
      <c r="L287" s="1109"/>
      <c r="M287" s="1109"/>
      <c r="N287" s="60"/>
      <c r="O287" s="60"/>
      <c r="P287" s="62"/>
      <c r="Q287" s="62"/>
      <c r="R287" s="62"/>
      <c r="S287" s="58"/>
      <c r="T287" s="58" t="s">
        <v>96</v>
      </c>
      <c r="V287" s="58"/>
      <c r="W287" s="58"/>
      <c r="X287" s="58"/>
      <c r="Y287" s="58"/>
      <c r="AA287" s="1109"/>
      <c r="AB287" s="1109"/>
      <c r="AC287" s="1109"/>
      <c r="AD287" s="1109"/>
      <c r="AE287" s="1109"/>
      <c r="AF287" s="1109"/>
      <c r="AG287" s="60"/>
      <c r="AH287" s="60"/>
      <c r="AI287" s="62"/>
      <c r="AJ287" s="62"/>
      <c r="AK287" s="62"/>
      <c r="BA287" s="61"/>
    </row>
    <row r="288" spans="1:53" ht="12.75">
      <c r="B288" s="58" t="s">
        <v>82</v>
      </c>
      <c r="C288" s="58"/>
      <c r="D288" s="58"/>
      <c r="E288" s="58"/>
      <c r="F288" s="58"/>
      <c r="G288" s="58"/>
      <c r="H288" s="1127" t="str">
        <f>L274</f>
        <v>apeterson@cbhousing.org</v>
      </c>
      <c r="I288" s="1127"/>
      <c r="J288" s="1127"/>
      <c r="K288" s="1127"/>
      <c r="L288" s="1127"/>
      <c r="M288" s="1127"/>
      <c r="N288" s="1105"/>
      <c r="O288" s="1105"/>
      <c r="P288" s="1105"/>
      <c r="Q288" s="1105"/>
      <c r="R288" s="1105"/>
      <c r="S288" s="58"/>
      <c r="T288" s="58" t="s">
        <v>82</v>
      </c>
      <c r="V288" s="58"/>
      <c r="W288" s="58"/>
      <c r="X288" s="58"/>
      <c r="Y288" s="58"/>
      <c r="AA288" s="1132" t="s">
        <v>1718</v>
      </c>
      <c r="AB288" s="1127"/>
      <c r="AC288" s="1127"/>
      <c r="AD288" s="1127"/>
      <c r="AE288" s="1127"/>
      <c r="AF288" s="1127"/>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5" t="s">
        <v>1662</v>
      </c>
      <c r="I290" s="1105"/>
      <c r="J290" s="1105"/>
      <c r="K290" s="1105"/>
      <c r="L290" s="1105"/>
      <c r="M290" s="1105"/>
      <c r="N290" s="1105"/>
      <c r="O290" s="1105"/>
      <c r="P290" s="1105"/>
      <c r="Q290" s="1105"/>
      <c r="R290" s="1105"/>
      <c r="T290" s="58" t="s">
        <v>388</v>
      </c>
      <c r="V290" s="58"/>
      <c r="W290" s="58"/>
      <c r="X290" s="58"/>
      <c r="Y290" s="58"/>
      <c r="AA290" s="1105" t="s">
        <v>1661</v>
      </c>
      <c r="AB290" s="1105"/>
      <c r="AC290" s="1105"/>
      <c r="AD290" s="1105"/>
      <c r="AE290" s="1105"/>
      <c r="AF290" s="1105"/>
      <c r="AG290" s="1105"/>
      <c r="AH290" s="1105"/>
      <c r="AI290" s="1105"/>
      <c r="AJ290" s="1105"/>
      <c r="AK290" s="1105"/>
      <c r="BA290" s="61"/>
    </row>
    <row r="291" spans="2:53" ht="12.75">
      <c r="B291" s="58" t="s">
        <v>517</v>
      </c>
      <c r="C291" s="58"/>
      <c r="D291" s="58"/>
      <c r="E291" s="58"/>
      <c r="F291" s="58"/>
      <c r="H291" s="1127" t="s">
        <v>1663</v>
      </c>
      <c r="I291" s="1127"/>
      <c r="J291" s="1127"/>
      <c r="K291" s="1127"/>
      <c r="L291" s="1127"/>
      <c r="M291" s="1127"/>
      <c r="N291" s="1127"/>
      <c r="O291" s="1127"/>
      <c r="P291" s="1127"/>
      <c r="Q291" s="1127"/>
      <c r="R291" s="1127"/>
      <c r="T291" s="58" t="s">
        <v>517</v>
      </c>
      <c r="V291" s="58"/>
      <c r="W291" s="58"/>
      <c r="X291" s="58"/>
      <c r="Y291" s="58"/>
      <c r="AA291" s="1127"/>
      <c r="AB291" s="1127"/>
      <c r="AC291" s="1127"/>
      <c r="AD291" s="1127"/>
      <c r="AE291" s="1127"/>
      <c r="AF291" s="1127"/>
      <c r="AG291" s="1127"/>
      <c r="AH291" s="1127"/>
      <c r="AI291" s="1127"/>
      <c r="AJ291" s="1127"/>
      <c r="AK291" s="1127"/>
      <c r="BA291" s="61"/>
    </row>
    <row r="292" spans="2:53" ht="12.75">
      <c r="B292" s="58" t="s">
        <v>518</v>
      </c>
      <c r="C292" s="58"/>
      <c r="D292" s="58"/>
      <c r="E292" s="58"/>
      <c r="F292" s="58"/>
      <c r="H292" s="1127" t="s">
        <v>1664</v>
      </c>
      <c r="I292" s="1127"/>
      <c r="J292" s="1127"/>
      <c r="K292" s="1127"/>
      <c r="L292" s="1127"/>
      <c r="M292" s="1127"/>
      <c r="N292" s="1127"/>
      <c r="O292" s="1127"/>
      <c r="P292" s="1127"/>
      <c r="Q292" s="1127"/>
      <c r="R292" s="1127"/>
      <c r="T292" s="58" t="s">
        <v>81</v>
      </c>
      <c r="V292" s="58"/>
      <c r="W292" s="58"/>
      <c r="X292" s="58"/>
      <c r="Y292" s="58"/>
      <c r="AA292" s="1127"/>
      <c r="AB292" s="1127"/>
      <c r="AC292" s="1127"/>
      <c r="AD292" s="1127"/>
      <c r="AE292" s="1127"/>
      <c r="AF292" s="1127"/>
      <c r="AG292" s="1127"/>
      <c r="AH292" s="1127"/>
      <c r="AI292" s="1127"/>
      <c r="AJ292" s="1127"/>
      <c r="AK292" s="1127"/>
      <c r="BA292" s="61"/>
    </row>
    <row r="293" spans="2:53" ht="12.75" customHeight="1">
      <c r="B293" s="58" t="s">
        <v>94</v>
      </c>
      <c r="C293" s="58"/>
      <c r="D293" s="58"/>
      <c r="E293" s="58"/>
      <c r="F293" s="58"/>
      <c r="H293" s="1127" t="s">
        <v>1665</v>
      </c>
      <c r="I293" s="1127"/>
      <c r="J293" s="1127"/>
      <c r="K293" s="1127"/>
      <c r="L293" s="1127"/>
      <c r="M293" s="1127"/>
      <c r="N293" s="1127"/>
      <c r="O293" s="1127"/>
      <c r="P293" s="1127"/>
      <c r="Q293" s="1127"/>
      <c r="R293" s="1127"/>
      <c r="T293" s="58" t="s">
        <v>94</v>
      </c>
      <c r="V293" s="58"/>
      <c r="W293" s="58"/>
      <c r="X293" s="58"/>
      <c r="Y293" s="58"/>
      <c r="AA293" s="1127"/>
      <c r="AB293" s="1127"/>
      <c r="AC293" s="1127"/>
      <c r="AD293" s="1127"/>
      <c r="AE293" s="1127"/>
      <c r="AF293" s="1127"/>
      <c r="AG293" s="1127"/>
      <c r="AH293" s="1127"/>
      <c r="AI293" s="1127"/>
      <c r="AJ293" s="1127"/>
      <c r="AK293" s="1127"/>
      <c r="BA293" s="61"/>
    </row>
    <row r="294" spans="2:53" ht="12.75" customHeight="1">
      <c r="B294" s="58" t="s">
        <v>95</v>
      </c>
      <c r="C294" s="58"/>
      <c r="D294" s="58"/>
      <c r="E294" s="58"/>
      <c r="F294" s="58"/>
      <c r="G294" s="58"/>
      <c r="H294" s="1128" t="s">
        <v>1666</v>
      </c>
      <c r="I294" s="1129"/>
      <c r="J294" s="1129"/>
      <c r="K294" s="1129"/>
      <c r="L294" s="1129"/>
      <c r="M294" s="1129"/>
      <c r="N294" s="7" t="s">
        <v>220</v>
      </c>
      <c r="O294" s="7"/>
      <c r="P294" s="1227">
        <v>4</v>
      </c>
      <c r="Q294" s="1227"/>
      <c r="R294" s="1227"/>
      <c r="S294" s="58"/>
      <c r="T294" s="58" t="s">
        <v>95</v>
      </c>
      <c r="V294" s="58"/>
      <c r="W294" s="58"/>
      <c r="X294" s="58"/>
      <c r="Y294" s="58"/>
      <c r="AA294" s="1129"/>
      <c r="AB294" s="1129"/>
      <c r="AC294" s="1129"/>
      <c r="AD294" s="1129"/>
      <c r="AE294" s="1129"/>
      <c r="AF294" s="1129"/>
      <c r="AG294" s="7" t="s">
        <v>220</v>
      </c>
      <c r="AH294" s="7"/>
      <c r="AI294" s="1227"/>
      <c r="AJ294" s="1227"/>
      <c r="AK294" s="1227"/>
      <c r="BA294" s="61"/>
    </row>
    <row r="295" spans="2:53" ht="12.75" customHeight="1">
      <c r="B295" s="58" t="s">
        <v>96</v>
      </c>
      <c r="C295" s="58"/>
      <c r="D295" s="58"/>
      <c r="E295" s="58"/>
      <c r="F295" s="58"/>
      <c r="G295" s="58"/>
      <c r="H295" s="1109"/>
      <c r="I295" s="1109"/>
      <c r="J295" s="1109"/>
      <c r="K295" s="1109"/>
      <c r="L295" s="1109"/>
      <c r="M295" s="1109"/>
      <c r="N295" s="60"/>
      <c r="O295" s="60"/>
      <c r="P295" s="62"/>
      <c r="Q295" s="62"/>
      <c r="R295" s="62"/>
      <c r="S295" s="58"/>
      <c r="T295" s="58" t="s">
        <v>96</v>
      </c>
      <c r="V295" s="58"/>
      <c r="W295" s="58"/>
      <c r="X295" s="58"/>
      <c r="Y295" s="58"/>
      <c r="AA295" s="1109"/>
      <c r="AB295" s="1109"/>
      <c r="AC295" s="1109"/>
      <c r="AD295" s="1109"/>
      <c r="AE295" s="1109"/>
      <c r="AF295" s="1109"/>
      <c r="AG295" s="60"/>
      <c r="AH295" s="60"/>
      <c r="AI295" s="62"/>
      <c r="AJ295" s="62"/>
      <c r="AK295" s="62"/>
      <c r="BA295" s="61"/>
    </row>
    <row r="296" spans="2:53" ht="12.75" customHeight="1">
      <c r="B296" s="58" t="s">
        <v>82</v>
      </c>
      <c r="C296" s="58"/>
      <c r="D296" s="58"/>
      <c r="E296" s="58"/>
      <c r="F296" s="58"/>
      <c r="G296" s="58"/>
      <c r="H296" s="1127" t="s">
        <v>1667</v>
      </c>
      <c r="I296" s="1127"/>
      <c r="J296" s="1127"/>
      <c r="K296" s="1127"/>
      <c r="L296" s="1127"/>
      <c r="M296" s="1127"/>
      <c r="N296" s="1105"/>
      <c r="O296" s="1105"/>
      <c r="P296" s="1105"/>
      <c r="Q296" s="1105"/>
      <c r="R296" s="1105"/>
      <c r="S296" s="58"/>
      <c r="T296" s="58" t="s">
        <v>82</v>
      </c>
      <c r="V296" s="58"/>
      <c r="W296" s="58"/>
      <c r="X296" s="58"/>
      <c r="Y296" s="58"/>
      <c r="AA296" s="1127"/>
      <c r="AB296" s="1127"/>
      <c r="AC296" s="1127"/>
      <c r="AD296" s="1127"/>
      <c r="AE296" s="1127"/>
      <c r="AF296" s="1127"/>
      <c r="AG296" s="1105"/>
      <c r="AH296" s="1105"/>
      <c r="AI296" s="1105"/>
      <c r="AJ296" s="1105"/>
      <c r="AK296" s="1105"/>
      <c r="BA296" s="61"/>
    </row>
    <row r="297" spans="2:53" ht="12.75">
      <c r="BA297" s="61"/>
    </row>
    <row r="298" spans="2:53" ht="12.75">
      <c r="B298" s="58" t="s">
        <v>83</v>
      </c>
      <c r="C298" s="58"/>
      <c r="D298" s="58"/>
      <c r="E298" s="58"/>
      <c r="F298" s="58"/>
      <c r="H298" s="1105" t="s">
        <v>1662</v>
      </c>
      <c r="I298" s="1105"/>
      <c r="J298" s="1105"/>
      <c r="K298" s="1105"/>
      <c r="L298" s="1105"/>
      <c r="M298" s="1105"/>
      <c r="N298" s="1105"/>
      <c r="O298" s="1105"/>
      <c r="P298" s="1105"/>
      <c r="Q298" s="1105"/>
      <c r="R298" s="1105"/>
      <c r="T298" s="7" t="s">
        <v>972</v>
      </c>
      <c r="V298" s="58"/>
      <c r="W298" s="58"/>
      <c r="X298" s="58"/>
      <c r="Y298" s="58"/>
      <c r="AA298" s="1105" t="s">
        <v>1668</v>
      </c>
      <c r="AB298" s="1105"/>
      <c r="AC298" s="1105"/>
      <c r="AD298" s="1105"/>
      <c r="AE298" s="1105"/>
      <c r="AF298" s="1105"/>
      <c r="AG298" s="1105"/>
      <c r="AH298" s="1105"/>
      <c r="AI298" s="1105"/>
      <c r="AJ298" s="1105"/>
      <c r="AK298" s="1105"/>
      <c r="BA298" s="61"/>
    </row>
    <row r="299" spans="2:53" ht="12.75">
      <c r="B299" s="58" t="s">
        <v>517</v>
      </c>
      <c r="C299" s="58"/>
      <c r="D299" s="58"/>
      <c r="E299" s="58"/>
      <c r="F299" s="58"/>
      <c r="H299" s="1127" t="s">
        <v>1663</v>
      </c>
      <c r="I299" s="1127"/>
      <c r="J299" s="1127"/>
      <c r="K299" s="1127"/>
      <c r="L299" s="1127"/>
      <c r="M299" s="1127"/>
      <c r="N299" s="1127"/>
      <c r="O299" s="1127"/>
      <c r="P299" s="1127"/>
      <c r="Q299" s="1127"/>
      <c r="R299" s="1127"/>
      <c r="T299" s="58" t="s">
        <v>517</v>
      </c>
      <c r="V299" s="58"/>
      <c r="W299" s="58"/>
      <c r="X299" s="58"/>
      <c r="Y299" s="58"/>
      <c r="AA299" s="1127" t="s">
        <v>1669</v>
      </c>
      <c r="AB299" s="1127"/>
      <c r="AC299" s="1127"/>
      <c r="AD299" s="1127"/>
      <c r="AE299" s="1127"/>
      <c r="AF299" s="1127"/>
      <c r="AG299" s="1127"/>
      <c r="AH299" s="1127"/>
      <c r="AI299" s="1127"/>
      <c r="AJ299" s="1127"/>
      <c r="AK299" s="1127"/>
      <c r="BA299" s="61"/>
    </row>
    <row r="300" spans="2:53" ht="12.75">
      <c r="B300" s="58" t="s">
        <v>518</v>
      </c>
      <c r="C300" s="58"/>
      <c r="D300" s="58"/>
      <c r="E300" s="58"/>
      <c r="F300" s="58"/>
      <c r="H300" s="1127" t="s">
        <v>1664</v>
      </c>
      <c r="I300" s="1127"/>
      <c r="J300" s="1127"/>
      <c r="K300" s="1127"/>
      <c r="L300" s="1127"/>
      <c r="M300" s="1127"/>
      <c r="N300" s="1127"/>
      <c r="O300" s="1127"/>
      <c r="P300" s="1127"/>
      <c r="Q300" s="1127"/>
      <c r="R300" s="1127"/>
      <c r="T300" s="58" t="s">
        <v>81</v>
      </c>
      <c r="V300" s="58"/>
      <c r="W300" s="58"/>
      <c r="X300" s="58"/>
      <c r="Y300" s="58"/>
      <c r="AA300" s="1127" t="s">
        <v>1670</v>
      </c>
      <c r="AB300" s="1127"/>
      <c r="AC300" s="1127"/>
      <c r="AD300" s="1127"/>
      <c r="AE300" s="1127"/>
      <c r="AF300" s="1127"/>
      <c r="AG300" s="1127"/>
      <c r="AH300" s="1127"/>
      <c r="AI300" s="1127"/>
      <c r="AJ300" s="1127"/>
      <c r="AK300" s="1127"/>
      <c r="BA300" s="61"/>
    </row>
    <row r="301" spans="2:53" ht="12.75">
      <c r="B301" s="58" t="s">
        <v>94</v>
      </c>
      <c r="C301" s="58"/>
      <c r="D301" s="58"/>
      <c r="E301" s="58"/>
      <c r="F301" s="58"/>
      <c r="H301" s="1127" t="s">
        <v>1665</v>
      </c>
      <c r="I301" s="1127"/>
      <c r="J301" s="1127"/>
      <c r="K301" s="1127"/>
      <c r="L301" s="1127"/>
      <c r="M301" s="1127"/>
      <c r="N301" s="1127"/>
      <c r="O301" s="1127"/>
      <c r="P301" s="1127"/>
      <c r="Q301" s="1127"/>
      <c r="R301" s="1127"/>
      <c r="T301" s="58" t="s">
        <v>94</v>
      </c>
      <c r="V301" s="58"/>
      <c r="W301" s="58"/>
      <c r="X301" s="58"/>
      <c r="Y301" s="58"/>
      <c r="AA301" s="1127" t="s">
        <v>1671</v>
      </c>
      <c r="AB301" s="1127"/>
      <c r="AC301" s="1127"/>
      <c r="AD301" s="1127"/>
      <c r="AE301" s="1127"/>
      <c r="AF301" s="1127"/>
      <c r="AG301" s="1127"/>
      <c r="AH301" s="1127"/>
      <c r="AI301" s="1127"/>
      <c r="AJ301" s="1127"/>
      <c r="AK301" s="1127"/>
      <c r="BA301" s="61"/>
    </row>
    <row r="302" spans="2:53" ht="12.75">
      <c r="B302" s="58" t="s">
        <v>95</v>
      </c>
      <c r="C302" s="58"/>
      <c r="D302" s="58"/>
      <c r="E302" s="58"/>
      <c r="F302" s="58"/>
      <c r="G302" s="58"/>
      <c r="H302" s="1128" t="s">
        <v>1666</v>
      </c>
      <c r="I302" s="1129"/>
      <c r="J302" s="1129"/>
      <c r="K302" s="1129"/>
      <c r="L302" s="1129"/>
      <c r="M302" s="1129"/>
      <c r="N302" s="7" t="s">
        <v>220</v>
      </c>
      <c r="O302" s="7"/>
      <c r="P302" s="1227">
        <v>4</v>
      </c>
      <c r="Q302" s="1227"/>
      <c r="R302" s="1227"/>
      <c r="S302" s="58"/>
      <c r="T302" s="58" t="s">
        <v>95</v>
      </c>
      <c r="V302" s="58"/>
      <c r="W302" s="58"/>
      <c r="X302" s="58"/>
      <c r="Y302" s="58"/>
      <c r="AA302" s="1128" t="s">
        <v>1672</v>
      </c>
      <c r="AB302" s="1129"/>
      <c r="AC302" s="1129"/>
      <c r="AD302" s="1129"/>
      <c r="AE302" s="1129"/>
      <c r="AF302" s="1129"/>
      <c r="AG302" s="7" t="s">
        <v>220</v>
      </c>
      <c r="AH302" s="7"/>
      <c r="AI302" s="1227"/>
      <c r="AJ302" s="1227"/>
      <c r="AK302" s="1227"/>
      <c r="BA302" s="61"/>
    </row>
    <row r="303" spans="2:53" ht="12.75">
      <c r="B303" s="58" t="s">
        <v>96</v>
      </c>
      <c r="C303" s="58"/>
      <c r="D303" s="58"/>
      <c r="E303" s="58"/>
      <c r="F303" s="58"/>
      <c r="G303" s="58"/>
      <c r="H303" s="1109"/>
      <c r="I303" s="1109"/>
      <c r="J303" s="1109"/>
      <c r="K303" s="1109"/>
      <c r="L303" s="1109"/>
      <c r="M303" s="1109"/>
      <c r="N303" s="60"/>
      <c r="O303" s="60"/>
      <c r="P303" s="62"/>
      <c r="Q303" s="62"/>
      <c r="R303" s="62"/>
      <c r="S303" s="58"/>
      <c r="T303" s="58" t="s">
        <v>96</v>
      </c>
      <c r="V303" s="58"/>
      <c r="W303" s="58"/>
      <c r="X303" s="58"/>
      <c r="Y303" s="58"/>
      <c r="AA303" s="1109"/>
      <c r="AB303" s="1109"/>
      <c r="AC303" s="1109"/>
      <c r="AD303" s="1109"/>
      <c r="AE303" s="1109"/>
      <c r="AF303" s="1109"/>
      <c r="AG303" s="60"/>
      <c r="AH303" s="60"/>
      <c r="AI303" s="62"/>
      <c r="AJ303" s="62"/>
      <c r="AK303" s="62"/>
      <c r="BA303" s="61"/>
    </row>
    <row r="304" spans="2:53" ht="12.75">
      <c r="B304" s="58" t="s">
        <v>82</v>
      </c>
      <c r="C304" s="58"/>
      <c r="D304" s="58"/>
      <c r="E304" s="58"/>
      <c r="F304" s="58"/>
      <c r="G304" s="58"/>
      <c r="H304" s="1127" t="s">
        <v>1667</v>
      </c>
      <c r="I304" s="1127"/>
      <c r="J304" s="1127"/>
      <c r="K304" s="1127"/>
      <c r="L304" s="1127"/>
      <c r="M304" s="1127"/>
      <c r="N304" s="1105"/>
      <c r="O304" s="1105"/>
      <c r="P304" s="1105"/>
      <c r="Q304" s="1105"/>
      <c r="R304" s="1105"/>
      <c r="S304" s="58"/>
      <c r="T304" s="58" t="s">
        <v>82</v>
      </c>
      <c r="V304" s="58"/>
      <c r="W304" s="58"/>
      <c r="X304" s="58"/>
      <c r="Y304" s="58"/>
      <c r="AA304" s="1127" t="s">
        <v>1673</v>
      </c>
      <c r="AB304" s="1127"/>
      <c r="AC304" s="1127"/>
      <c r="AD304" s="1127"/>
      <c r="AE304" s="1127"/>
      <c r="AF304" s="1127"/>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5" t="s">
        <v>1674</v>
      </c>
      <c r="I306" s="1105"/>
      <c r="J306" s="1105"/>
      <c r="K306" s="1105"/>
      <c r="L306" s="1105"/>
      <c r="M306" s="1105"/>
      <c r="N306" s="1105"/>
      <c r="O306" s="1105"/>
      <c r="P306" s="1105"/>
      <c r="Q306" s="1105"/>
      <c r="R306" s="1105"/>
      <c r="S306" s="58"/>
      <c r="T306" s="58" t="s">
        <v>389</v>
      </c>
      <c r="V306" s="58"/>
      <c r="W306" s="58"/>
      <c r="X306" s="58"/>
      <c r="Y306" s="58"/>
      <c r="AA306" s="1105"/>
      <c r="AB306" s="1105"/>
      <c r="AC306" s="1105"/>
      <c r="AD306" s="1105"/>
      <c r="AE306" s="1105"/>
      <c r="AF306" s="1105"/>
      <c r="AG306" s="1105"/>
      <c r="AH306" s="1105"/>
      <c r="AI306" s="1105"/>
      <c r="AJ306" s="1105"/>
      <c r="AK306" s="1105"/>
      <c r="BA306" s="61"/>
    </row>
    <row r="307" spans="1:53" ht="12.75">
      <c r="B307" s="58" t="s">
        <v>517</v>
      </c>
      <c r="C307" s="58"/>
      <c r="D307" s="58"/>
      <c r="E307" s="58"/>
      <c r="F307" s="58"/>
      <c r="H307" s="1127" t="s">
        <v>1675</v>
      </c>
      <c r="I307" s="1127"/>
      <c r="J307" s="1127"/>
      <c r="K307" s="1127"/>
      <c r="L307" s="1127"/>
      <c r="M307" s="1127"/>
      <c r="N307" s="1127"/>
      <c r="O307" s="1127"/>
      <c r="P307" s="1127"/>
      <c r="Q307" s="1127"/>
      <c r="R307" s="1127"/>
      <c r="S307" s="58"/>
      <c r="T307" s="58" t="s">
        <v>517</v>
      </c>
      <c r="V307" s="58"/>
      <c r="W307" s="58"/>
      <c r="X307" s="58"/>
      <c r="Y307" s="58"/>
      <c r="AA307" s="1127"/>
      <c r="AB307" s="1127"/>
      <c r="AC307" s="1127"/>
      <c r="AD307" s="1127"/>
      <c r="AE307" s="1127"/>
      <c r="AF307" s="1127"/>
      <c r="AG307" s="1127"/>
      <c r="AH307" s="1127"/>
      <c r="AI307" s="1127"/>
      <c r="AJ307" s="1127"/>
      <c r="AK307" s="1127"/>
      <c r="BA307" s="61"/>
    </row>
    <row r="308" spans="1:53" ht="12.75">
      <c r="B308" s="58" t="s">
        <v>518</v>
      </c>
      <c r="C308" s="58"/>
      <c r="D308" s="58"/>
      <c r="E308" s="58"/>
      <c r="F308" s="58"/>
      <c r="H308" s="1127" t="s">
        <v>1676</v>
      </c>
      <c r="I308" s="1127"/>
      <c r="J308" s="1127"/>
      <c r="K308" s="1127"/>
      <c r="L308" s="1127"/>
      <c r="M308" s="1127"/>
      <c r="N308" s="1127"/>
      <c r="O308" s="1127"/>
      <c r="P308" s="1127"/>
      <c r="Q308" s="1127"/>
      <c r="R308" s="1127"/>
      <c r="S308" s="58"/>
      <c r="T308" s="58" t="s">
        <v>81</v>
      </c>
      <c r="V308" s="58"/>
      <c r="W308" s="58"/>
      <c r="X308" s="58"/>
      <c r="Y308" s="58"/>
      <c r="AA308" s="1127"/>
      <c r="AB308" s="1127"/>
      <c r="AC308" s="1127"/>
      <c r="AD308" s="1127"/>
      <c r="AE308" s="1127"/>
      <c r="AF308" s="1127"/>
      <c r="AG308" s="1127"/>
      <c r="AH308" s="1127"/>
      <c r="AI308" s="1127"/>
      <c r="AJ308" s="1127"/>
      <c r="AK308" s="1127"/>
      <c r="BA308" s="61"/>
    </row>
    <row r="309" spans="1:53" ht="12.75">
      <c r="B309" s="58" t="s">
        <v>94</v>
      </c>
      <c r="C309" s="58"/>
      <c r="D309" s="58"/>
      <c r="E309" s="58"/>
      <c r="F309" s="58"/>
      <c r="H309" s="1127" t="s">
        <v>1677</v>
      </c>
      <c r="I309" s="1127"/>
      <c r="J309" s="1127"/>
      <c r="K309" s="1127"/>
      <c r="L309" s="1127"/>
      <c r="M309" s="1127"/>
      <c r="N309" s="1127"/>
      <c r="O309" s="1127"/>
      <c r="P309" s="1127"/>
      <c r="Q309" s="1127"/>
      <c r="R309" s="1127"/>
      <c r="S309" s="58"/>
      <c r="T309" s="58" t="s">
        <v>94</v>
      </c>
      <c r="V309" s="58"/>
      <c r="W309" s="58"/>
      <c r="X309" s="58"/>
      <c r="Y309" s="58"/>
      <c r="AA309" s="1127"/>
      <c r="AB309" s="1127"/>
      <c r="AC309" s="1127"/>
      <c r="AD309" s="1127"/>
      <c r="AE309" s="1127"/>
      <c r="AF309" s="1127"/>
      <c r="AG309" s="1127"/>
      <c r="AH309" s="1127"/>
      <c r="AI309" s="1127"/>
      <c r="AJ309" s="1127"/>
      <c r="AK309" s="1127"/>
      <c r="BA309" s="61"/>
    </row>
    <row r="310" spans="1:53" ht="12.75">
      <c r="B310" s="58" t="s">
        <v>95</v>
      </c>
      <c r="C310" s="58"/>
      <c r="D310" s="58"/>
      <c r="E310" s="58"/>
      <c r="F310" s="58"/>
      <c r="G310" s="58"/>
      <c r="H310" s="1128" t="s">
        <v>1678</v>
      </c>
      <c r="I310" s="1129"/>
      <c r="J310" s="1129"/>
      <c r="K310" s="1129"/>
      <c r="L310" s="1129"/>
      <c r="M310" s="1129"/>
      <c r="N310" s="7" t="s">
        <v>220</v>
      </c>
      <c r="O310" s="7"/>
      <c r="P310" s="1227">
        <v>102</v>
      </c>
      <c r="Q310" s="1227"/>
      <c r="R310" s="1227"/>
      <c r="S310" s="58"/>
      <c r="T310" s="58" t="s">
        <v>95</v>
      </c>
      <c r="V310" s="58"/>
      <c r="W310" s="58"/>
      <c r="X310" s="58"/>
      <c r="Y310" s="58"/>
      <c r="AA310" s="1129"/>
      <c r="AB310" s="1129"/>
      <c r="AC310" s="1129"/>
      <c r="AD310" s="1129"/>
      <c r="AE310" s="1129"/>
      <c r="AF310" s="1129"/>
      <c r="AG310" s="7" t="s">
        <v>220</v>
      </c>
      <c r="AH310" s="7"/>
      <c r="AI310" s="1227"/>
      <c r="AJ310" s="1227"/>
      <c r="AK310" s="1227"/>
      <c r="BA310" s="61"/>
    </row>
    <row r="311" spans="1:53" ht="12.75">
      <c r="B311" s="58" t="s">
        <v>96</v>
      </c>
      <c r="C311" s="58"/>
      <c r="D311" s="58"/>
      <c r="E311" s="58"/>
      <c r="F311" s="58"/>
      <c r="G311" s="58"/>
      <c r="H311" s="1108" t="s">
        <v>1679</v>
      </c>
      <c r="I311" s="1109"/>
      <c r="J311" s="1109"/>
      <c r="K311" s="1109"/>
      <c r="L311" s="1109"/>
      <c r="M311" s="1109"/>
      <c r="N311" s="60"/>
      <c r="O311" s="60"/>
      <c r="P311" s="62"/>
      <c r="Q311" s="62"/>
      <c r="R311" s="62"/>
      <c r="S311" s="58"/>
      <c r="T311" s="58" t="s">
        <v>96</v>
      </c>
      <c r="V311" s="58"/>
      <c r="W311" s="58"/>
      <c r="X311" s="58"/>
      <c r="Y311" s="58"/>
      <c r="AA311" s="1109"/>
      <c r="AB311" s="1109"/>
      <c r="AC311" s="1109"/>
      <c r="AD311" s="1109"/>
      <c r="AE311" s="1109"/>
      <c r="AF311" s="1109"/>
      <c r="AG311" s="60"/>
      <c r="AH311" s="60"/>
      <c r="AI311" s="62"/>
      <c r="AJ311" s="62"/>
      <c r="AK311" s="62"/>
      <c r="BA311" s="61"/>
    </row>
    <row r="312" spans="1:53" ht="12.75">
      <c r="B312" s="58" t="s">
        <v>82</v>
      </c>
      <c r="C312" s="58"/>
      <c r="D312" s="58"/>
      <c r="E312" s="58"/>
      <c r="F312" s="58"/>
      <c r="G312" s="58"/>
      <c r="H312" s="1127" t="s">
        <v>1680</v>
      </c>
      <c r="I312" s="1127"/>
      <c r="J312" s="1127"/>
      <c r="K312" s="1127"/>
      <c r="L312" s="1127"/>
      <c r="M312" s="1127"/>
      <c r="N312" s="1105"/>
      <c r="O312" s="1105"/>
      <c r="P312" s="1105"/>
      <c r="Q312" s="1105"/>
      <c r="R312" s="1105"/>
      <c r="S312" s="58"/>
      <c r="T312" s="58" t="s">
        <v>82</v>
      </c>
      <c r="V312" s="58"/>
      <c r="W312" s="58"/>
      <c r="X312" s="58"/>
      <c r="Y312" s="58"/>
      <c r="AA312" s="1127"/>
      <c r="AB312" s="1127"/>
      <c r="AC312" s="1127"/>
      <c r="AD312" s="1127"/>
      <c r="AE312" s="1127"/>
      <c r="AF312" s="1127"/>
      <c r="AG312" s="1105"/>
      <c r="AH312" s="1105"/>
      <c r="AI312" s="1105"/>
      <c r="AJ312" s="1105"/>
      <c r="AK312" s="1105"/>
      <c r="BA312" s="61"/>
    </row>
    <row r="313" spans="1:53" ht="12.75">
      <c r="BA313" s="61"/>
    </row>
    <row r="314" spans="1:53" ht="12.75">
      <c r="B314" s="7" t="s">
        <v>1006</v>
      </c>
      <c r="C314" s="58"/>
      <c r="D314" s="58"/>
      <c r="E314" s="58"/>
      <c r="F314" s="58"/>
      <c r="H314" s="1105" t="s">
        <v>1684</v>
      </c>
      <c r="I314" s="1105"/>
      <c r="J314" s="1105"/>
      <c r="K314" s="1105"/>
      <c r="L314" s="1105"/>
      <c r="M314" s="1105"/>
      <c r="N314" s="1105"/>
      <c r="O314" s="1105"/>
      <c r="P314" s="1105"/>
      <c r="Q314" s="1105"/>
      <c r="R314" s="1105"/>
      <c r="T314" s="58" t="s">
        <v>390</v>
      </c>
      <c r="V314" s="58"/>
      <c r="W314" s="58"/>
      <c r="X314" s="58"/>
      <c r="Y314" s="58"/>
      <c r="AA314" s="1105" t="s">
        <v>1689</v>
      </c>
      <c r="AB314" s="1105"/>
      <c r="AC314" s="1105"/>
      <c r="AD314" s="1105"/>
      <c r="AE314" s="1105"/>
      <c r="AF314" s="1105"/>
      <c r="AG314" s="1105"/>
      <c r="AH314" s="1105"/>
      <c r="AI314" s="1105"/>
      <c r="AJ314" s="1105"/>
      <c r="AK314" s="1105"/>
      <c r="BA314" s="61"/>
    </row>
    <row r="315" spans="1:53" ht="12.75" customHeight="1">
      <c r="B315" s="58" t="s">
        <v>517</v>
      </c>
      <c r="C315" s="58"/>
      <c r="D315" s="58"/>
      <c r="E315" s="58"/>
      <c r="F315" s="58"/>
      <c r="H315" s="1127" t="s">
        <v>1685</v>
      </c>
      <c r="I315" s="1127"/>
      <c r="J315" s="1127"/>
      <c r="K315" s="1127"/>
      <c r="L315" s="1127"/>
      <c r="M315" s="1127"/>
      <c r="N315" s="1127"/>
      <c r="O315" s="1127"/>
      <c r="P315" s="1127"/>
      <c r="Q315" s="1127"/>
      <c r="R315" s="1127"/>
      <c r="T315" s="58" t="s">
        <v>517</v>
      </c>
      <c r="V315" s="58"/>
      <c r="W315" s="58"/>
      <c r="X315" s="58"/>
      <c r="Y315" s="58"/>
      <c r="AA315" s="1127" t="s">
        <v>1690</v>
      </c>
      <c r="AB315" s="1127"/>
      <c r="AC315" s="1127"/>
      <c r="AD315" s="1127"/>
      <c r="AE315" s="1127"/>
      <c r="AF315" s="1127"/>
      <c r="AG315" s="1127"/>
      <c r="AH315" s="1127"/>
      <c r="AI315" s="1127"/>
      <c r="AJ315" s="1127"/>
      <c r="AK315" s="1127"/>
      <c r="BA315" s="61"/>
    </row>
    <row r="316" spans="1:53" ht="12.75">
      <c r="B316" s="58" t="s">
        <v>518</v>
      </c>
      <c r="C316" s="58"/>
      <c r="D316" s="58"/>
      <c r="E316" s="58"/>
      <c r="F316" s="58"/>
      <c r="H316" s="1127" t="s">
        <v>1676</v>
      </c>
      <c r="I316" s="1127"/>
      <c r="J316" s="1127"/>
      <c r="K316" s="1127"/>
      <c r="L316" s="1127"/>
      <c r="M316" s="1127"/>
      <c r="N316" s="1127"/>
      <c r="O316" s="1127"/>
      <c r="P316" s="1127"/>
      <c r="Q316" s="1127"/>
      <c r="R316" s="1127"/>
      <c r="T316" s="58" t="s">
        <v>81</v>
      </c>
      <c r="V316" s="58"/>
      <c r="W316" s="58"/>
      <c r="X316" s="58"/>
      <c r="Y316" s="58"/>
      <c r="AA316" s="1127" t="s">
        <v>1691</v>
      </c>
      <c r="AB316" s="1127"/>
      <c r="AC316" s="1127"/>
      <c r="AD316" s="1127"/>
      <c r="AE316" s="1127"/>
      <c r="AF316" s="1127"/>
      <c r="AG316" s="1127"/>
      <c r="AH316" s="1127"/>
      <c r="AI316" s="1127"/>
      <c r="AJ316" s="1127"/>
      <c r="AK316" s="1127"/>
      <c r="BA316" s="61"/>
    </row>
    <row r="317" spans="1:53" ht="12.75" customHeight="1">
      <c r="A317" s="39"/>
      <c r="B317" s="58" t="s">
        <v>94</v>
      </c>
      <c r="C317" s="58"/>
      <c r="D317" s="58"/>
      <c r="E317" s="58"/>
      <c r="F317" s="58"/>
      <c r="H317" s="1127" t="s">
        <v>1686</v>
      </c>
      <c r="I317" s="1127"/>
      <c r="J317" s="1127"/>
      <c r="K317" s="1127"/>
      <c r="L317" s="1127"/>
      <c r="M317" s="1127"/>
      <c r="N317" s="1127"/>
      <c r="O317" s="1127"/>
      <c r="P317" s="1127"/>
      <c r="Q317" s="1127"/>
      <c r="R317" s="1127"/>
      <c r="T317" s="58" t="s">
        <v>94</v>
      </c>
      <c r="V317" s="58"/>
      <c r="W317" s="58"/>
      <c r="X317" s="58"/>
      <c r="Y317" s="58"/>
      <c r="AA317" s="1127" t="s">
        <v>1692</v>
      </c>
      <c r="AB317" s="1127"/>
      <c r="AC317" s="1127"/>
      <c r="AD317" s="1127"/>
      <c r="AE317" s="1127"/>
      <c r="AF317" s="1127"/>
      <c r="AG317" s="1127"/>
      <c r="AH317" s="1127"/>
      <c r="AI317" s="1127"/>
      <c r="AJ317" s="1127"/>
      <c r="AK317" s="1127"/>
      <c r="AL317" s="39"/>
    </row>
    <row r="318" spans="1:53" ht="12.75">
      <c r="A318" s="39"/>
      <c r="B318" s="58" t="s">
        <v>95</v>
      </c>
      <c r="C318" s="58"/>
      <c r="D318" s="58"/>
      <c r="E318" s="58"/>
      <c r="F318" s="58"/>
      <c r="G318" s="58"/>
      <c r="H318" s="1128" t="s">
        <v>1687</v>
      </c>
      <c r="I318" s="1129"/>
      <c r="J318" s="1129"/>
      <c r="K318" s="1129"/>
      <c r="L318" s="1129"/>
      <c r="M318" s="1129"/>
      <c r="N318" s="7" t="s">
        <v>220</v>
      </c>
      <c r="O318" s="7"/>
      <c r="P318" s="1227"/>
      <c r="Q318" s="1227"/>
      <c r="R318" s="1227"/>
      <c r="S318" s="58"/>
      <c r="T318" s="58" t="s">
        <v>95</v>
      </c>
      <c r="V318" s="58"/>
      <c r="W318" s="58"/>
      <c r="X318" s="58"/>
      <c r="Y318" s="58"/>
      <c r="AA318" s="1128" t="s">
        <v>1693</v>
      </c>
      <c r="AB318" s="1129"/>
      <c r="AC318" s="1129"/>
      <c r="AD318" s="1129"/>
      <c r="AE318" s="1129"/>
      <c r="AF318" s="1129"/>
      <c r="AG318" s="7" t="s">
        <v>220</v>
      </c>
      <c r="AH318" s="7"/>
      <c r="AI318" s="1227"/>
      <c r="AJ318" s="1227"/>
      <c r="AK318" s="1227"/>
      <c r="AL318" s="39"/>
    </row>
    <row r="319" spans="1:53" ht="12.75">
      <c r="A319" s="39"/>
      <c r="B319" s="58" t="s">
        <v>96</v>
      </c>
      <c r="C319" s="58"/>
      <c r="D319" s="58"/>
      <c r="E319" s="58"/>
      <c r="F319" s="58"/>
      <c r="G319" s="58"/>
      <c r="H319" s="1109"/>
      <c r="I319" s="1109"/>
      <c r="J319" s="1109"/>
      <c r="K319" s="1109"/>
      <c r="L319" s="1109"/>
      <c r="M319" s="1109"/>
      <c r="N319" s="60"/>
      <c r="O319" s="60"/>
      <c r="P319" s="62"/>
      <c r="Q319" s="62"/>
      <c r="R319" s="62"/>
      <c r="S319" s="58"/>
      <c r="T319" s="58" t="s">
        <v>96</v>
      </c>
      <c r="V319" s="58"/>
      <c r="W319" s="58"/>
      <c r="X319" s="58"/>
      <c r="Y319" s="58"/>
      <c r="AA319" s="1108" t="s">
        <v>1694</v>
      </c>
      <c r="AB319" s="1109"/>
      <c r="AC319" s="1109"/>
      <c r="AD319" s="1109"/>
      <c r="AE319" s="1109"/>
      <c r="AF319" s="1109"/>
      <c r="AG319" s="60"/>
      <c r="AH319" s="60"/>
      <c r="AI319" s="62"/>
      <c r="AJ319" s="62"/>
      <c r="AK319" s="62"/>
      <c r="AL319" s="39"/>
    </row>
    <row r="320" spans="1:53" ht="12.75">
      <c r="A320" s="39"/>
      <c r="B320" s="58" t="s">
        <v>82</v>
      </c>
      <c r="C320" s="58"/>
      <c r="D320" s="58"/>
      <c r="E320" s="58"/>
      <c r="F320" s="58"/>
      <c r="G320" s="58"/>
      <c r="H320" s="1127" t="s">
        <v>1688</v>
      </c>
      <c r="I320" s="1127"/>
      <c r="J320" s="1127"/>
      <c r="K320" s="1127"/>
      <c r="L320" s="1127"/>
      <c r="M320" s="1127"/>
      <c r="N320" s="1105"/>
      <c r="O320" s="1105"/>
      <c r="P320" s="1105"/>
      <c r="Q320" s="1105"/>
      <c r="R320" s="1105"/>
      <c r="S320" s="58"/>
      <c r="T320" s="58" t="s">
        <v>82</v>
      </c>
      <c r="V320" s="58"/>
      <c r="W320" s="58"/>
      <c r="X320" s="58"/>
      <c r="Y320" s="58"/>
      <c r="AA320" s="1127" t="s">
        <v>1695</v>
      </c>
      <c r="AB320" s="1127"/>
      <c r="AC320" s="1127"/>
      <c r="AD320" s="1127"/>
      <c r="AE320" s="1127"/>
      <c r="AF320" s="1127"/>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5" t="s">
        <v>1696</v>
      </c>
      <c r="I322" s="1105"/>
      <c r="J322" s="1105"/>
      <c r="K322" s="1105"/>
      <c r="L322" s="1105"/>
      <c r="M322" s="1105"/>
      <c r="N322" s="1105"/>
      <c r="O322" s="1105"/>
      <c r="P322" s="1105"/>
      <c r="Q322" s="1105"/>
      <c r="R322" s="1105"/>
      <c r="T322" s="58" t="s">
        <v>392</v>
      </c>
      <c r="V322" s="58"/>
      <c r="W322" s="58"/>
      <c r="X322" s="58"/>
      <c r="Y322" s="58"/>
      <c r="AA322" s="1105" t="s">
        <v>641</v>
      </c>
      <c r="AB322" s="1105"/>
      <c r="AC322" s="1105"/>
      <c r="AD322" s="1105"/>
      <c r="AE322" s="1105"/>
      <c r="AF322" s="1105"/>
      <c r="AG322" s="1105"/>
      <c r="AH322" s="1105"/>
      <c r="AI322" s="1105"/>
      <c r="AJ322" s="1105"/>
      <c r="AK322" s="1105"/>
      <c r="AL322" s="39"/>
    </row>
    <row r="323" spans="1:53" ht="12.75">
      <c r="A323" s="39"/>
      <c r="B323" s="58" t="s">
        <v>517</v>
      </c>
      <c r="C323" s="58"/>
      <c r="D323" s="58"/>
      <c r="E323" s="58"/>
      <c r="F323" s="58"/>
      <c r="H323" s="1127" t="s">
        <v>1697</v>
      </c>
      <c r="I323" s="1127"/>
      <c r="J323" s="1127"/>
      <c r="K323" s="1127"/>
      <c r="L323" s="1127"/>
      <c r="M323" s="1127"/>
      <c r="N323" s="1127"/>
      <c r="O323" s="1127"/>
      <c r="P323" s="1127"/>
      <c r="Q323" s="1127"/>
      <c r="R323" s="1127"/>
      <c r="T323" s="58" t="s">
        <v>517</v>
      </c>
      <c r="V323" s="58"/>
      <c r="W323" s="58"/>
      <c r="X323" s="58"/>
      <c r="Y323" s="58"/>
      <c r="AA323" s="1127"/>
      <c r="AB323" s="1127"/>
      <c r="AC323" s="1127"/>
      <c r="AD323" s="1127"/>
      <c r="AE323" s="1127"/>
      <c r="AF323" s="1127"/>
      <c r="AG323" s="1127"/>
      <c r="AH323" s="1127"/>
      <c r="AI323" s="1127"/>
      <c r="AJ323" s="1127"/>
      <c r="AK323" s="1127"/>
      <c r="AL323" s="39"/>
    </row>
    <row r="324" spans="1:53" ht="12.75" customHeight="1">
      <c r="A324" s="39"/>
      <c r="B324" s="58" t="s">
        <v>518</v>
      </c>
      <c r="C324" s="58"/>
      <c r="D324" s="58"/>
      <c r="E324" s="58"/>
      <c r="F324" s="58"/>
      <c r="H324" s="1127" t="s">
        <v>1698</v>
      </c>
      <c r="I324" s="1127"/>
      <c r="J324" s="1127"/>
      <c r="K324" s="1127"/>
      <c r="L324" s="1127"/>
      <c r="M324" s="1127"/>
      <c r="N324" s="1127"/>
      <c r="O324" s="1127"/>
      <c r="P324" s="1127"/>
      <c r="Q324" s="1127"/>
      <c r="R324" s="1127"/>
      <c r="T324" s="58" t="s">
        <v>81</v>
      </c>
      <c r="V324" s="58"/>
      <c r="W324" s="58"/>
      <c r="X324" s="58"/>
      <c r="Y324" s="58"/>
      <c r="AA324" s="1127"/>
      <c r="AB324" s="1127"/>
      <c r="AC324" s="1127"/>
      <c r="AD324" s="1127"/>
      <c r="AE324" s="1127"/>
      <c r="AF324" s="1127"/>
      <c r="AG324" s="1127"/>
      <c r="AH324" s="1127"/>
      <c r="AI324" s="1127"/>
      <c r="AJ324" s="1127"/>
      <c r="AK324" s="1127"/>
      <c r="AL324" s="39"/>
    </row>
    <row r="325" spans="1:53" ht="12.75">
      <c r="A325" s="39"/>
      <c r="B325" s="58" t="s">
        <v>94</v>
      </c>
      <c r="C325" s="58"/>
      <c r="D325" s="58"/>
      <c r="E325" s="58"/>
      <c r="F325" s="58"/>
      <c r="H325" s="1127" t="s">
        <v>1699</v>
      </c>
      <c r="I325" s="1127"/>
      <c r="J325" s="1127"/>
      <c r="K325" s="1127"/>
      <c r="L325" s="1127"/>
      <c r="M325" s="1127"/>
      <c r="N325" s="1127"/>
      <c r="O325" s="1127"/>
      <c r="P325" s="1127"/>
      <c r="Q325" s="1127"/>
      <c r="R325" s="1127"/>
      <c r="T325" s="58" t="s">
        <v>94</v>
      </c>
      <c r="V325" s="58"/>
      <c r="W325" s="58"/>
      <c r="X325" s="58"/>
      <c r="Y325" s="58"/>
      <c r="AA325" s="1127"/>
      <c r="AB325" s="1127"/>
      <c r="AC325" s="1127"/>
      <c r="AD325" s="1127"/>
      <c r="AE325" s="1127"/>
      <c r="AF325" s="1127"/>
      <c r="AG325" s="1127"/>
      <c r="AH325" s="1127"/>
      <c r="AI325" s="1127"/>
      <c r="AJ325" s="1127"/>
      <c r="AK325" s="1127"/>
      <c r="AL325" s="39"/>
    </row>
    <row r="326" spans="1:53" ht="12.75">
      <c r="A326" s="39"/>
      <c r="B326" s="58" t="s">
        <v>95</v>
      </c>
      <c r="C326" s="58"/>
      <c r="D326" s="58"/>
      <c r="E326" s="58"/>
      <c r="F326" s="58"/>
      <c r="G326" s="58"/>
      <c r="H326" s="1128" t="s">
        <v>1700</v>
      </c>
      <c r="I326" s="1129"/>
      <c r="J326" s="1129"/>
      <c r="K326" s="1129"/>
      <c r="L326" s="1129"/>
      <c r="M326" s="1129"/>
      <c r="N326" s="7" t="s">
        <v>220</v>
      </c>
      <c r="O326" s="7"/>
      <c r="P326" s="1227"/>
      <c r="Q326" s="1227"/>
      <c r="R326" s="1227"/>
      <c r="S326" s="58"/>
      <c r="T326" s="58" t="s">
        <v>95</v>
      </c>
      <c r="V326" s="58"/>
      <c r="W326" s="58"/>
      <c r="X326" s="58"/>
      <c r="Y326" s="58"/>
      <c r="AA326" s="1129"/>
      <c r="AB326" s="1129"/>
      <c r="AC326" s="1129"/>
      <c r="AD326" s="1129"/>
      <c r="AE326" s="1129"/>
      <c r="AF326" s="1129"/>
      <c r="AG326" s="7" t="s">
        <v>220</v>
      </c>
      <c r="AH326" s="7"/>
      <c r="AI326" s="1227"/>
      <c r="AJ326" s="1227"/>
      <c r="AK326" s="1227"/>
      <c r="AL326" s="39"/>
    </row>
    <row r="327" spans="1:53" ht="12.75" customHeight="1">
      <c r="A327" s="39"/>
      <c r="B327" s="58" t="s">
        <v>96</v>
      </c>
      <c r="C327" s="58"/>
      <c r="D327" s="58"/>
      <c r="E327" s="58"/>
      <c r="F327" s="58"/>
      <c r="G327" s="58"/>
      <c r="H327" s="1109"/>
      <c r="I327" s="1109"/>
      <c r="J327" s="1109"/>
      <c r="K327" s="1109"/>
      <c r="L327" s="1109"/>
      <c r="M327" s="1109"/>
      <c r="N327" s="60"/>
      <c r="O327" s="60"/>
      <c r="P327" s="62"/>
      <c r="Q327" s="62"/>
      <c r="R327" s="62"/>
      <c r="S327" s="58"/>
      <c r="T327" s="58" t="s">
        <v>96</v>
      </c>
      <c r="V327" s="58"/>
      <c r="W327" s="58"/>
      <c r="X327" s="58"/>
      <c r="Y327" s="58"/>
      <c r="AA327" s="1109"/>
      <c r="AB327" s="1109"/>
      <c r="AC327" s="1109"/>
      <c r="AD327" s="1109"/>
      <c r="AE327" s="1109"/>
      <c r="AF327" s="1109"/>
      <c r="AG327" s="60"/>
      <c r="AH327" s="60"/>
      <c r="AI327" s="62"/>
      <c r="AJ327" s="62"/>
      <c r="AK327" s="62"/>
      <c r="AL327" s="39"/>
    </row>
    <row r="328" spans="1:53" ht="12.75" customHeight="1">
      <c r="A328" s="39"/>
      <c r="B328" s="58" t="s">
        <v>82</v>
      </c>
      <c r="C328" s="58"/>
      <c r="D328" s="58"/>
      <c r="E328" s="58"/>
      <c r="F328" s="58"/>
      <c r="G328" s="58"/>
      <c r="H328" s="1127" t="s">
        <v>1701</v>
      </c>
      <c r="I328" s="1127"/>
      <c r="J328" s="1127"/>
      <c r="K328" s="1127"/>
      <c r="L328" s="1127"/>
      <c r="M328" s="1127"/>
      <c r="N328" s="1105"/>
      <c r="O328" s="1105"/>
      <c r="P328" s="1105"/>
      <c r="Q328" s="1105"/>
      <c r="R328" s="1105"/>
      <c r="S328" s="58"/>
      <c r="T328" s="58" t="s">
        <v>82</v>
      </c>
      <c r="V328" s="58"/>
      <c r="W328" s="58"/>
      <c r="X328" s="58"/>
      <c r="Y328" s="58"/>
      <c r="AA328" s="1127"/>
      <c r="AB328" s="1127"/>
      <c r="AC328" s="1127"/>
      <c r="AD328" s="1127"/>
      <c r="AE328" s="1127"/>
      <c r="AF328" s="1127"/>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5" t="s">
        <v>1705</v>
      </c>
      <c r="I330" s="1105"/>
      <c r="J330" s="1105"/>
      <c r="K330" s="1105"/>
      <c r="L330" s="1105"/>
      <c r="M330" s="1105"/>
      <c r="N330" s="1105"/>
      <c r="O330" s="1105"/>
      <c r="P330" s="1105"/>
      <c r="Q330" s="1105"/>
      <c r="R330" s="1105"/>
      <c r="T330" s="422" t="s">
        <v>981</v>
      </c>
      <c r="V330" s="58"/>
      <c r="W330" s="58"/>
      <c r="X330" s="58"/>
      <c r="Y330" s="58"/>
      <c r="AA330" s="1105" t="s">
        <v>1708</v>
      </c>
      <c r="AB330" s="1105"/>
      <c r="AC330" s="1105"/>
      <c r="AD330" s="1105"/>
      <c r="AE330" s="1105"/>
      <c r="AF330" s="1105"/>
      <c r="AG330" s="1105"/>
      <c r="AH330" s="1105"/>
      <c r="AI330" s="1105"/>
      <c r="AJ330" s="1105"/>
      <c r="AK330" s="1105"/>
      <c r="AL330" s="39"/>
    </row>
    <row r="331" spans="1:53" ht="12.75" customHeight="1">
      <c r="B331" s="58" t="s">
        <v>517</v>
      </c>
      <c r="C331" s="248"/>
      <c r="D331" s="248"/>
      <c r="E331" s="248"/>
      <c r="F331" s="248"/>
      <c r="G331" s="3"/>
      <c r="H331" s="1127" t="s">
        <v>1706</v>
      </c>
      <c r="I331" s="1127"/>
      <c r="J331" s="1127"/>
      <c r="K331" s="1127"/>
      <c r="L331" s="1127"/>
      <c r="M331" s="1127"/>
      <c r="N331" s="1127"/>
      <c r="O331" s="1127"/>
      <c r="P331" s="1127"/>
      <c r="Q331" s="1127"/>
      <c r="R331" s="1127"/>
      <c r="T331" s="58" t="s">
        <v>517</v>
      </c>
      <c r="V331" s="58"/>
      <c r="W331" s="58"/>
      <c r="X331" s="58"/>
      <c r="Y331" s="58"/>
      <c r="AA331" s="1127" t="s">
        <v>1709</v>
      </c>
      <c r="AB331" s="1127"/>
      <c r="AC331" s="1127"/>
      <c r="AD331" s="1127"/>
      <c r="AE331" s="1127"/>
      <c r="AF331" s="1127"/>
      <c r="AG331" s="1127"/>
      <c r="AH331" s="1127"/>
      <c r="AI331" s="1127"/>
      <c r="AJ331" s="1127"/>
      <c r="AK331" s="1127"/>
      <c r="AL331" s="39"/>
    </row>
    <row r="332" spans="1:53" ht="12.75" customHeight="1">
      <c r="B332" s="58" t="s">
        <v>81</v>
      </c>
      <c r="C332" s="248"/>
      <c r="D332" s="248"/>
      <c r="E332" s="248"/>
      <c r="F332" s="248"/>
      <c r="G332" s="3"/>
      <c r="H332" s="1127" t="s">
        <v>1707</v>
      </c>
      <c r="I332" s="1127"/>
      <c r="J332" s="1127"/>
      <c r="K332" s="1127"/>
      <c r="L332" s="1127"/>
      <c r="M332" s="1127"/>
      <c r="N332" s="1127"/>
      <c r="O332" s="1127"/>
      <c r="P332" s="1127"/>
      <c r="Q332" s="1127"/>
      <c r="R332" s="1127"/>
      <c r="T332" s="58" t="s">
        <v>81</v>
      </c>
      <c r="V332" s="58"/>
      <c r="W332" s="58"/>
      <c r="X332" s="58"/>
      <c r="Y332" s="58"/>
      <c r="AA332" s="1127" t="s">
        <v>1710</v>
      </c>
      <c r="AB332" s="1127"/>
      <c r="AC332" s="1127"/>
      <c r="AD332" s="1127"/>
      <c r="AE332" s="1127"/>
      <c r="AF332" s="1127"/>
      <c r="AG332" s="1127"/>
      <c r="AH332" s="1127"/>
      <c r="AI332" s="1127"/>
      <c r="AJ332" s="1127"/>
      <c r="AK332" s="1127"/>
      <c r="AL332" s="39"/>
    </row>
    <row r="333" spans="1:53" ht="12.75">
      <c r="A333" s="39"/>
      <c r="B333" s="58" t="s">
        <v>94</v>
      </c>
      <c r="C333" s="248"/>
      <c r="D333" s="248"/>
      <c r="E333" s="248"/>
      <c r="F333" s="248"/>
      <c r="G333" s="248"/>
      <c r="H333" s="1127" t="s">
        <v>1702</v>
      </c>
      <c r="I333" s="1127"/>
      <c r="J333" s="1127"/>
      <c r="K333" s="1127"/>
      <c r="L333" s="1127"/>
      <c r="M333" s="1127"/>
      <c r="N333" s="1127"/>
      <c r="O333" s="1127"/>
      <c r="P333" s="1127"/>
      <c r="Q333" s="1127"/>
      <c r="R333" s="1127"/>
      <c r="T333" s="58" t="s">
        <v>94</v>
      </c>
      <c r="V333" s="58"/>
      <c r="W333" s="58"/>
      <c r="X333" s="58"/>
      <c r="Y333" s="58"/>
      <c r="AA333" s="1127" t="s">
        <v>1711</v>
      </c>
      <c r="AB333" s="1127"/>
      <c r="AC333" s="1127"/>
      <c r="AD333" s="1127"/>
      <c r="AE333" s="1127"/>
      <c r="AF333" s="1127"/>
      <c r="AG333" s="1127"/>
      <c r="AH333" s="1127"/>
      <c r="AI333" s="1127"/>
      <c r="AJ333" s="1127"/>
      <c r="AK333" s="1127"/>
      <c r="AL333" s="39"/>
    </row>
    <row r="334" spans="1:53" ht="12.75">
      <c r="A334" s="39"/>
      <c r="B334" s="58" t="s">
        <v>95</v>
      </c>
      <c r="C334" s="248"/>
      <c r="D334" s="248"/>
      <c r="E334" s="248"/>
      <c r="F334" s="248"/>
      <c r="G334" s="248"/>
      <c r="H334" s="1128" t="s">
        <v>1703</v>
      </c>
      <c r="I334" s="1129"/>
      <c r="J334" s="1129"/>
      <c r="K334" s="1129"/>
      <c r="L334" s="1129"/>
      <c r="M334" s="1129"/>
      <c r="N334" s="7" t="s">
        <v>220</v>
      </c>
      <c r="O334" s="7"/>
      <c r="P334" s="1227"/>
      <c r="Q334" s="1227"/>
      <c r="R334" s="1227"/>
      <c r="S334" s="58"/>
      <c r="T334" s="58" t="s">
        <v>95</v>
      </c>
      <c r="V334" s="58"/>
      <c r="W334" s="58"/>
      <c r="X334" s="58"/>
      <c r="Y334" s="58"/>
      <c r="AA334" s="1128" t="s">
        <v>1712</v>
      </c>
      <c r="AB334" s="1129"/>
      <c r="AC334" s="1129"/>
      <c r="AD334" s="1129"/>
      <c r="AE334" s="1129"/>
      <c r="AF334" s="1129"/>
      <c r="AG334" s="7" t="s">
        <v>220</v>
      </c>
      <c r="AH334" s="7"/>
      <c r="AI334" s="1227"/>
      <c r="AJ334" s="1227"/>
      <c r="AK334" s="1227"/>
      <c r="AL334" s="39"/>
    </row>
    <row r="335" spans="1:53" ht="12.75" customHeight="1">
      <c r="A335" s="39"/>
      <c r="B335" s="58" t="s">
        <v>96</v>
      </c>
      <c r="C335" s="248"/>
      <c r="D335" s="248"/>
      <c r="E335" s="248"/>
      <c r="F335" s="248"/>
      <c r="G335" s="248"/>
      <c r="H335" s="1109"/>
      <c r="I335" s="1109"/>
      <c r="J335" s="1109"/>
      <c r="K335" s="1109"/>
      <c r="L335" s="1109"/>
      <c r="M335" s="1109"/>
      <c r="N335" s="60"/>
      <c r="O335" s="60"/>
      <c r="P335" s="62"/>
      <c r="Q335" s="62"/>
      <c r="R335" s="62"/>
      <c r="S335" s="58"/>
      <c r="T335" s="58" t="s">
        <v>96</v>
      </c>
      <c r="V335" s="58"/>
      <c r="W335" s="58"/>
      <c r="X335" s="58"/>
      <c r="Y335" s="58"/>
      <c r="AA335" s="1108" t="s">
        <v>1713</v>
      </c>
      <c r="AB335" s="1109"/>
      <c r="AC335" s="1109"/>
      <c r="AD335" s="1109"/>
      <c r="AE335" s="1109"/>
      <c r="AF335" s="1109"/>
      <c r="AG335" s="60"/>
      <c r="AH335" s="60"/>
      <c r="AI335" s="62"/>
      <c r="AJ335" s="62"/>
      <c r="AK335" s="62"/>
      <c r="AL335" s="39"/>
    </row>
    <row r="336" spans="1:53" ht="12.75">
      <c r="A336" s="39"/>
      <c r="B336" s="58" t="s">
        <v>82</v>
      </c>
      <c r="C336" s="245"/>
      <c r="D336" s="245"/>
      <c r="E336" s="245"/>
      <c r="F336" s="245"/>
      <c r="G336" s="245"/>
      <c r="H336" s="1127" t="s">
        <v>1704</v>
      </c>
      <c r="I336" s="1127"/>
      <c r="J336" s="1127"/>
      <c r="K336" s="1127"/>
      <c r="L336" s="1127"/>
      <c r="M336" s="1127"/>
      <c r="N336" s="1105"/>
      <c r="O336" s="1105"/>
      <c r="P336" s="1105"/>
      <c r="Q336" s="1105"/>
      <c r="R336" s="1105"/>
      <c r="S336" s="58"/>
      <c r="T336" s="58" t="s">
        <v>82</v>
      </c>
      <c r="V336" s="58"/>
      <c r="W336" s="58"/>
      <c r="X336" s="58"/>
      <c r="Y336" s="58"/>
      <c r="AA336" s="1127" t="s">
        <v>1714</v>
      </c>
      <c r="AB336" s="1127"/>
      <c r="AC336" s="1127"/>
      <c r="AD336" s="1127"/>
      <c r="AE336" s="1127"/>
      <c r="AF336" s="1127"/>
      <c r="AG336" s="1105"/>
      <c r="AH336" s="1105"/>
      <c r="AI336" s="1105"/>
      <c r="AJ336" s="1105"/>
      <c r="AK336" s="110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591</v>
      </c>
    </row>
    <row r="339" spans="1:53" ht="12.75">
      <c r="A339" s="3"/>
      <c r="B339" s="60"/>
      <c r="C339" s="60"/>
      <c r="D339" s="60"/>
      <c r="E339" s="60"/>
      <c r="F339" s="60"/>
      <c r="G339" s="3"/>
      <c r="H339" s="88"/>
      <c r="I339" s="7" t="s">
        <v>517</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2.75">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2.75">
      <c r="A342" s="3"/>
      <c r="B342" s="60"/>
      <c r="C342" s="60"/>
      <c r="D342" s="60"/>
      <c r="E342" s="60"/>
      <c r="F342" s="60"/>
      <c r="G342" s="60"/>
      <c r="H342" s="482"/>
      <c r="I342" s="7" t="s">
        <v>95</v>
      </c>
      <c r="P342" s="1109"/>
      <c r="Q342" s="1109"/>
      <c r="R342" s="1109"/>
      <c r="S342" s="1109"/>
      <c r="T342" s="1109"/>
      <c r="U342" s="1109"/>
      <c r="V342" s="1109"/>
      <c r="W342" s="1109"/>
      <c r="X342" s="1109"/>
      <c r="Y342" s="1109"/>
      <c r="Z342" s="1109"/>
      <c r="AA342" s="7" t="s">
        <v>220</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09"/>
      <c r="Q343" s="1109"/>
      <c r="R343" s="1109"/>
      <c r="S343" s="1109"/>
      <c r="T343" s="1109"/>
      <c r="U343" s="1109"/>
      <c r="V343" s="1109"/>
      <c r="W343" s="1109"/>
      <c r="X343" s="1109"/>
      <c r="Y343" s="1109"/>
      <c r="Z343" s="1109"/>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588</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6" t="s">
        <v>591</v>
      </c>
      <c r="N350" s="1106"/>
      <c r="P350" s="12" t="s">
        <v>598</v>
      </c>
      <c r="AJ350" s="1106" t="s">
        <v>591</v>
      </c>
      <c r="AK350" s="1106"/>
    </row>
    <row r="351" spans="1:53" ht="12.75" customHeight="1">
      <c r="D351" s="7" t="s">
        <v>955</v>
      </c>
      <c r="R351" s="12" t="s">
        <v>599</v>
      </c>
      <c r="AJ351" s="1106" t="s">
        <v>722</v>
      </c>
      <c r="AK351" s="1106"/>
    </row>
    <row r="352" spans="1:53" ht="12.75" customHeight="1">
      <c r="D352" s="12" t="s">
        <v>765</v>
      </c>
      <c r="M352" s="1106" t="s">
        <v>641</v>
      </c>
      <c r="N352" s="1106"/>
      <c r="P352" s="7" t="s">
        <v>952</v>
      </c>
      <c r="AJ352" s="1106" t="s">
        <v>641</v>
      </c>
      <c r="AK352" s="1106"/>
    </row>
    <row r="353" spans="1:34" ht="12.75" customHeight="1">
      <c r="D353" s="12" t="s">
        <v>766</v>
      </c>
      <c r="M353" s="1106" t="s">
        <v>641</v>
      </c>
      <c r="N353" s="110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641</v>
      </c>
      <c r="O358" s="1106"/>
      <c r="P358" s="69"/>
      <c r="Q358" s="69"/>
      <c r="R358" s="69"/>
      <c r="S358" s="69"/>
      <c r="T358" s="69"/>
      <c r="U358" s="69"/>
      <c r="V358" s="69"/>
      <c r="W358" s="69"/>
      <c r="X358" s="69"/>
      <c r="Y358" s="70"/>
      <c r="Z358" s="70"/>
      <c r="AC358" s="69"/>
      <c r="AD358" s="69"/>
      <c r="AE358" s="69"/>
    </row>
    <row r="359" spans="1:34" ht="12.75" customHeight="1">
      <c r="E359" s="12" t="s">
        <v>395</v>
      </c>
      <c r="Y359" s="1106" t="s">
        <v>641</v>
      </c>
      <c r="Z359" s="1106"/>
    </row>
    <row r="360" spans="1:34" ht="12.75" customHeight="1">
      <c r="D360" s="7" t="s">
        <v>1090</v>
      </c>
      <c r="Q360" s="1105" t="s">
        <v>641</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641</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23" t="s">
        <v>767</v>
      </c>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c r="AA363" s="1223"/>
      <c r="AB363" s="1223"/>
      <c r="AC363" s="1223"/>
      <c r="AD363" s="1223"/>
      <c r="AE363" s="1223"/>
      <c r="AF363" s="1223"/>
      <c r="AG363" s="1223"/>
      <c r="AH363" s="1223"/>
    </row>
    <row r="364" spans="1:34" ht="12.75" customHeight="1">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c r="AA364" s="1223"/>
      <c r="AB364" s="1223"/>
      <c r="AC364" s="1223"/>
      <c r="AD364" s="1223"/>
      <c r="AE364" s="1223"/>
      <c r="AF364" s="1223"/>
      <c r="AG364" s="1223"/>
      <c r="AH364" s="1223"/>
    </row>
    <row r="365" spans="1:34" ht="12.75" customHeight="1">
      <c r="E365" s="7" t="s">
        <v>492</v>
      </c>
      <c r="F365" s="7"/>
      <c r="G365" s="7"/>
      <c r="H365" s="7"/>
      <c r="I365" s="7"/>
      <c r="J365" s="7"/>
      <c r="K365" s="7"/>
      <c r="L365" s="7"/>
      <c r="N365" s="1425"/>
      <c r="O365" s="1425"/>
      <c r="P365" s="1425"/>
      <c r="Q365" s="1425"/>
      <c r="R365" s="7"/>
      <c r="U365" s="7" t="s">
        <v>493</v>
      </c>
      <c r="V365" s="7"/>
      <c r="W365" s="7"/>
      <c r="X365" s="7"/>
      <c r="Y365" s="7"/>
      <c r="Z365" s="7"/>
      <c r="AA365" s="7"/>
      <c r="AB365" s="7"/>
      <c r="AC365" s="1425"/>
      <c r="AD365" s="1425"/>
      <c r="AE365" s="1425"/>
      <c r="AF365" s="1425"/>
    </row>
    <row r="366" spans="1:34" ht="12.75" customHeight="1">
      <c r="E366" s="7" t="s">
        <v>494</v>
      </c>
      <c r="F366" s="7"/>
      <c r="G366" s="7"/>
      <c r="H366" s="7"/>
      <c r="I366" s="7"/>
      <c r="J366" s="7"/>
      <c r="K366" s="7"/>
      <c r="L366" s="7"/>
      <c r="N366" s="1425"/>
      <c r="O366" s="1425"/>
      <c r="P366" s="1425"/>
      <c r="Q366" s="1425"/>
      <c r="R366" s="7"/>
      <c r="U366" s="7" t="s">
        <v>0</v>
      </c>
      <c r="V366" s="7"/>
      <c r="W366" s="7"/>
      <c r="X366" s="7"/>
      <c r="Y366" s="7"/>
      <c r="Z366" s="7"/>
      <c r="AA366" s="7"/>
      <c r="AB366" s="7"/>
      <c r="AC366" s="1425"/>
      <c r="AD366" s="1425"/>
      <c r="AE366" s="1425"/>
      <c r="AF366" s="1425"/>
    </row>
    <row r="367" spans="1:34" ht="12.75" customHeight="1">
      <c r="E367" s="7" t="s">
        <v>1</v>
      </c>
      <c r="F367" s="7"/>
      <c r="G367" s="7"/>
      <c r="H367" s="7"/>
      <c r="I367" s="7"/>
      <c r="J367" s="7"/>
      <c r="K367" s="7"/>
      <c r="L367" s="7"/>
      <c r="N367" s="1425"/>
      <c r="O367" s="1425"/>
      <c r="P367" s="1425"/>
      <c r="Q367" s="1425"/>
      <c r="R367" s="7"/>
      <c r="V367" s="7"/>
      <c r="W367" s="7"/>
      <c r="X367" s="7"/>
      <c r="Y367" s="7"/>
      <c r="Z367" s="7"/>
      <c r="AA367" s="7"/>
      <c r="AB367" s="7"/>
    </row>
    <row r="368" spans="1:34" ht="12.75" customHeight="1">
      <c r="E368" s="7" t="s">
        <v>2</v>
      </c>
      <c r="F368" s="7"/>
      <c r="G368" s="7"/>
      <c r="H368" s="7"/>
      <c r="I368" s="7"/>
      <c r="J368" s="7"/>
      <c r="K368" s="7"/>
      <c r="L368" s="7"/>
      <c r="N368" s="1592"/>
      <c r="O368" s="1592"/>
      <c r="P368" s="1592"/>
      <c r="Q368" s="1592"/>
      <c r="R368" s="1592"/>
      <c r="S368" s="1592"/>
      <c r="T368" s="1592"/>
      <c r="U368" s="1592"/>
      <c r="V368" s="1592"/>
      <c r="W368" s="1592"/>
      <c r="X368" s="1592"/>
      <c r="Y368" s="1592"/>
      <c r="Z368" s="1592"/>
      <c r="AA368" s="1592"/>
      <c r="AB368" s="1592"/>
      <c r="AC368" s="1592"/>
      <c r="AD368" s="1592"/>
      <c r="AE368" s="1592"/>
      <c r="AF368" s="1592"/>
    </row>
    <row r="369" spans="1:38" ht="12.75" customHeight="1">
      <c r="E369" s="7"/>
      <c r="F369" s="7"/>
      <c r="G369" s="7"/>
      <c r="H369" s="7"/>
      <c r="I369" s="7"/>
      <c r="J369" s="7"/>
      <c r="K369" s="7"/>
      <c r="L369" s="7"/>
      <c r="N369" s="1593"/>
      <c r="O369" s="1593"/>
      <c r="P369" s="1593"/>
      <c r="Q369" s="1593"/>
      <c r="R369" s="1593"/>
      <c r="S369" s="1593"/>
      <c r="T369" s="1593"/>
      <c r="U369" s="1593"/>
      <c r="V369" s="1593"/>
      <c r="W369" s="1593"/>
      <c r="X369" s="1593"/>
      <c r="Y369" s="1593"/>
      <c r="Z369" s="1593"/>
      <c r="AA369" s="1593"/>
      <c r="AB369" s="1593"/>
      <c r="AC369" s="1593"/>
      <c r="AD369" s="1593"/>
      <c r="AE369" s="1593"/>
      <c r="AF369" s="1593"/>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30"/>
      <c r="T372" s="1130"/>
      <c r="U372" s="4" t="s">
        <v>328</v>
      </c>
      <c r="V372" s="1130"/>
      <c r="W372" s="1130"/>
      <c r="Y372" s="25" t="s">
        <v>326</v>
      </c>
      <c r="AA372" s="25"/>
      <c r="AB372" s="25" t="s">
        <v>327</v>
      </c>
      <c r="AD372" s="1130"/>
      <c r="AE372" s="1130"/>
      <c r="AF372" s="4" t="s">
        <v>328</v>
      </c>
      <c r="AG372" s="1130"/>
      <c r="AH372" s="1130"/>
    </row>
    <row r="373" spans="1:38" ht="12.75" customHeight="1">
      <c r="E373" s="7" t="s">
        <v>1125</v>
      </c>
      <c r="F373" s="7"/>
      <c r="G373" s="7"/>
      <c r="H373" s="7"/>
      <c r="I373" s="7"/>
      <c r="J373" s="7"/>
      <c r="K373" s="7"/>
      <c r="L373" s="7"/>
      <c r="N373" s="1130"/>
      <c r="O373" s="1130"/>
      <c r="P373" s="1130"/>
    </row>
    <row r="374" spans="1:38" ht="12.75" customHeight="1">
      <c r="E374" s="399" t="s">
        <v>1127</v>
      </c>
      <c r="F374" s="7"/>
      <c r="G374" s="7"/>
      <c r="H374" s="7"/>
      <c r="I374" s="7"/>
      <c r="J374" s="7"/>
      <c r="K374" s="7"/>
      <c r="L374" s="7"/>
      <c r="AG374" s="1125" t="s">
        <v>641</v>
      </c>
      <c r="AH374" s="1125"/>
    </row>
    <row r="375" spans="1:38" ht="12.75" customHeight="1">
      <c r="E375" s="7"/>
      <c r="F375" s="7"/>
      <c r="G375" s="7" t="s">
        <v>1148</v>
      </c>
      <c r="H375" s="7"/>
      <c r="I375" s="7"/>
      <c r="J375" s="7"/>
      <c r="K375" s="7"/>
      <c r="L375" s="7"/>
      <c r="AG375" s="1125" t="s">
        <v>641</v>
      </c>
      <c r="AH375" s="1125"/>
    </row>
    <row r="376" spans="1:38" ht="12.75" customHeight="1">
      <c r="E376" s="7"/>
      <c r="F376" s="7"/>
      <c r="G376" s="530" t="s">
        <v>1128</v>
      </c>
      <c r="H376" s="7"/>
      <c r="I376" s="7"/>
      <c r="J376" s="7"/>
      <c r="K376" s="7"/>
      <c r="L376" s="7"/>
      <c r="V376" s="1106" t="s">
        <v>641</v>
      </c>
      <c r="W376" s="1106"/>
      <c r="Y376" s="35" t="s">
        <v>1092</v>
      </c>
    </row>
    <row r="377" spans="1:38" ht="12.75" customHeight="1">
      <c r="E377" s="7" t="s">
        <v>1093</v>
      </c>
      <c r="F377" s="7"/>
      <c r="G377" s="7"/>
      <c r="H377" s="7"/>
      <c r="I377" s="7"/>
      <c r="J377" s="7"/>
      <c r="K377" s="7"/>
      <c r="L377" s="7"/>
      <c r="V377" s="1106" t="s">
        <v>641</v>
      </c>
      <c r="W377" s="1106"/>
      <c r="Y377" s="7" t="s">
        <v>1094</v>
      </c>
    </row>
    <row r="378" spans="1:38" ht="12.75" customHeight="1"/>
    <row r="379" spans="1:38" ht="12.75" customHeight="1">
      <c r="A379" s="50" t="s">
        <v>84</v>
      </c>
      <c r="B379" s="50"/>
    </row>
    <row r="380" spans="1:38" ht="12.75" customHeight="1">
      <c r="D380" s="12" t="s">
        <v>463</v>
      </c>
      <c r="J380" s="1103" t="s">
        <v>1720</v>
      </c>
      <c r="K380" s="1105"/>
      <c r="L380" s="1105"/>
      <c r="M380" s="1105"/>
      <c r="N380" s="1105"/>
      <c r="O380" s="1105"/>
      <c r="P380" s="1105"/>
      <c r="Q380" s="1105"/>
      <c r="R380" s="1105"/>
      <c r="S380" s="1105"/>
      <c r="T380" s="1105"/>
      <c r="U380" s="1105"/>
      <c r="V380" s="14" t="s">
        <v>90</v>
      </c>
      <c r="W380" s="14"/>
      <c r="X380" s="14"/>
      <c r="Y380" s="14"/>
      <c r="Z380" s="14"/>
      <c r="AA380" s="14"/>
      <c r="AB380" s="14"/>
      <c r="AC380" s="1105"/>
      <c r="AD380" s="1105"/>
      <c r="AE380" s="1105"/>
      <c r="AF380" s="1105"/>
      <c r="AG380" s="1105"/>
      <c r="AH380" s="1105"/>
      <c r="AI380" s="1105"/>
      <c r="AJ380" s="1105"/>
    </row>
    <row r="381" spans="1:38" ht="12.75" customHeight="1">
      <c r="A381" s="743"/>
      <c r="B381" s="743"/>
      <c r="C381" s="743"/>
      <c r="D381" s="58" t="s">
        <v>1420</v>
      </c>
      <c r="E381" s="743"/>
      <c r="F381" s="743"/>
      <c r="G381" s="743"/>
      <c r="H381" s="743"/>
      <c r="I381" s="743"/>
      <c r="J381" s="1132" t="s">
        <v>1721</v>
      </c>
      <c r="K381" s="1127"/>
      <c r="L381" s="1127"/>
      <c r="M381" s="1127"/>
      <c r="N381" s="1127"/>
      <c r="O381" s="1127"/>
      <c r="P381" s="1127"/>
      <c r="Q381" s="1127"/>
      <c r="R381" s="1127"/>
      <c r="S381" s="1127"/>
      <c r="T381" s="1127"/>
      <c r="U381" s="1127"/>
      <c r="V381" s="58" t="s">
        <v>1420</v>
      </c>
      <c r="W381" s="14"/>
      <c r="X381" s="14"/>
      <c r="Y381" s="14"/>
      <c r="Z381" s="14"/>
      <c r="AA381" s="14"/>
      <c r="AB381" s="14"/>
      <c r="AC381" s="1103" t="s">
        <v>1722</v>
      </c>
      <c r="AD381" s="1105"/>
      <c r="AE381" s="1105"/>
      <c r="AF381" s="1105"/>
      <c r="AG381" s="1105"/>
      <c r="AH381" s="1105"/>
      <c r="AI381" s="1105"/>
      <c r="AJ381" s="1105"/>
      <c r="AK381" s="743"/>
      <c r="AL381" s="743"/>
    </row>
    <row r="382" spans="1:38" ht="12.75" customHeight="1">
      <c r="A382" s="743"/>
      <c r="B382" s="743"/>
      <c r="C382" s="743"/>
      <c r="D382" s="58" t="s">
        <v>477</v>
      </c>
      <c r="E382" s="743"/>
      <c r="F382" s="743"/>
      <c r="G382" s="743"/>
      <c r="H382" s="743"/>
      <c r="I382" s="743"/>
      <c r="J382" s="1132" t="s">
        <v>1771</v>
      </c>
      <c r="K382" s="1127"/>
      <c r="L382" s="1127"/>
      <c r="M382" s="1127"/>
      <c r="N382" s="1127"/>
      <c r="O382" s="1127"/>
      <c r="P382" s="1127"/>
      <c r="Q382" s="1127"/>
      <c r="R382" s="1127"/>
      <c r="S382" s="1127"/>
      <c r="T382" s="1127"/>
      <c r="U382" s="1127"/>
      <c r="V382" s="58" t="s">
        <v>477</v>
      </c>
      <c r="W382" s="14"/>
      <c r="X382" s="14"/>
      <c r="Y382" s="14"/>
      <c r="Z382" s="14"/>
      <c r="AA382" s="14"/>
      <c r="AB382" s="14"/>
      <c r="AC382" s="1103" t="s">
        <v>1723</v>
      </c>
      <c r="AD382" s="1105"/>
      <c r="AE382" s="1105"/>
      <c r="AF382" s="1105"/>
      <c r="AG382" s="1105"/>
      <c r="AH382" s="1105"/>
      <c r="AI382" s="1105"/>
      <c r="AJ382" s="1105"/>
      <c r="AK382" s="743"/>
      <c r="AL382" s="743"/>
    </row>
    <row r="383" spans="1:38" ht="12.75" customHeight="1">
      <c r="A383" s="743"/>
      <c r="B383" s="743"/>
      <c r="C383" s="743"/>
      <c r="D383" s="496" t="s">
        <v>1416</v>
      </c>
      <c r="E383" s="743"/>
      <c r="F383" s="743"/>
      <c r="G383" s="743"/>
      <c r="H383" s="743"/>
      <c r="I383" s="88"/>
      <c r="J383" s="1600" t="s">
        <v>1724</v>
      </c>
      <c r="K383" s="1232"/>
      <c r="L383" s="1232"/>
      <c r="M383" s="1232"/>
      <c r="N383" s="1232"/>
      <c r="O383" s="1232"/>
      <c r="P383" s="1232"/>
      <c r="Q383" s="1232"/>
      <c r="R383" s="1232"/>
      <c r="S383" s="1232"/>
      <c r="T383" s="1232"/>
      <c r="U383" s="1232"/>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221" t="s">
        <v>641</v>
      </c>
      <c r="R384" s="1561"/>
      <c r="S384" s="1561"/>
      <c r="T384" s="1561"/>
      <c r="U384" s="1561"/>
      <c r="V384" s="12" t="s">
        <v>331</v>
      </c>
      <c r="AI384" s="1106" t="s">
        <v>722</v>
      </c>
      <c r="AJ384" s="1106"/>
    </row>
    <row r="385" spans="1:38" ht="12.75" customHeight="1">
      <c r="D385" s="12" t="s">
        <v>5</v>
      </c>
      <c r="Q385" s="1221" t="s">
        <v>641</v>
      </c>
      <c r="R385" s="1222"/>
      <c r="S385" s="1222"/>
      <c r="T385" s="1222"/>
      <c r="U385" s="1222"/>
      <c r="W385" s="33" t="s">
        <v>80</v>
      </c>
      <c r="AG385" s="1558"/>
      <c r="AH385" s="1558"/>
      <c r="AI385" s="1558"/>
      <c r="AJ385" s="1558"/>
    </row>
    <row r="386" spans="1:38" ht="12.75" customHeight="1">
      <c r="D386" s="12" t="s">
        <v>462</v>
      </c>
      <c r="Q386" s="1591"/>
      <c r="R386" s="1591"/>
      <c r="S386" s="1591"/>
      <c r="T386" s="1591"/>
      <c r="U386" s="1591"/>
      <c r="V386" s="58" t="s">
        <v>1419</v>
      </c>
      <c r="AG386" s="1560"/>
      <c r="AH386" s="1560"/>
      <c r="AI386" s="1560"/>
      <c r="AJ386" s="1560"/>
    </row>
    <row r="387" spans="1:38" ht="12.75" customHeight="1">
      <c r="D387" s="12" t="s">
        <v>95</v>
      </c>
      <c r="I387" s="1128" t="s">
        <v>1725</v>
      </c>
      <c r="J387" s="1129"/>
      <c r="K387" s="1129"/>
      <c r="L387" s="1129"/>
      <c r="M387" s="1129"/>
      <c r="N387" s="1129"/>
      <c r="Q387" s="57" t="s">
        <v>220</v>
      </c>
      <c r="S387" s="1588"/>
      <c r="T387" s="1588"/>
      <c r="U387" s="1588"/>
      <c r="V387" s="12" t="s">
        <v>79</v>
      </c>
      <c r="AI387" s="1106" t="s">
        <v>722</v>
      </c>
      <c r="AJ387" s="1106"/>
    </row>
    <row r="388" spans="1:38" ht="12.75">
      <c r="D388" s="12" t="s">
        <v>332</v>
      </c>
      <c r="Q388" s="1196"/>
      <c r="R388" s="1196"/>
      <c r="S388" s="1196"/>
      <c r="T388" s="1196"/>
      <c r="U388" s="1196"/>
      <c r="V388" s="12" t="s">
        <v>333</v>
      </c>
      <c r="AG388" s="1559" t="s">
        <v>1661</v>
      </c>
      <c r="AH388" s="1558"/>
      <c r="AI388" s="1558"/>
      <c r="AJ388" s="1558"/>
    </row>
    <row r="389" spans="1:38" ht="12.75">
      <c r="D389" s="12" t="s">
        <v>334</v>
      </c>
      <c r="Q389" s="1556" t="s">
        <v>1661</v>
      </c>
      <c r="R389" s="1557"/>
      <c r="S389" s="1557"/>
      <c r="T389" s="1557"/>
      <c r="U389" s="1557"/>
      <c r="V389" s="743" t="s">
        <v>1396</v>
      </c>
      <c r="AG389" s="1558"/>
      <c r="AH389" s="1558"/>
      <c r="AI389" s="1558"/>
      <c r="AJ389" s="1558"/>
    </row>
    <row r="390" spans="1:38" ht="12.75">
      <c r="D390" s="743" t="s">
        <v>1395</v>
      </c>
      <c r="V390" s="743"/>
      <c r="AG390" s="1558"/>
      <c r="AH390" s="1558"/>
      <c r="AI390" s="1558"/>
      <c r="AJ390" s="155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03" t="s">
        <v>1719</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591</v>
      </c>
      <c r="S394" s="1106"/>
      <c r="T394" s="12" t="s">
        <v>619</v>
      </c>
      <c r="U394" s="743"/>
      <c r="V394" s="743"/>
      <c r="W394" s="743"/>
      <c r="X394" s="743"/>
      <c r="Y394" s="743"/>
      <c r="Z394" s="743"/>
      <c r="AA394" s="743"/>
      <c r="AB394" s="743"/>
      <c r="AC394" s="743"/>
      <c r="AD394" s="1425">
        <v>5</v>
      </c>
      <c r="AE394" s="1425"/>
      <c r="AF394" s="743"/>
    </row>
    <row r="395" spans="1:38" ht="12.75" customHeight="1">
      <c r="C395" s="25"/>
      <c r="E395" s="12" t="s">
        <v>114</v>
      </c>
      <c r="F395" s="743"/>
      <c r="G395" s="743"/>
      <c r="H395" s="743"/>
      <c r="I395" s="743"/>
      <c r="J395" s="743"/>
      <c r="K395" s="743"/>
      <c r="L395" s="743"/>
      <c r="M395" s="743"/>
      <c r="N395" s="25"/>
      <c r="O395" s="25"/>
      <c r="P395" s="743"/>
      <c r="Q395" s="743"/>
      <c r="R395" s="1106" t="s">
        <v>641</v>
      </c>
      <c r="S395" s="1106"/>
      <c r="T395" s="12" t="s">
        <v>619</v>
      </c>
      <c r="U395" s="743"/>
      <c r="V395" s="743"/>
      <c r="W395" s="743"/>
      <c r="X395" s="743"/>
      <c r="Y395" s="743"/>
      <c r="Z395" s="743"/>
      <c r="AA395" s="743"/>
      <c r="AB395" s="743"/>
      <c r="AC395" s="743"/>
      <c r="AD395" s="1425">
        <v>0</v>
      </c>
      <c r="AE395" s="1425"/>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641</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86" t="s">
        <v>357</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30"/>
      <c r="F406" s="1130"/>
      <c r="G406" s="1130"/>
      <c r="H406" s="23" t="s">
        <v>122</v>
      </c>
      <c r="I406" s="1130"/>
      <c r="J406" s="1130"/>
      <c r="K406" s="1130"/>
      <c r="L406" s="12" t="s">
        <v>123</v>
      </c>
      <c r="N406" s="144" t="s">
        <v>625</v>
      </c>
      <c r="P406" s="1126">
        <v>1.08</v>
      </c>
      <c r="Q406" s="1126"/>
      <c r="R406" s="1126"/>
      <c r="S406" s="12" t="s">
        <v>124</v>
      </c>
      <c r="W406" s="1590">
        <f>IF(E406&gt;0,(E406*I406),(P406*43560))</f>
        <v>47044.800000000003</v>
      </c>
      <c r="X406" s="1590"/>
      <c r="Y406" s="1590"/>
      <c r="Z406" s="12" t="s">
        <v>125</v>
      </c>
      <c r="AF406" s="1126">
        <f>AG424/P406</f>
        <v>83.333333333333329</v>
      </c>
      <c r="AG406" s="1126"/>
      <c r="AH406" s="1126"/>
    </row>
    <row r="407" spans="1:36" ht="12.75">
      <c r="E407" s="12" t="s">
        <v>56</v>
      </c>
    </row>
    <row r="408" spans="1:36" ht="12.75">
      <c r="E408" s="1594" t="s">
        <v>1794</v>
      </c>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row>
    <row r="409" spans="1:36" ht="12.75"/>
    <row r="410" spans="1:36" ht="12.75">
      <c r="A410" s="50" t="s">
        <v>642</v>
      </c>
      <c r="B410" s="50"/>
      <c r="C410" s="50"/>
      <c r="D410" s="50" t="s">
        <v>127</v>
      </c>
    </row>
    <row r="411" spans="1:36" ht="12.75">
      <c r="E411" s="12" t="s">
        <v>128</v>
      </c>
      <c r="P411" s="1106">
        <v>1</v>
      </c>
      <c r="Q411" s="1106"/>
      <c r="S411" s="12" t="s">
        <v>203</v>
      </c>
      <c r="AE411" s="1106">
        <v>1</v>
      </c>
      <c r="AF411" s="1106"/>
    </row>
    <row r="412" spans="1:36" ht="12.75">
      <c r="E412" s="12" t="s">
        <v>204</v>
      </c>
      <c r="P412" s="1106">
        <v>0</v>
      </c>
      <c r="Q412" s="1106"/>
      <c r="S412" s="12" t="s">
        <v>138</v>
      </c>
      <c r="AE412" s="1106" t="s">
        <v>641</v>
      </c>
      <c r="AF412" s="1106"/>
    </row>
    <row r="413" spans="1:36" ht="12.75" customHeight="1">
      <c r="F413" s="67" t="s">
        <v>139</v>
      </c>
    </row>
    <row r="414" spans="1:36" ht="12.75" customHeight="1">
      <c r="F414" s="1565" t="s">
        <v>266</v>
      </c>
      <c r="G414" s="1326"/>
      <c r="H414" s="1326"/>
      <c r="I414" s="1326"/>
      <c r="J414" s="1326"/>
      <c r="K414" s="1326"/>
      <c r="L414" s="1326"/>
      <c r="M414" s="1326"/>
      <c r="N414" s="1326"/>
      <c r="O414" s="1326"/>
      <c r="P414" s="1326"/>
      <c r="Q414" s="1326"/>
      <c r="R414" s="1326"/>
      <c r="S414" s="1326"/>
      <c r="T414" s="1326"/>
      <c r="U414" s="1326"/>
      <c r="V414" s="1326"/>
      <c r="W414" s="1326"/>
      <c r="X414" s="1326"/>
      <c r="Y414" s="1326"/>
      <c r="Z414" s="1326"/>
      <c r="AA414" s="1326"/>
      <c r="AB414" s="1326"/>
      <c r="AC414" s="1326"/>
      <c r="AD414" s="1326"/>
      <c r="AE414" s="1326"/>
      <c r="AF414" s="1326"/>
      <c r="AG414" s="1326"/>
      <c r="AH414" s="1326"/>
    </row>
    <row r="415" spans="1:36" ht="12.75" customHeight="1">
      <c r="F415" s="1327"/>
      <c r="G415" s="1327"/>
      <c r="H415" s="1327"/>
      <c r="I415" s="1327"/>
      <c r="J415" s="1327"/>
      <c r="K415" s="1327"/>
      <c r="L415" s="1327"/>
      <c r="M415" s="1327"/>
      <c r="N415" s="1327"/>
      <c r="O415" s="1327"/>
      <c r="P415" s="1327"/>
      <c r="Q415" s="1327"/>
      <c r="R415" s="1327"/>
      <c r="S415" s="1327"/>
      <c r="T415" s="1327"/>
      <c r="U415" s="1327"/>
      <c r="V415" s="1327"/>
      <c r="W415" s="1327"/>
      <c r="X415" s="1327"/>
      <c r="Y415" s="1327"/>
      <c r="Z415" s="1327"/>
      <c r="AA415" s="1327"/>
      <c r="AB415" s="1327"/>
      <c r="AC415" s="1327"/>
      <c r="AD415" s="1327"/>
      <c r="AE415" s="1327"/>
      <c r="AF415" s="1327"/>
      <c r="AG415" s="1327"/>
      <c r="AH415" s="1327"/>
    </row>
    <row r="416" spans="1:36" ht="12.75" customHeight="1">
      <c r="E416" s="12" t="s">
        <v>658</v>
      </c>
      <c r="N416" s="39"/>
      <c r="O416" s="39"/>
      <c r="P416" s="243"/>
      <c r="Q416" s="1106" t="s">
        <v>591</v>
      </c>
      <c r="R416" s="110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6" t="s">
        <v>641</v>
      </c>
      <c r="AG417" s="1601"/>
    </row>
    <row r="418" spans="1:96" ht="12.75" customHeight="1">
      <c r="S418" s="25"/>
      <c r="T418" s="25"/>
    </row>
    <row r="419" spans="1:96" ht="12.75" customHeight="1">
      <c r="A419" s="50"/>
      <c r="B419" s="50"/>
      <c r="C419" s="50"/>
      <c r="E419" s="7" t="s">
        <v>330</v>
      </c>
      <c r="Z419" s="1106" t="s">
        <v>722</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6" t="s">
        <v>641</v>
      </c>
      <c r="AA421" s="1106"/>
    </row>
    <row r="422" spans="1:96" ht="12.75" customHeight="1"/>
    <row r="423" spans="1:96" ht="12.75" customHeight="1">
      <c r="A423" s="50" t="s">
        <v>513</v>
      </c>
      <c r="B423" s="50"/>
      <c r="C423" s="50"/>
      <c r="D423" s="50" t="s">
        <v>842</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42"/>
      <c r="AG424" s="1538">
        <v>90</v>
      </c>
      <c r="AH424" s="1538"/>
      <c r="AI424" s="1538"/>
      <c r="AJ424" s="1538"/>
    </row>
    <row r="425" spans="1:96" ht="12.75" customHeight="1">
      <c r="D425" s="1518" t="s">
        <v>1488</v>
      </c>
      <c r="E425" s="1519"/>
      <c r="F425" s="1519"/>
      <c r="G425" s="1519"/>
      <c r="H425" s="1519"/>
      <c r="I425" s="1519"/>
      <c r="J425" s="1519"/>
      <c r="K425" s="1519"/>
      <c r="L425" s="1519"/>
      <c r="M425" s="1519"/>
      <c r="N425" s="1519"/>
      <c r="O425" s="1519"/>
      <c r="P425" s="1519"/>
      <c r="Q425" s="1519"/>
      <c r="R425" s="1519"/>
      <c r="S425" s="1519"/>
      <c r="T425" s="1519"/>
      <c r="U425" s="1519"/>
      <c r="V425" s="1519"/>
      <c r="W425" s="1519"/>
      <c r="X425" s="1519"/>
      <c r="Y425" s="1519"/>
      <c r="Z425" s="1519"/>
      <c r="AA425" s="1519"/>
      <c r="AB425" s="1519"/>
      <c r="AC425" s="1519"/>
      <c r="AD425" s="1519"/>
      <c r="AE425" s="1519"/>
      <c r="AF425" s="1520"/>
      <c r="AG425" s="1546">
        <v>0</v>
      </c>
      <c r="AH425" s="1180"/>
      <c r="AI425" s="1180"/>
      <c r="AJ425" s="1180"/>
    </row>
    <row r="426" spans="1:96" ht="12.75" customHeight="1">
      <c r="D426" s="1518" t="s">
        <v>1182</v>
      </c>
      <c r="E426" s="1519"/>
      <c r="F426" s="1519"/>
      <c r="G426" s="1519"/>
      <c r="H426" s="1519"/>
      <c r="I426" s="1519"/>
      <c r="J426" s="1519"/>
      <c r="K426" s="1519"/>
      <c r="L426" s="1519"/>
      <c r="M426" s="1519"/>
      <c r="N426" s="1519"/>
      <c r="O426" s="1519"/>
      <c r="P426" s="1519"/>
      <c r="Q426" s="1519"/>
      <c r="R426" s="1519"/>
      <c r="S426" s="1519"/>
      <c r="T426" s="1519"/>
      <c r="U426" s="1519"/>
      <c r="V426" s="1519"/>
      <c r="W426" s="1519"/>
      <c r="X426" s="1519"/>
      <c r="Y426" s="1519"/>
      <c r="Z426" s="1519"/>
      <c r="AA426" s="1519"/>
      <c r="AB426" s="1519"/>
      <c r="AC426" s="1519"/>
      <c r="AD426" s="1519"/>
      <c r="AE426" s="1519"/>
      <c r="AF426" s="1520"/>
      <c r="AG426" s="1538">
        <v>88</v>
      </c>
      <c r="AH426" s="1538"/>
      <c r="AI426" s="1538"/>
      <c r="AJ426" s="1538"/>
    </row>
    <row r="427" spans="1:96" ht="12.75" customHeight="1">
      <c r="D427" s="1518" t="s">
        <v>1183</v>
      </c>
      <c r="E427" s="1519"/>
      <c r="F427" s="1519"/>
      <c r="G427" s="1519"/>
      <c r="H427" s="1519"/>
      <c r="I427" s="1519"/>
      <c r="J427" s="1519"/>
      <c r="K427" s="1519"/>
      <c r="L427" s="1519"/>
      <c r="M427" s="1519"/>
      <c r="N427" s="1519"/>
      <c r="O427" s="1519"/>
      <c r="P427" s="1519"/>
      <c r="Q427" s="1519"/>
      <c r="R427" s="1519"/>
      <c r="S427" s="1519"/>
      <c r="T427" s="1519"/>
      <c r="U427" s="1519"/>
      <c r="V427" s="1519"/>
      <c r="W427" s="1519"/>
      <c r="X427" s="1519"/>
      <c r="Y427" s="1519"/>
      <c r="Z427" s="1519"/>
      <c r="AA427" s="1519"/>
      <c r="AB427" s="1519"/>
      <c r="AC427" s="1519"/>
      <c r="AD427" s="1519"/>
      <c r="AE427" s="1519"/>
      <c r="AF427" s="1520"/>
      <c r="AG427" s="1538">
        <v>88</v>
      </c>
      <c r="AH427" s="1538"/>
      <c r="AI427" s="1538"/>
      <c r="AJ427" s="1538"/>
    </row>
    <row r="428" spans="1:96" ht="12.75" customHeight="1">
      <c r="D428" s="1518" t="s">
        <v>1185</v>
      </c>
      <c r="E428" s="1519"/>
      <c r="F428" s="1519"/>
      <c r="G428" s="1519"/>
      <c r="H428" s="1519"/>
      <c r="I428" s="1519"/>
      <c r="J428" s="1519"/>
      <c r="K428" s="1519"/>
      <c r="L428" s="1519"/>
      <c r="M428" s="1519"/>
      <c r="N428" s="1519"/>
      <c r="O428" s="1519"/>
      <c r="P428" s="1519"/>
      <c r="Q428" s="1519"/>
      <c r="R428" s="1519"/>
      <c r="S428" s="1519"/>
      <c r="T428" s="1519"/>
      <c r="U428" s="1519"/>
      <c r="V428" s="1519"/>
      <c r="W428" s="1519"/>
      <c r="X428" s="1519"/>
      <c r="Y428" s="1519"/>
      <c r="Z428" s="1519"/>
      <c r="AA428" s="1519"/>
      <c r="AB428" s="1519"/>
      <c r="AC428" s="1519"/>
      <c r="AD428" s="1519"/>
      <c r="AE428" s="1519"/>
      <c r="AF428" s="1520"/>
      <c r="AG428" s="1589">
        <f>IF(ISERROR(AG427/AG426),"",AG427/AG426)</f>
        <v>1</v>
      </c>
      <c r="AH428" s="1589"/>
      <c r="AI428" s="1589"/>
      <c r="AJ428" s="1589"/>
    </row>
    <row r="429" spans="1:96" ht="12.75" customHeight="1">
      <c r="D429" s="1518" t="s">
        <v>1184</v>
      </c>
      <c r="E429" s="1519"/>
      <c r="F429" s="1519"/>
      <c r="G429" s="1519"/>
      <c r="H429" s="1519"/>
      <c r="I429" s="1519"/>
      <c r="J429" s="1519"/>
      <c r="K429" s="1519"/>
      <c r="L429" s="1519"/>
      <c r="M429" s="1519"/>
      <c r="N429" s="1519"/>
      <c r="O429" s="1519"/>
      <c r="P429" s="1519"/>
      <c r="Q429" s="1519"/>
      <c r="R429" s="1519"/>
      <c r="S429" s="1519"/>
      <c r="T429" s="1519"/>
      <c r="U429" s="1519"/>
      <c r="V429" s="1519"/>
      <c r="W429" s="1519"/>
      <c r="X429" s="1519"/>
      <c r="Y429" s="1519"/>
      <c r="Z429" s="1519"/>
      <c r="AA429" s="1519"/>
      <c r="AB429" s="1519"/>
      <c r="AC429" s="1519"/>
      <c r="AD429" s="1519"/>
      <c r="AE429" s="1519"/>
      <c r="AF429" s="1520"/>
      <c r="AG429" s="1462">
        <v>81082</v>
      </c>
      <c r="AH429" s="1462"/>
      <c r="AI429" s="1462"/>
      <c r="AJ429" s="1462"/>
    </row>
    <row r="430" spans="1:96" ht="12.75" customHeight="1">
      <c r="D430" s="1518" t="s">
        <v>1186</v>
      </c>
      <c r="E430" s="1519"/>
      <c r="F430" s="1519"/>
      <c r="G430" s="1519"/>
      <c r="H430" s="1519"/>
      <c r="I430" s="1519"/>
      <c r="J430" s="1519"/>
      <c r="K430" s="1519"/>
      <c r="L430" s="1519"/>
      <c r="M430" s="1519"/>
      <c r="N430" s="1519"/>
      <c r="O430" s="1519"/>
      <c r="P430" s="1519"/>
      <c r="Q430" s="1519"/>
      <c r="R430" s="1519"/>
      <c r="S430" s="1519"/>
      <c r="T430" s="1519"/>
      <c r="U430" s="1519"/>
      <c r="V430" s="1519"/>
      <c r="W430" s="1519"/>
      <c r="X430" s="1519"/>
      <c r="Y430" s="1519"/>
      <c r="Z430" s="1519"/>
      <c r="AA430" s="1519"/>
      <c r="AB430" s="1519"/>
      <c r="AC430" s="1519"/>
      <c r="AD430" s="1519"/>
      <c r="AE430" s="1519"/>
      <c r="AF430" s="1520"/>
      <c r="AG430" s="1462">
        <v>81082</v>
      </c>
      <c r="AH430" s="1462"/>
      <c r="AI430" s="1462"/>
      <c r="AJ430" s="1462"/>
    </row>
    <row r="431" spans="1:96" ht="12.75" customHeight="1">
      <c r="D431" s="1518" t="s">
        <v>1187</v>
      </c>
      <c r="E431" s="1519"/>
      <c r="F431" s="1519"/>
      <c r="G431" s="1519"/>
      <c r="H431" s="1519"/>
      <c r="I431" s="1519"/>
      <c r="J431" s="1519"/>
      <c r="K431" s="1519"/>
      <c r="L431" s="1519"/>
      <c r="M431" s="1519"/>
      <c r="N431" s="1519"/>
      <c r="O431" s="1519"/>
      <c r="P431" s="1519"/>
      <c r="Q431" s="1519"/>
      <c r="R431" s="1519"/>
      <c r="S431" s="1519"/>
      <c r="T431" s="1519"/>
      <c r="U431" s="1519"/>
      <c r="V431" s="1519"/>
      <c r="W431" s="1519"/>
      <c r="X431" s="1519"/>
      <c r="Y431" s="1519"/>
      <c r="Z431" s="1519"/>
      <c r="AA431" s="1519"/>
      <c r="AB431" s="1519"/>
      <c r="AC431" s="1519"/>
      <c r="AD431" s="1519"/>
      <c r="AE431" s="1519"/>
      <c r="AF431" s="1520"/>
      <c r="AG431" s="1589">
        <f>IF(ISERROR(AG430/AG429),"",AG430/AG429)</f>
        <v>1</v>
      </c>
      <c r="AH431" s="1589"/>
      <c r="AI431" s="1589"/>
      <c r="AJ431" s="1589"/>
    </row>
    <row r="432" spans="1:96" ht="12.75" customHeight="1">
      <c r="D432" s="1518" t="s">
        <v>1188</v>
      </c>
      <c r="E432" s="1519"/>
      <c r="F432" s="1519"/>
      <c r="G432" s="1519"/>
      <c r="H432" s="1519"/>
      <c r="I432" s="1519"/>
      <c r="J432" s="1519"/>
      <c r="K432" s="1519"/>
      <c r="L432" s="1519"/>
      <c r="M432" s="1519"/>
      <c r="N432" s="1519"/>
      <c r="O432" s="1519"/>
      <c r="P432" s="1519"/>
      <c r="Q432" s="1519"/>
      <c r="R432" s="1519"/>
      <c r="S432" s="1519"/>
      <c r="T432" s="1519"/>
      <c r="U432" s="1519"/>
      <c r="V432" s="1519"/>
      <c r="W432" s="1519"/>
      <c r="X432" s="1519"/>
      <c r="Y432" s="1519"/>
      <c r="Z432" s="1519"/>
      <c r="AA432" s="1519"/>
      <c r="AB432" s="1519"/>
      <c r="AC432" s="1519"/>
      <c r="AD432" s="1519"/>
      <c r="AE432" s="1519"/>
      <c r="AF432" s="1520"/>
      <c r="AG432" s="1589">
        <f>MIN(IF(AG428&gt;AG431,AG431,AG428),1)</f>
        <v>1</v>
      </c>
      <c r="AH432" s="1589"/>
      <c r="AI432" s="1589"/>
      <c r="AJ432" s="158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8" t="s">
        <v>1459</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42"/>
      <c r="AG433" s="1462">
        <v>1349</v>
      </c>
      <c r="AH433" s="1462"/>
      <c r="AI433" s="1462"/>
      <c r="AJ433" s="146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42"/>
      <c r="AG434" s="1462">
        <v>0</v>
      </c>
      <c r="AH434" s="1462"/>
      <c r="AI434" s="1462"/>
      <c r="AJ434" s="146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8" t="s">
        <v>1460</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42"/>
      <c r="AG435" s="1462">
        <v>6831</v>
      </c>
      <c r="AH435" s="1462"/>
      <c r="AI435" s="1462"/>
      <c r="AJ435" s="146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8" t="s">
        <v>1189</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42"/>
      <c r="AG436" s="1462">
        <v>21000</v>
      </c>
      <c r="AH436" s="1462"/>
      <c r="AI436" s="1462"/>
      <c r="AJ436" s="146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6" t="s">
        <v>1190</v>
      </c>
      <c r="E437" s="1577"/>
      <c r="F437" s="1577"/>
      <c r="G437" s="1577"/>
      <c r="H437" s="1577"/>
      <c r="I437" s="1577"/>
      <c r="J437" s="1577"/>
      <c r="K437" s="1577"/>
      <c r="L437" s="1577"/>
      <c r="M437" s="1577"/>
      <c r="N437" s="1577"/>
      <c r="O437" s="1577"/>
      <c r="P437" s="1577"/>
      <c r="Q437" s="1577"/>
      <c r="R437" s="1577"/>
      <c r="S437" s="1577"/>
      <c r="T437" s="1577"/>
      <c r="U437" s="1577"/>
      <c r="V437" s="1577"/>
      <c r="W437" s="1577"/>
      <c r="X437" s="1577"/>
      <c r="Y437" s="1577"/>
      <c r="Z437" s="1577"/>
      <c r="AA437" s="1577"/>
      <c r="AB437" s="1577"/>
      <c r="AC437" s="1577"/>
      <c r="AD437" s="1577"/>
      <c r="AE437" s="1577"/>
      <c r="AF437" s="1578"/>
      <c r="AG437" s="1539">
        <f>AG429+AG433+AG435+AG436</f>
        <v>110262</v>
      </c>
      <c r="AH437" s="1539"/>
      <c r="AI437" s="1539"/>
      <c r="AJ437" s="153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9" t="s">
        <v>1461</v>
      </c>
      <c r="E438" s="157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1579"/>
      <c r="AG438" s="1579"/>
      <c r="AH438" s="1579"/>
      <c r="AI438" s="1579"/>
      <c r="AJ438" s="15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0"/>
      <c r="E439" s="1580"/>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1580"/>
      <c r="AG439" s="1580"/>
      <c r="AH439" s="1580"/>
      <c r="AI439" s="1580"/>
      <c r="AJ439" s="15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528795.72222222225</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528795.72222222225</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495421.7</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3" t="s">
        <v>749</v>
      </c>
      <c r="E452" s="1464"/>
      <c r="F452" s="1464"/>
      <c r="G452" s="1464"/>
      <c r="H452" s="1464"/>
      <c r="I452" s="1464"/>
      <c r="J452" s="1464"/>
      <c r="K452" s="1464"/>
      <c r="L452" s="1464"/>
      <c r="M452" s="1464"/>
      <c r="N452" s="1464"/>
      <c r="O452" s="1464"/>
      <c r="P452" s="1464"/>
      <c r="Q452" s="1464"/>
      <c r="R452" s="1464"/>
      <c r="S452" s="1464"/>
      <c r="T452" s="1464"/>
      <c r="U452" s="1464"/>
      <c r="V452" s="1465"/>
      <c r="W452" s="1263">
        <v>49</v>
      </c>
      <c r="X452" s="1264"/>
      <c r="Y452" s="126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3" t="s">
        <v>750</v>
      </c>
      <c r="E453" s="1464"/>
      <c r="F453" s="1464"/>
      <c r="G453" s="1464"/>
      <c r="H453" s="1464"/>
      <c r="I453" s="1464"/>
      <c r="J453" s="1464"/>
      <c r="K453" s="1464"/>
      <c r="L453" s="1464"/>
      <c r="M453" s="1464"/>
      <c r="N453" s="1464"/>
      <c r="O453" s="1464"/>
      <c r="P453" s="1464"/>
      <c r="Q453" s="1464"/>
      <c r="R453" s="1464"/>
      <c r="S453" s="1464"/>
      <c r="T453" s="1464"/>
      <c r="U453" s="1464"/>
      <c r="V453" s="1465"/>
      <c r="W453" s="1263" t="s">
        <v>641</v>
      </c>
      <c r="X453" s="1264"/>
      <c r="Y453" s="126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3" t="s">
        <v>751</v>
      </c>
      <c r="E454" s="1464"/>
      <c r="F454" s="1464"/>
      <c r="G454" s="1464"/>
      <c r="H454" s="1464"/>
      <c r="I454" s="1464"/>
      <c r="J454" s="1464"/>
      <c r="K454" s="1464"/>
      <c r="L454" s="1464"/>
      <c r="M454" s="1464"/>
      <c r="N454" s="1464"/>
      <c r="O454" s="1464"/>
      <c r="P454" s="1464"/>
      <c r="Q454" s="1464"/>
      <c r="R454" s="1464"/>
      <c r="S454" s="1464"/>
      <c r="T454" s="1464"/>
      <c r="U454" s="1464"/>
      <c r="V454" s="1465"/>
      <c r="W454" s="1566" t="s">
        <v>641</v>
      </c>
      <c r="X454" s="1264"/>
      <c r="Y454" s="126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3" t="s">
        <v>752</v>
      </c>
      <c r="E455" s="1464"/>
      <c r="F455" s="1464"/>
      <c r="G455" s="1464"/>
      <c r="H455" s="1464"/>
      <c r="I455" s="1464"/>
      <c r="J455" s="1464"/>
      <c r="K455" s="1464"/>
      <c r="L455" s="1464"/>
      <c r="M455" s="1464"/>
      <c r="N455" s="1464"/>
      <c r="O455" s="1464"/>
      <c r="P455" s="1464"/>
      <c r="Q455" s="1464"/>
      <c r="R455" s="1464"/>
      <c r="S455" s="1464"/>
      <c r="T455" s="1464"/>
      <c r="U455" s="1464"/>
      <c r="V455" s="1465"/>
      <c r="W455" s="1263" t="s">
        <v>641</v>
      </c>
      <c r="X455" s="1264"/>
      <c r="Y455" s="126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3" t="s">
        <v>975</v>
      </c>
      <c r="E456" s="1464"/>
      <c r="F456" s="1464"/>
      <c r="G456" s="1464"/>
      <c r="H456" s="1464"/>
      <c r="I456" s="1464"/>
      <c r="J456" s="1464"/>
      <c r="K456" s="1464"/>
      <c r="L456" s="1464"/>
      <c r="M456" s="1464"/>
      <c r="N456" s="1464"/>
      <c r="O456" s="1464"/>
      <c r="P456" s="1464"/>
      <c r="Q456" s="1464"/>
      <c r="R456" s="1464"/>
      <c r="S456" s="1464"/>
      <c r="T456" s="1464"/>
      <c r="U456" s="1464"/>
      <c r="V456" s="1465"/>
      <c r="W456" s="1263" t="s">
        <v>641</v>
      </c>
      <c r="X456" s="1264"/>
      <c r="Y456" s="126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3" t="s">
        <v>753</v>
      </c>
      <c r="E457" s="1464"/>
      <c r="F457" s="1464"/>
      <c r="G457" s="1464"/>
      <c r="H457" s="1464"/>
      <c r="I457" s="1464"/>
      <c r="J457" s="1464"/>
      <c r="K457" s="1464"/>
      <c r="L457" s="1464"/>
      <c r="M457" s="1464"/>
      <c r="N457" s="1464"/>
      <c r="O457" s="1464"/>
      <c r="P457" s="1464"/>
      <c r="Q457" s="1464"/>
      <c r="R457" s="1464"/>
      <c r="S457" s="1464"/>
      <c r="T457" s="1464"/>
      <c r="U457" s="1464"/>
      <c r="V457" s="1465"/>
      <c r="W457" s="1263" t="s">
        <v>641</v>
      </c>
      <c r="X457" s="1264"/>
      <c r="Y457" s="126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3" t="s">
        <v>1155</v>
      </c>
      <c r="E458" s="1464"/>
      <c r="F458" s="1464"/>
      <c r="G458" s="1464"/>
      <c r="H458" s="1464"/>
      <c r="I458" s="1464"/>
      <c r="J458" s="1464"/>
      <c r="K458" s="1464"/>
      <c r="L458" s="1464"/>
      <c r="M458" s="1464"/>
      <c r="N458" s="1464"/>
      <c r="O458" s="1464"/>
      <c r="P458" s="1464"/>
      <c r="Q458" s="1464"/>
      <c r="R458" s="1464"/>
      <c r="S458" s="1464"/>
      <c r="T458" s="1464"/>
      <c r="U458" s="1464"/>
      <c r="V458" s="1465"/>
      <c r="W458" s="1263" t="s">
        <v>641</v>
      </c>
      <c r="X458" s="1264"/>
      <c r="Y458" s="126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5"/>
      <c r="H459" s="1536"/>
      <c r="I459" s="1536"/>
      <c r="J459" s="1536"/>
      <c r="K459" s="1536"/>
      <c r="L459" s="1536"/>
      <c r="M459" s="1536"/>
      <c r="N459" s="1536"/>
      <c r="O459" s="1536"/>
      <c r="P459" s="1536"/>
      <c r="Q459" s="1536"/>
      <c r="R459" s="1536"/>
      <c r="S459" s="1536"/>
      <c r="T459" s="1536"/>
      <c r="U459" s="1536"/>
      <c r="V459" s="1537"/>
      <c r="W459" s="1263" t="s">
        <v>641</v>
      </c>
      <c r="X459" s="1264"/>
      <c r="Y459" s="126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7" t="s">
        <v>754</v>
      </c>
      <c r="E463" s="1468"/>
      <c r="F463" s="1468"/>
      <c r="G463" s="1468"/>
      <c r="H463" s="1468"/>
      <c r="I463" s="1468"/>
      <c r="J463" s="1468"/>
      <c r="K463" s="1468"/>
      <c r="L463" s="1468"/>
      <c r="M463" s="1468"/>
      <c r="N463" s="1468"/>
      <c r="O463" s="1468"/>
      <c r="P463" s="1468"/>
      <c r="Q463" s="1468"/>
      <c r="R463" s="1468"/>
      <c r="S463" s="1468"/>
      <c r="T463" s="1468"/>
      <c r="U463" s="1468"/>
      <c r="V463" s="1468"/>
      <c r="W463" s="1581"/>
      <c r="X463" s="1581"/>
      <c r="Y463" s="15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3" t="s">
        <v>755</v>
      </c>
      <c r="E464" s="1464"/>
      <c r="F464" s="1464"/>
      <c r="G464" s="1464"/>
      <c r="H464" s="1464"/>
      <c r="I464" s="1464"/>
      <c r="J464" s="1464"/>
      <c r="K464" s="1464"/>
      <c r="L464" s="1464"/>
      <c r="M464" s="1464"/>
      <c r="N464" s="1464"/>
      <c r="O464" s="1464"/>
      <c r="P464" s="1464"/>
      <c r="Q464" s="1464"/>
      <c r="R464" s="1464"/>
      <c r="S464" s="1464"/>
      <c r="T464" s="1464"/>
      <c r="U464" s="1464"/>
      <c r="V464" s="1465"/>
      <c r="W464" s="1263" t="s">
        <v>641</v>
      </c>
      <c r="X464" s="1264"/>
      <c r="Y464" s="126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892</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4" t="s">
        <v>893</v>
      </c>
      <c r="U471" s="1475"/>
      <c r="V471" s="1475"/>
      <c r="W471" s="1475"/>
      <c r="X471" s="1475"/>
      <c r="Y471" s="1475"/>
      <c r="Z471" s="1475"/>
      <c r="AA471" s="1475"/>
      <c r="AB471" s="1475"/>
      <c r="AC471" s="1475"/>
      <c r="AD471" s="1475"/>
      <c r="AE471" s="1475"/>
      <c r="AF471" s="1475"/>
      <c r="AG471" s="1475"/>
      <c r="AH471" s="152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9" t="s">
        <v>38</v>
      </c>
      <c r="U472" s="1469"/>
      <c r="V472" s="1469"/>
      <c r="W472" s="1469"/>
      <c r="X472" s="1469"/>
      <c r="Y472" s="1469" t="s">
        <v>39</v>
      </c>
      <c r="Z472" s="1469"/>
      <c r="AA472" s="1469"/>
      <c r="AB472" s="1469"/>
      <c r="AC472" s="1469"/>
      <c r="AD472" s="1469" t="s">
        <v>362</v>
      </c>
      <c r="AE472" s="1469"/>
      <c r="AF472" s="1469"/>
      <c r="AG472" s="1469"/>
      <c r="AH472" s="146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9"/>
      <c r="U473" s="1469"/>
      <c r="V473" s="1469"/>
      <c r="W473" s="1469"/>
      <c r="X473" s="1469"/>
      <c r="Y473" s="1469"/>
      <c r="Z473" s="1469"/>
      <c r="AA473" s="1469"/>
      <c r="AB473" s="1469"/>
      <c r="AC473" s="1469"/>
      <c r="AD473" s="1469"/>
      <c r="AE473" s="1469"/>
      <c r="AF473" s="1469"/>
      <c r="AG473" s="1469"/>
      <c r="AH473" s="146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6">
        <v>43709</v>
      </c>
      <c r="U474" s="1466"/>
      <c r="V474" s="1466"/>
      <c r="W474" s="1466"/>
      <c r="X474" s="1466"/>
      <c r="Y474" s="1466">
        <v>0</v>
      </c>
      <c r="Z474" s="1466"/>
      <c r="AA474" s="1466"/>
      <c r="AB474" s="1466"/>
      <c r="AC474" s="1466"/>
      <c r="AD474" s="1466">
        <v>43495</v>
      </c>
      <c r="AE474" s="1466"/>
      <c r="AF474" s="1466"/>
      <c r="AG474" s="1466"/>
      <c r="AH474" s="14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6">
        <v>43770</v>
      </c>
      <c r="U475" s="1466"/>
      <c r="V475" s="1466"/>
      <c r="W475" s="1466"/>
      <c r="X475" s="1466"/>
      <c r="Y475" s="1466">
        <v>44287</v>
      </c>
      <c r="Z475" s="1466"/>
      <c r="AA475" s="1466"/>
      <c r="AB475" s="1466"/>
      <c r="AC475" s="1466"/>
      <c r="AD475" s="1466"/>
      <c r="AE475" s="1466"/>
      <c r="AF475" s="1466"/>
      <c r="AG475" s="1466"/>
      <c r="AH475" s="14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98" t="s">
        <v>641</v>
      </c>
      <c r="U476" s="1466"/>
      <c r="V476" s="1466"/>
      <c r="W476" s="1466"/>
      <c r="X476" s="1466"/>
      <c r="Y476" s="1466">
        <v>0</v>
      </c>
      <c r="Z476" s="1466"/>
      <c r="AA476" s="1466"/>
      <c r="AB476" s="1466"/>
      <c r="AC476" s="1466"/>
      <c r="AD476" s="1466">
        <v>0</v>
      </c>
      <c r="AE476" s="1466"/>
      <c r="AF476" s="1466"/>
      <c r="AG476" s="1466"/>
      <c r="AH476" s="14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6" t="s">
        <v>641</v>
      </c>
      <c r="U477" s="1466"/>
      <c r="V477" s="1466"/>
      <c r="W477" s="1466"/>
      <c r="X477" s="1466"/>
      <c r="Y477" s="1466">
        <v>44287</v>
      </c>
      <c r="Z477" s="1466"/>
      <c r="AA477" s="1466"/>
      <c r="AB477" s="1466"/>
      <c r="AC477" s="1466"/>
      <c r="AD477" s="1466"/>
      <c r="AE477" s="1466"/>
      <c r="AF477" s="1466"/>
      <c r="AG477" s="1466"/>
      <c r="AH477" s="146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98" t="s">
        <v>641</v>
      </c>
      <c r="U478" s="1466"/>
      <c r="V478" s="1466"/>
      <c r="W478" s="1466"/>
      <c r="X478" s="1466"/>
      <c r="Y478" s="1466">
        <v>0</v>
      </c>
      <c r="Z478" s="1466"/>
      <c r="AA478" s="1466"/>
      <c r="AB478" s="1466"/>
      <c r="AC478" s="1466"/>
      <c r="AD478" s="1466">
        <v>0</v>
      </c>
      <c r="AE478" s="1466"/>
      <c r="AF478" s="1466"/>
      <c r="AG478" s="1466"/>
      <c r="AH478" s="14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6">
        <v>43678</v>
      </c>
      <c r="U479" s="1466"/>
      <c r="V479" s="1466"/>
      <c r="W479" s="1466"/>
      <c r="X479" s="1466"/>
      <c r="Y479" s="1466">
        <v>0</v>
      </c>
      <c r="Z479" s="1466"/>
      <c r="AA479" s="1466"/>
      <c r="AB479" s="1466"/>
      <c r="AC479" s="1466"/>
      <c r="AD479" s="1466">
        <v>43693</v>
      </c>
      <c r="AE479" s="1466"/>
      <c r="AF479" s="1466"/>
      <c r="AG479" s="1466"/>
      <c r="AH479" s="14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6">
        <v>43709</v>
      </c>
      <c r="U480" s="1466"/>
      <c r="V480" s="1466"/>
      <c r="W480" s="1466"/>
      <c r="X480" s="1466"/>
      <c r="Y480" s="1466">
        <v>0</v>
      </c>
      <c r="Z480" s="1466"/>
      <c r="AA480" s="1466"/>
      <c r="AB480" s="1466"/>
      <c r="AC480" s="1466"/>
      <c r="AD480" s="1466">
        <v>43495</v>
      </c>
      <c r="AE480" s="1466"/>
      <c r="AF480" s="1466"/>
      <c r="AG480" s="1466"/>
      <c r="AH480" s="14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98" t="s">
        <v>641</v>
      </c>
      <c r="U481" s="1466"/>
      <c r="V481" s="1466"/>
      <c r="W481" s="1466"/>
      <c r="X481" s="1466"/>
      <c r="Y481" s="1466">
        <v>0</v>
      </c>
      <c r="Z481" s="1466"/>
      <c r="AA481" s="1466"/>
      <c r="AB481" s="1466"/>
      <c r="AC481" s="1466"/>
      <c r="AD481" s="1466">
        <v>0</v>
      </c>
      <c r="AE481" s="1466"/>
      <c r="AF481" s="1466"/>
      <c r="AG481" s="1466"/>
      <c r="AH481" s="14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98" t="s">
        <v>641</v>
      </c>
      <c r="U482" s="1466"/>
      <c r="V482" s="1466"/>
      <c r="W482" s="1466"/>
      <c r="X482" s="1466"/>
      <c r="Y482" s="1466">
        <v>0</v>
      </c>
      <c r="Z482" s="1466"/>
      <c r="AA482" s="1466"/>
      <c r="AB482" s="1466"/>
      <c r="AC482" s="1466"/>
      <c r="AD482" s="1466">
        <v>0</v>
      </c>
      <c r="AE482" s="1466"/>
      <c r="AF482" s="1466"/>
      <c r="AG482" s="1466"/>
      <c r="AH482" s="14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466">
        <v>43709</v>
      </c>
      <c r="U483" s="1466"/>
      <c r="V483" s="1466"/>
      <c r="W483" s="1466"/>
      <c r="X483" s="1466"/>
      <c r="Y483" s="1466">
        <v>0</v>
      </c>
      <c r="Z483" s="1466"/>
      <c r="AA483" s="1466"/>
      <c r="AB483" s="1466"/>
      <c r="AC483" s="1466"/>
      <c r="AD483" s="1466">
        <v>43495</v>
      </c>
      <c r="AE483" s="1466"/>
      <c r="AF483" s="1466"/>
      <c r="AG483" s="1466"/>
      <c r="AH483" s="14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1" t="s">
        <v>428</v>
      </c>
      <c r="R485" s="1472"/>
      <c r="S485" s="1472"/>
      <c r="T485" s="1472"/>
      <c r="U485" s="1472"/>
      <c r="V485" s="1472"/>
      <c r="W485" s="1472"/>
      <c r="X485" s="1472"/>
      <c r="Y485" s="1472"/>
      <c r="Z485" s="1472"/>
      <c r="AA485" s="1472"/>
      <c r="AB485" s="1472"/>
      <c r="AC485" s="1472"/>
      <c r="AD485" s="1472"/>
      <c r="AE485" s="1472"/>
      <c r="AF485" s="1472"/>
      <c r="AG485" s="1472"/>
      <c r="AH485" s="1472"/>
      <c r="AI485" s="1472"/>
      <c r="AJ485" s="1472"/>
      <c r="AK485" s="147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6" t="s">
        <v>1728</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0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6" t="s">
        <v>1796</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0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6" t="s">
        <v>1796</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0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6" t="s">
        <v>432</v>
      </c>
      <c r="C489" s="1477"/>
      <c r="D489" s="1477"/>
      <c r="E489" s="1477"/>
      <c r="F489" s="1477"/>
      <c r="G489" s="1477"/>
      <c r="H489" s="1477"/>
      <c r="I489" s="1477"/>
      <c r="J489" s="1477"/>
      <c r="K489" s="1477"/>
      <c r="L489" s="1477"/>
      <c r="M489" s="1477"/>
      <c r="N489" s="1477"/>
      <c r="O489" s="1477"/>
      <c r="P489" s="147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9"/>
      <c r="C490" s="1480"/>
      <c r="D490" s="1480"/>
      <c r="E490" s="1480"/>
      <c r="F490" s="1480"/>
      <c r="G490" s="1480"/>
      <c r="H490" s="1480"/>
      <c r="I490" s="1480"/>
      <c r="J490" s="1480"/>
      <c r="K490" s="1480"/>
      <c r="L490" s="1480"/>
      <c r="M490" s="1480"/>
      <c r="N490" s="1480"/>
      <c r="O490" s="1480"/>
      <c r="P490" s="1481"/>
      <c r="Q490" s="1485" t="s">
        <v>722</v>
      </c>
      <c r="R490" s="1486"/>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2"/>
      <c r="C491" s="1483"/>
      <c r="D491" s="1483"/>
      <c r="E491" s="1483"/>
      <c r="F491" s="1483"/>
      <c r="G491" s="1483"/>
      <c r="H491" s="1483"/>
      <c r="I491" s="1483"/>
      <c r="J491" s="1483"/>
      <c r="K491" s="1483"/>
      <c r="L491" s="1483"/>
      <c r="M491" s="1483"/>
      <c r="N491" s="1483"/>
      <c r="O491" s="1483"/>
      <c r="P491" s="1484"/>
      <c r="Q491" s="1487"/>
      <c r="R491" s="1488"/>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6" t="s">
        <v>1726</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0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6" t="s">
        <v>1727</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0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1" t="s">
        <v>436</v>
      </c>
      <c r="AD498" s="1472"/>
      <c r="AE498" s="1472"/>
      <c r="AF498" s="1472"/>
      <c r="AG498" s="1472"/>
      <c r="AH498" s="1472"/>
      <c r="AI498" s="1472"/>
      <c r="AJ498" s="1472"/>
      <c r="AK498" s="147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4" t="s">
        <v>437</v>
      </c>
      <c r="AD499" s="1475"/>
      <c r="AE499" s="1475"/>
      <c r="AF499" s="1475"/>
      <c r="AG499" s="82" t="s">
        <v>438</v>
      </c>
      <c r="AH499" s="1475" t="s">
        <v>439</v>
      </c>
      <c r="AI499" s="1475"/>
      <c r="AJ499" s="1475"/>
      <c r="AK499" s="152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9" t="s">
        <v>440</v>
      </c>
      <c r="C500" s="1490"/>
      <c r="D500" s="1490"/>
      <c r="E500" s="1490"/>
      <c r="F500" s="1490"/>
      <c r="G500" s="1490"/>
      <c r="H500" s="1491"/>
      <c r="I500" s="72" t="s">
        <v>441</v>
      </c>
      <c r="J500" s="72"/>
      <c r="K500" s="72"/>
      <c r="L500" s="72"/>
      <c r="M500" s="72"/>
      <c r="N500" s="72"/>
      <c r="O500" s="72"/>
      <c r="P500" s="72"/>
      <c r="Q500" s="72"/>
      <c r="R500" s="72"/>
      <c r="S500" s="72"/>
      <c r="T500" s="72"/>
      <c r="U500" s="72"/>
      <c r="V500" s="72"/>
      <c r="W500" s="72"/>
      <c r="X500" s="25"/>
      <c r="Y500" s="25"/>
      <c r="AC500" s="1470">
        <v>1</v>
      </c>
      <c r="AD500" s="1425"/>
      <c r="AE500" s="1425"/>
      <c r="AF500" s="1425"/>
      <c r="AG500" s="75" t="s">
        <v>438</v>
      </c>
      <c r="AH500" s="1232">
        <v>2020</v>
      </c>
      <c r="AI500" s="1232"/>
      <c r="AJ500" s="1232"/>
      <c r="AK500" s="123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2"/>
      <c r="C501" s="1493"/>
      <c r="D501" s="1493"/>
      <c r="E501" s="1493"/>
      <c r="F501" s="1493"/>
      <c r="G501" s="1493"/>
      <c r="H501" s="1494"/>
      <c r="I501" s="80" t="s">
        <v>442</v>
      </c>
      <c r="J501" s="80"/>
      <c r="K501" s="80"/>
      <c r="L501" s="80"/>
      <c r="M501" s="80"/>
      <c r="N501" s="80"/>
      <c r="O501" s="80"/>
      <c r="P501" s="80"/>
      <c r="Q501" s="80"/>
      <c r="R501" s="80"/>
      <c r="S501" s="80"/>
      <c r="T501" s="80"/>
      <c r="U501" s="80"/>
      <c r="V501" s="80"/>
      <c r="W501" s="80"/>
      <c r="X501" s="80"/>
      <c r="Y501" s="80"/>
      <c r="Z501" s="80"/>
      <c r="AA501" s="80"/>
      <c r="AB501" s="80"/>
      <c r="AC501" s="1470" t="s">
        <v>641</v>
      </c>
      <c r="AD501" s="1425"/>
      <c r="AE501" s="1425"/>
      <c r="AF501" s="1425"/>
      <c r="AG501" s="65" t="s">
        <v>438</v>
      </c>
      <c r="AH501" s="1232"/>
      <c r="AI501" s="1232"/>
      <c r="AJ501" s="1232"/>
      <c r="AK501" s="123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9" t="s">
        <v>443</v>
      </c>
      <c r="C502" s="1490"/>
      <c r="D502" s="1490"/>
      <c r="E502" s="1490"/>
      <c r="F502" s="1490"/>
      <c r="G502" s="1490"/>
      <c r="H502" s="1491"/>
      <c r="I502" s="72" t="s">
        <v>444</v>
      </c>
      <c r="J502" s="72"/>
      <c r="K502" s="72"/>
      <c r="L502" s="72"/>
      <c r="M502" s="72"/>
      <c r="N502" s="72"/>
      <c r="O502" s="72"/>
      <c r="P502" s="72"/>
      <c r="Q502" s="72"/>
      <c r="R502" s="72"/>
      <c r="S502" s="72"/>
      <c r="T502" s="72"/>
      <c r="U502" s="72"/>
      <c r="V502" s="72"/>
      <c r="W502" s="72"/>
      <c r="X502" s="25"/>
      <c r="Y502" s="25"/>
      <c r="AC502" s="1470" t="s">
        <v>641</v>
      </c>
      <c r="AD502" s="1425"/>
      <c r="AE502" s="1425"/>
      <c r="AF502" s="1425"/>
      <c r="AG502" s="75" t="s">
        <v>438</v>
      </c>
      <c r="AH502" s="1232"/>
      <c r="AI502" s="1232"/>
      <c r="AJ502" s="1232"/>
      <c r="AK502" s="123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2"/>
      <c r="C503" s="1493"/>
      <c r="D503" s="1493"/>
      <c r="E503" s="1493"/>
      <c r="F503" s="1493"/>
      <c r="G503" s="1493"/>
      <c r="H503" s="1494"/>
      <c r="I503" s="25" t="s">
        <v>445</v>
      </c>
      <c r="J503" s="25"/>
      <c r="K503" s="25"/>
      <c r="L503" s="25"/>
      <c r="M503" s="25"/>
      <c r="N503" s="25"/>
      <c r="O503" s="25"/>
      <c r="P503" s="25"/>
      <c r="Q503" s="25"/>
      <c r="R503" s="25"/>
      <c r="S503" s="25"/>
      <c r="T503" s="25"/>
      <c r="U503" s="25"/>
      <c r="V503" s="25"/>
      <c r="W503" s="25"/>
      <c r="X503" s="25"/>
      <c r="Y503" s="25"/>
      <c r="AC503" s="1470" t="s">
        <v>641</v>
      </c>
      <c r="AD503" s="1425"/>
      <c r="AE503" s="1425"/>
      <c r="AF503" s="1425"/>
      <c r="AG503" s="75" t="s">
        <v>438</v>
      </c>
      <c r="AH503" s="1232"/>
      <c r="AI503" s="1232"/>
      <c r="AJ503" s="1232"/>
      <c r="AK503" s="123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2"/>
      <c r="C504" s="1493"/>
      <c r="D504" s="1493"/>
      <c r="E504" s="1493"/>
      <c r="F504" s="1493"/>
      <c r="G504" s="1493"/>
      <c r="H504" s="1494"/>
      <c r="I504" s="25" t="s">
        <v>446</v>
      </c>
      <c r="J504" s="25"/>
      <c r="K504" s="25"/>
      <c r="L504" s="25"/>
      <c r="M504" s="25"/>
      <c r="N504" s="25"/>
      <c r="O504" s="25"/>
      <c r="P504" s="25"/>
      <c r="Q504" s="25"/>
      <c r="R504" s="25"/>
      <c r="S504" s="25"/>
      <c r="T504" s="25"/>
      <c r="U504" s="25"/>
      <c r="V504" s="25"/>
      <c r="W504" s="25"/>
      <c r="X504" s="25"/>
      <c r="Y504" s="25"/>
      <c r="AC504" s="1470">
        <v>1</v>
      </c>
      <c r="AD504" s="1425"/>
      <c r="AE504" s="1425"/>
      <c r="AF504" s="1425"/>
      <c r="AG504" s="75" t="s">
        <v>438</v>
      </c>
      <c r="AH504" s="1232">
        <v>2020</v>
      </c>
      <c r="AI504" s="1232"/>
      <c r="AJ504" s="1232"/>
      <c r="AK504" s="123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2"/>
      <c r="C505" s="1493"/>
      <c r="D505" s="1493"/>
      <c r="E505" s="1493"/>
      <c r="F505" s="1493"/>
      <c r="G505" s="1493"/>
      <c r="H505" s="1494"/>
      <c r="I505" s="25" t="s">
        <v>447</v>
      </c>
      <c r="J505" s="25"/>
      <c r="K505" s="25"/>
      <c r="L505" s="25"/>
      <c r="M505" s="25"/>
      <c r="N505" s="25"/>
      <c r="O505" s="25"/>
      <c r="P505" s="25"/>
      <c r="Q505" s="25"/>
      <c r="R505" s="25"/>
      <c r="S505" s="25"/>
      <c r="T505" s="25"/>
      <c r="U505" s="25"/>
      <c r="V505" s="25"/>
      <c r="W505" s="25"/>
      <c r="X505" s="25"/>
      <c r="Y505" s="25"/>
      <c r="AC505" s="1470">
        <v>4</v>
      </c>
      <c r="AD505" s="1425"/>
      <c r="AE505" s="1425"/>
      <c r="AF505" s="1425"/>
      <c r="AG505" s="75" t="s">
        <v>438</v>
      </c>
      <c r="AH505" s="1232">
        <v>2021</v>
      </c>
      <c r="AI505" s="1232"/>
      <c r="AJ505" s="1232"/>
      <c r="AK505" s="123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2"/>
      <c r="C506" s="1493"/>
      <c r="D506" s="1493"/>
      <c r="E506" s="1493"/>
      <c r="F506" s="1493"/>
      <c r="G506" s="1493"/>
      <c r="H506" s="1494"/>
      <c r="I506" s="80" t="s">
        <v>448</v>
      </c>
      <c r="J506" s="80"/>
      <c r="K506" s="80"/>
      <c r="L506" s="80"/>
      <c r="M506" s="80"/>
      <c r="N506" s="80"/>
      <c r="O506" s="80"/>
      <c r="P506" s="80"/>
      <c r="Q506" s="80"/>
      <c r="R506" s="80"/>
      <c r="S506" s="80"/>
      <c r="T506" s="80"/>
      <c r="U506" s="80"/>
      <c r="V506" s="80"/>
      <c r="W506" s="80"/>
      <c r="X506" s="80"/>
      <c r="Y506" s="80"/>
      <c r="Z506" s="80"/>
      <c r="AA506" s="80"/>
      <c r="AB506" s="80"/>
      <c r="AC506" s="1470">
        <v>4</v>
      </c>
      <c r="AD506" s="1425"/>
      <c r="AE506" s="1425"/>
      <c r="AF506" s="1425"/>
      <c r="AG506" s="65" t="s">
        <v>438</v>
      </c>
      <c r="AH506" s="1232">
        <v>2021</v>
      </c>
      <c r="AI506" s="1232"/>
      <c r="AJ506" s="1232"/>
      <c r="AK506" s="123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9" t="s">
        <v>449</v>
      </c>
      <c r="C507" s="1490"/>
      <c r="D507" s="1490"/>
      <c r="E507" s="1490"/>
      <c r="F507" s="1490"/>
      <c r="G507" s="1490"/>
      <c r="H507" s="1491"/>
      <c r="I507" s="72" t="s">
        <v>450</v>
      </c>
      <c r="J507" s="72"/>
      <c r="K507" s="72"/>
      <c r="L507" s="72"/>
      <c r="M507" s="72"/>
      <c r="N507" s="72"/>
      <c r="O507" s="72"/>
      <c r="P507" s="72"/>
      <c r="Q507" s="72"/>
      <c r="R507" s="72"/>
      <c r="S507" s="72"/>
      <c r="T507" s="72"/>
      <c r="U507" s="72"/>
      <c r="V507" s="72"/>
      <c r="W507" s="72"/>
      <c r="X507" s="25"/>
      <c r="Y507" s="25"/>
      <c r="AC507" s="1470">
        <v>8</v>
      </c>
      <c r="AD507" s="1425"/>
      <c r="AE507" s="1425"/>
      <c r="AF507" s="1425"/>
      <c r="AG507" s="75" t="s">
        <v>438</v>
      </c>
      <c r="AH507" s="1232">
        <v>2020</v>
      </c>
      <c r="AI507" s="1232"/>
      <c r="AJ507" s="1232"/>
      <c r="AK507" s="123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2"/>
      <c r="C508" s="1493"/>
      <c r="D508" s="1493"/>
      <c r="E508" s="1493"/>
      <c r="F508" s="1493"/>
      <c r="G508" s="1493"/>
      <c r="H508" s="1494"/>
      <c r="I508" s="25" t="s">
        <v>451</v>
      </c>
      <c r="J508" s="25"/>
      <c r="K508" s="25"/>
      <c r="L508" s="25"/>
      <c r="M508" s="25"/>
      <c r="N508" s="25"/>
      <c r="O508" s="25"/>
      <c r="P508" s="25"/>
      <c r="Q508" s="25"/>
      <c r="R508" s="25"/>
      <c r="S508" s="25"/>
      <c r="T508" s="25"/>
      <c r="U508" s="25"/>
      <c r="V508" s="25"/>
      <c r="W508" s="25"/>
      <c r="X508" s="25"/>
      <c r="Y508" s="25"/>
      <c r="AC508" s="1470">
        <v>9</v>
      </c>
      <c r="AD508" s="1425"/>
      <c r="AE508" s="1425"/>
      <c r="AF508" s="1425"/>
      <c r="AG508" s="75" t="s">
        <v>438</v>
      </c>
      <c r="AH508" s="1232">
        <v>2020</v>
      </c>
      <c r="AI508" s="1232"/>
      <c r="AJ508" s="1232"/>
      <c r="AK508" s="123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2"/>
      <c r="C509" s="1493"/>
      <c r="D509" s="1493"/>
      <c r="E509" s="1493"/>
      <c r="F509" s="1493"/>
      <c r="G509" s="1493"/>
      <c r="H509" s="1494"/>
      <c r="I509" s="80" t="s">
        <v>452</v>
      </c>
      <c r="J509" s="80"/>
      <c r="K509" s="80"/>
      <c r="L509" s="80"/>
      <c r="M509" s="80"/>
      <c r="N509" s="80"/>
      <c r="O509" s="80"/>
      <c r="P509" s="80"/>
      <c r="Q509" s="80"/>
      <c r="R509" s="80"/>
      <c r="S509" s="80"/>
      <c r="T509" s="80"/>
      <c r="U509" s="80"/>
      <c r="V509" s="80"/>
      <c r="W509" s="80"/>
      <c r="X509" s="80"/>
      <c r="Y509" s="80"/>
      <c r="Z509" s="80"/>
      <c r="AA509" s="80"/>
      <c r="AB509" s="80"/>
      <c r="AC509" s="1470">
        <v>4</v>
      </c>
      <c r="AD509" s="1425"/>
      <c r="AE509" s="1425"/>
      <c r="AF509" s="1425"/>
      <c r="AG509" s="65" t="s">
        <v>438</v>
      </c>
      <c r="AH509" s="1232">
        <v>2021</v>
      </c>
      <c r="AI509" s="1232"/>
      <c r="AJ509" s="1232"/>
      <c r="AK509" s="123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9" t="s">
        <v>453</v>
      </c>
      <c r="C510" s="1490"/>
      <c r="D510" s="1490"/>
      <c r="E510" s="1490"/>
      <c r="F510" s="1490"/>
      <c r="G510" s="1490"/>
      <c r="H510" s="1491"/>
      <c r="I510" s="72" t="s">
        <v>450</v>
      </c>
      <c r="J510" s="72"/>
      <c r="K510" s="72"/>
      <c r="L510" s="72"/>
      <c r="M510" s="72"/>
      <c r="N510" s="72"/>
      <c r="O510" s="72"/>
      <c r="P510" s="72"/>
      <c r="Q510" s="72"/>
      <c r="R510" s="72"/>
      <c r="S510" s="72"/>
      <c r="T510" s="72"/>
      <c r="U510" s="72"/>
      <c r="V510" s="72"/>
      <c r="W510" s="72"/>
      <c r="X510" s="72"/>
      <c r="Y510" s="72"/>
      <c r="Z510" s="72"/>
      <c r="AA510" s="72"/>
      <c r="AB510" s="72"/>
      <c r="AC510" s="1177">
        <v>8</v>
      </c>
      <c r="AD510" s="1178"/>
      <c r="AE510" s="1178"/>
      <c r="AF510" s="1178"/>
      <c r="AG510" s="204" t="s">
        <v>438</v>
      </c>
      <c r="AH510" s="1232">
        <v>2020</v>
      </c>
      <c r="AI510" s="1232"/>
      <c r="AJ510" s="1232"/>
      <c r="AK510" s="123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2"/>
      <c r="C511" s="1493"/>
      <c r="D511" s="1493"/>
      <c r="E511" s="1493"/>
      <c r="F511" s="1493"/>
      <c r="G511" s="1493"/>
      <c r="H511" s="1494"/>
      <c r="I511" s="25" t="s">
        <v>451</v>
      </c>
      <c r="J511" s="25"/>
      <c r="K511" s="25"/>
      <c r="L511" s="25"/>
      <c r="M511" s="25"/>
      <c r="N511" s="25"/>
      <c r="O511" s="25"/>
      <c r="P511" s="25"/>
      <c r="Q511" s="25"/>
      <c r="R511" s="25"/>
      <c r="S511" s="25"/>
      <c r="T511" s="25"/>
      <c r="U511" s="25"/>
      <c r="V511" s="25"/>
      <c r="W511" s="25"/>
      <c r="X511" s="25"/>
      <c r="Y511" s="25"/>
      <c r="Z511" s="25"/>
      <c r="AA511" s="25"/>
      <c r="AB511" s="25"/>
      <c r="AC511" s="1470">
        <v>9</v>
      </c>
      <c r="AD511" s="1425"/>
      <c r="AE511" s="1425"/>
      <c r="AF511" s="1425"/>
      <c r="AG511" s="75" t="s">
        <v>438</v>
      </c>
      <c r="AH511" s="1232">
        <v>2020</v>
      </c>
      <c r="AI511" s="1232"/>
      <c r="AJ511" s="1232"/>
      <c r="AK511" s="123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5"/>
      <c r="C512" s="1496"/>
      <c r="D512" s="1496"/>
      <c r="E512" s="1496"/>
      <c r="F512" s="1496"/>
      <c r="G512" s="1496"/>
      <c r="H512" s="1497"/>
      <c r="I512" s="80" t="s">
        <v>452</v>
      </c>
      <c r="J512" s="80"/>
      <c r="K512" s="80"/>
      <c r="L512" s="80"/>
      <c r="M512" s="80"/>
      <c r="N512" s="80"/>
      <c r="O512" s="80"/>
      <c r="P512" s="80"/>
      <c r="Q512" s="80"/>
      <c r="R512" s="80"/>
      <c r="S512" s="80"/>
      <c r="T512" s="80"/>
      <c r="U512" s="80"/>
      <c r="V512" s="80"/>
      <c r="W512" s="80"/>
      <c r="X512" s="80"/>
      <c r="Y512" s="80"/>
      <c r="Z512" s="80"/>
      <c r="AA512" s="80"/>
      <c r="AB512" s="80"/>
      <c r="AC512" s="1470">
        <v>6</v>
      </c>
      <c r="AD512" s="1425"/>
      <c r="AE512" s="1425"/>
      <c r="AF512" s="1425"/>
      <c r="AG512" s="65" t="s">
        <v>438</v>
      </c>
      <c r="AH512" s="1232">
        <v>2024</v>
      </c>
      <c r="AI512" s="1232"/>
      <c r="AJ512" s="1232"/>
      <c r="AK512" s="123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9" t="s">
        <v>454</v>
      </c>
      <c r="C513" s="1490"/>
      <c r="D513" s="1490"/>
      <c r="E513" s="1490"/>
      <c r="F513" s="1490"/>
      <c r="G513" s="1490"/>
      <c r="H513" s="1491"/>
      <c r="I513" s="71" t="s">
        <v>455</v>
      </c>
      <c r="J513" s="72"/>
      <c r="K513" s="72"/>
      <c r="L513" s="72"/>
      <c r="M513" s="72"/>
      <c r="N513" s="72"/>
      <c r="O513" s="1132" t="s">
        <v>1730</v>
      </c>
      <c r="P513" s="1127"/>
      <c r="Q513" s="1127"/>
      <c r="R513" s="1127"/>
      <c r="S513" s="1127"/>
      <c r="T513" s="1127"/>
      <c r="U513" s="1127"/>
      <c r="V513" s="1127"/>
      <c r="W513" s="1127"/>
      <c r="X513" s="1127"/>
      <c r="Y513" s="1127"/>
      <c r="Z513" s="1127"/>
      <c r="AA513" s="1127"/>
      <c r="AB513" s="94"/>
      <c r="AC513" s="1177" t="s">
        <v>641</v>
      </c>
      <c r="AD513" s="1178"/>
      <c r="AE513" s="1178"/>
      <c r="AF513" s="1178"/>
      <c r="AG513" s="204" t="s">
        <v>438</v>
      </c>
      <c r="AH513" s="1232"/>
      <c r="AI513" s="1232"/>
      <c r="AJ513" s="1232"/>
      <c r="AK513" s="123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2"/>
      <c r="C514" s="1493"/>
      <c r="D514" s="1493"/>
      <c r="E514" s="1493"/>
      <c r="F514" s="1493"/>
      <c r="G514" s="1493"/>
      <c r="H514" s="1494"/>
      <c r="I514" s="175" t="s">
        <v>456</v>
      </c>
      <c r="J514" s="25"/>
      <c r="K514" s="25"/>
      <c r="L514" s="25"/>
      <c r="M514" s="25"/>
      <c r="N514" s="25"/>
      <c r="O514" s="25"/>
      <c r="P514" s="25"/>
      <c r="Q514" s="25"/>
      <c r="R514" s="25"/>
      <c r="S514" s="25"/>
      <c r="T514" s="25"/>
      <c r="U514" s="25"/>
      <c r="V514" s="25"/>
      <c r="W514" s="25"/>
      <c r="X514" s="25"/>
      <c r="Y514" s="25"/>
      <c r="Z514" s="25"/>
      <c r="AA514" s="25"/>
      <c r="AB514" s="101"/>
      <c r="AC514" s="1470">
        <v>2</v>
      </c>
      <c r="AD514" s="1425"/>
      <c r="AE514" s="1425"/>
      <c r="AF514" s="1425"/>
      <c r="AG514" s="75" t="s">
        <v>438</v>
      </c>
      <c r="AH514" s="1232">
        <v>2020</v>
      </c>
      <c r="AI514" s="1232"/>
      <c r="AJ514" s="1232"/>
      <c r="AK514" s="123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2"/>
      <c r="C515" s="1493"/>
      <c r="D515" s="1493"/>
      <c r="E515" s="1493"/>
      <c r="F515" s="1493"/>
      <c r="G515" s="1493"/>
      <c r="H515" s="1494"/>
      <c r="I515" s="79" t="s">
        <v>457</v>
      </c>
      <c r="J515" s="80"/>
      <c r="K515" s="80"/>
      <c r="L515" s="80"/>
      <c r="M515" s="80"/>
      <c r="N515" s="80"/>
      <c r="O515" s="80"/>
      <c r="P515" s="80"/>
      <c r="Q515" s="80"/>
      <c r="R515" s="80"/>
      <c r="S515" s="80"/>
      <c r="T515" s="80"/>
      <c r="U515" s="80"/>
      <c r="V515" s="80"/>
      <c r="W515" s="80"/>
      <c r="X515" s="80"/>
      <c r="Y515" s="80"/>
      <c r="Z515" s="80"/>
      <c r="AA515" s="80"/>
      <c r="AB515" s="81"/>
      <c r="AC515" s="1470">
        <v>7</v>
      </c>
      <c r="AD515" s="1425"/>
      <c r="AE515" s="1425"/>
      <c r="AF515" s="1425"/>
      <c r="AG515" s="65" t="s">
        <v>438</v>
      </c>
      <c r="AH515" s="1232">
        <v>2020</v>
      </c>
      <c r="AI515" s="1232"/>
      <c r="AJ515" s="1232"/>
      <c r="AK515" s="123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2"/>
      <c r="C516" s="1493"/>
      <c r="D516" s="1493"/>
      <c r="E516" s="1493"/>
      <c r="F516" s="1493"/>
      <c r="G516" s="1493"/>
      <c r="H516" s="1494"/>
      <c r="I516" s="72" t="s">
        <v>458</v>
      </c>
      <c r="J516" s="72"/>
      <c r="K516" s="72"/>
      <c r="L516" s="72"/>
      <c r="M516" s="72"/>
      <c r="N516" s="72"/>
      <c r="O516" s="1103" t="s">
        <v>1729</v>
      </c>
      <c r="P516" s="1105"/>
      <c r="Q516" s="1105"/>
      <c r="R516" s="1105"/>
      <c r="S516" s="1105"/>
      <c r="T516" s="1105"/>
      <c r="U516" s="1105"/>
      <c r="V516" s="1105"/>
      <c r="W516" s="1105"/>
      <c r="X516" s="1105"/>
      <c r="Y516" s="1105"/>
      <c r="Z516" s="1105"/>
      <c r="AA516" s="1105"/>
      <c r="AC516" s="1470" t="s">
        <v>641</v>
      </c>
      <c r="AD516" s="1425"/>
      <c r="AE516" s="1425"/>
      <c r="AF516" s="1425"/>
      <c r="AG516" s="75" t="s">
        <v>438</v>
      </c>
      <c r="AH516" s="1232"/>
      <c r="AI516" s="1232"/>
      <c r="AJ516" s="1232"/>
      <c r="AK516" s="123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2"/>
      <c r="C517" s="1493"/>
      <c r="D517" s="1493"/>
      <c r="E517" s="1493"/>
      <c r="F517" s="1493"/>
      <c r="G517" s="1493"/>
      <c r="H517" s="1494"/>
      <c r="I517" s="25" t="s">
        <v>456</v>
      </c>
      <c r="J517" s="25"/>
      <c r="K517" s="25"/>
      <c r="L517" s="25"/>
      <c r="M517" s="25"/>
      <c r="N517" s="25"/>
      <c r="O517" s="25"/>
      <c r="P517" s="25"/>
      <c r="Q517" s="25"/>
      <c r="R517" s="25"/>
      <c r="S517" s="25"/>
      <c r="T517" s="25"/>
      <c r="U517" s="25"/>
      <c r="V517" s="25"/>
      <c r="W517" s="25"/>
      <c r="X517" s="25"/>
      <c r="Y517" s="25"/>
      <c r="AC517" s="1470">
        <v>11</v>
      </c>
      <c r="AD517" s="1425"/>
      <c r="AE517" s="1425"/>
      <c r="AF517" s="1425"/>
      <c r="AG517" s="75" t="s">
        <v>438</v>
      </c>
      <c r="AH517" s="1232">
        <v>2019</v>
      </c>
      <c r="AI517" s="1232"/>
      <c r="AJ517" s="1232"/>
      <c r="AK517" s="123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2"/>
      <c r="C518" s="1493"/>
      <c r="D518" s="1493"/>
      <c r="E518" s="1493"/>
      <c r="F518" s="1493"/>
      <c r="G518" s="1493"/>
      <c r="H518" s="1494"/>
      <c r="I518" s="80" t="s">
        <v>457</v>
      </c>
      <c r="J518" s="80"/>
      <c r="K518" s="80"/>
      <c r="L518" s="80"/>
      <c r="M518" s="80"/>
      <c r="N518" s="80"/>
      <c r="O518" s="80"/>
      <c r="P518" s="80"/>
      <c r="Q518" s="80"/>
      <c r="R518" s="80"/>
      <c r="S518" s="80"/>
      <c r="T518" s="80"/>
      <c r="U518" s="80"/>
      <c r="V518" s="80"/>
      <c r="W518" s="80"/>
      <c r="X518" s="80"/>
      <c r="Y518" s="80"/>
      <c r="Z518" s="80"/>
      <c r="AA518" s="80"/>
      <c r="AB518" s="80"/>
      <c r="AC518" s="1470">
        <v>2</v>
      </c>
      <c r="AD518" s="1425"/>
      <c r="AE518" s="1425"/>
      <c r="AF518" s="1425"/>
      <c r="AG518" s="65" t="s">
        <v>438</v>
      </c>
      <c r="AH518" s="1232">
        <v>2020</v>
      </c>
      <c r="AI518" s="1232"/>
      <c r="AJ518" s="1232"/>
      <c r="AK518" s="123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2"/>
      <c r="C519" s="1493"/>
      <c r="D519" s="1493"/>
      <c r="E519" s="1493"/>
      <c r="F519" s="1493"/>
      <c r="G519" s="1493"/>
      <c r="H519" s="1494"/>
      <c r="I519" s="72" t="s">
        <v>458</v>
      </c>
      <c r="J519" s="72"/>
      <c r="K519" s="72"/>
      <c r="L519" s="72"/>
      <c r="M519" s="72"/>
      <c r="N519" s="72"/>
      <c r="O519" s="1103" t="s">
        <v>1731</v>
      </c>
      <c r="P519" s="1105"/>
      <c r="Q519" s="1105"/>
      <c r="R519" s="1105"/>
      <c r="S519" s="1105"/>
      <c r="T519" s="1105"/>
      <c r="U519" s="1105"/>
      <c r="V519" s="1105"/>
      <c r="W519" s="1105"/>
      <c r="X519" s="1105"/>
      <c r="Y519" s="1105"/>
      <c r="Z519" s="1105"/>
      <c r="AA519" s="1105"/>
      <c r="AC519" s="1470" t="s">
        <v>641</v>
      </c>
      <c r="AD519" s="1425"/>
      <c r="AE519" s="1425"/>
      <c r="AF519" s="1425"/>
      <c r="AG519" s="75" t="s">
        <v>438</v>
      </c>
      <c r="AH519" s="1232"/>
      <c r="AI519" s="1232"/>
      <c r="AJ519" s="1232"/>
      <c r="AK519" s="123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2"/>
      <c r="C520" s="1493"/>
      <c r="D520" s="1493"/>
      <c r="E520" s="1493"/>
      <c r="F520" s="1493"/>
      <c r="G520" s="1493"/>
      <c r="H520" s="1494"/>
      <c r="I520" s="25" t="s">
        <v>456</v>
      </c>
      <c r="J520" s="25"/>
      <c r="K520" s="25"/>
      <c r="L520" s="25"/>
      <c r="M520" s="25"/>
      <c r="N520" s="25"/>
      <c r="O520" s="25"/>
      <c r="P520" s="25"/>
      <c r="Q520" s="25"/>
      <c r="R520" s="25"/>
      <c r="S520" s="25"/>
      <c r="T520" s="25"/>
      <c r="U520" s="25"/>
      <c r="V520" s="25"/>
      <c r="W520" s="25"/>
      <c r="X520" s="25"/>
      <c r="Y520" s="25"/>
      <c r="AC520" s="1470">
        <v>9</v>
      </c>
      <c r="AD520" s="1425"/>
      <c r="AE520" s="1425"/>
      <c r="AF520" s="1425"/>
      <c r="AG520" s="75" t="s">
        <v>438</v>
      </c>
      <c r="AH520" s="1232">
        <v>2020</v>
      </c>
      <c r="AI520" s="1232"/>
      <c r="AJ520" s="1232"/>
      <c r="AK520" s="123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2"/>
      <c r="C521" s="1493"/>
      <c r="D521" s="1493"/>
      <c r="E521" s="1493"/>
      <c r="F521" s="1493"/>
      <c r="G521" s="1493"/>
      <c r="H521" s="1494"/>
      <c r="I521" s="80" t="s">
        <v>457</v>
      </c>
      <c r="J521" s="80"/>
      <c r="K521" s="80"/>
      <c r="L521" s="80"/>
      <c r="M521" s="80"/>
      <c r="N521" s="80"/>
      <c r="O521" s="80"/>
      <c r="P521" s="80"/>
      <c r="Q521" s="80"/>
      <c r="R521" s="80"/>
      <c r="S521" s="80"/>
      <c r="T521" s="80"/>
      <c r="U521" s="80"/>
      <c r="V521" s="80"/>
      <c r="W521" s="80"/>
      <c r="X521" s="80"/>
      <c r="Y521" s="80"/>
      <c r="Z521" s="80"/>
      <c r="AA521" s="80"/>
      <c r="AB521" s="80"/>
      <c r="AC521" s="1470">
        <v>12</v>
      </c>
      <c r="AD521" s="1425"/>
      <c r="AE521" s="1425"/>
      <c r="AF521" s="1425"/>
      <c r="AG521" s="65" t="s">
        <v>438</v>
      </c>
      <c r="AH521" s="1232">
        <v>2020</v>
      </c>
      <c r="AI521" s="1232"/>
      <c r="AJ521" s="1232"/>
      <c r="AK521" s="123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2"/>
      <c r="C522" s="1493"/>
      <c r="D522" s="1493"/>
      <c r="E522" s="1493"/>
      <c r="F522" s="1493"/>
      <c r="G522" s="1493"/>
      <c r="H522" s="1494"/>
      <c r="I522" s="72" t="s">
        <v>458</v>
      </c>
      <c r="J522" s="72"/>
      <c r="K522" s="72"/>
      <c r="L522" s="72"/>
      <c r="M522" s="72"/>
      <c r="N522" s="72"/>
      <c r="O522" s="1103" t="s">
        <v>1732</v>
      </c>
      <c r="P522" s="1105"/>
      <c r="Q522" s="1105"/>
      <c r="R522" s="1105"/>
      <c r="S522" s="1105"/>
      <c r="T522" s="1105"/>
      <c r="U522" s="1105"/>
      <c r="V522" s="1105"/>
      <c r="W522" s="1105"/>
      <c r="X522" s="1105"/>
      <c r="Y522" s="1105"/>
      <c r="Z522" s="1105"/>
      <c r="AA522" s="1105"/>
      <c r="AC522" s="1470" t="s">
        <v>641</v>
      </c>
      <c r="AD522" s="1425"/>
      <c r="AE522" s="1425"/>
      <c r="AF522" s="1425"/>
      <c r="AG522" s="75" t="s">
        <v>438</v>
      </c>
      <c r="AH522" s="1232"/>
      <c r="AI522" s="1232"/>
      <c r="AJ522" s="1232"/>
      <c r="AK522" s="123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2"/>
      <c r="C523" s="1493"/>
      <c r="D523" s="1493"/>
      <c r="E523" s="1493"/>
      <c r="F523" s="1493"/>
      <c r="G523" s="1493"/>
      <c r="H523" s="1494"/>
      <c r="I523" s="25" t="s">
        <v>456</v>
      </c>
      <c r="J523" s="25"/>
      <c r="K523" s="25"/>
      <c r="L523" s="25"/>
      <c r="M523" s="25"/>
      <c r="N523" s="25"/>
      <c r="O523" s="25"/>
      <c r="P523" s="25"/>
      <c r="Q523" s="25"/>
      <c r="R523" s="25"/>
      <c r="S523" s="25"/>
      <c r="T523" s="25"/>
      <c r="U523" s="25"/>
      <c r="V523" s="25"/>
      <c r="W523" s="25"/>
      <c r="X523" s="25"/>
      <c r="Y523" s="25"/>
      <c r="AC523" s="1470">
        <v>9</v>
      </c>
      <c r="AD523" s="1425"/>
      <c r="AE523" s="1425"/>
      <c r="AF523" s="1425"/>
      <c r="AG523" s="75" t="s">
        <v>438</v>
      </c>
      <c r="AH523" s="1232">
        <v>2020</v>
      </c>
      <c r="AI523" s="1232"/>
      <c r="AJ523" s="1232"/>
      <c r="AK523" s="123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2"/>
      <c r="C524" s="1493"/>
      <c r="D524" s="1493"/>
      <c r="E524" s="1493"/>
      <c r="F524" s="1493"/>
      <c r="G524" s="1493"/>
      <c r="H524" s="1494"/>
      <c r="I524" s="80" t="s">
        <v>457</v>
      </c>
      <c r="J524" s="80"/>
      <c r="K524" s="80"/>
      <c r="L524" s="80"/>
      <c r="M524" s="80"/>
      <c r="N524" s="80"/>
      <c r="O524" s="80"/>
      <c r="P524" s="80"/>
      <c r="Q524" s="80"/>
      <c r="R524" s="80"/>
      <c r="S524" s="80"/>
      <c r="T524" s="80"/>
      <c r="U524" s="80"/>
      <c r="V524" s="80"/>
      <c r="W524" s="80"/>
      <c r="X524" s="80"/>
      <c r="Y524" s="80"/>
      <c r="Z524" s="80"/>
      <c r="AA524" s="80"/>
      <c r="AB524" s="80"/>
      <c r="AC524" s="1470">
        <v>12</v>
      </c>
      <c r="AD524" s="1425"/>
      <c r="AE524" s="1425"/>
      <c r="AF524" s="1425"/>
      <c r="AG524" s="65" t="s">
        <v>438</v>
      </c>
      <c r="AH524" s="1232">
        <v>2020</v>
      </c>
      <c r="AI524" s="1232"/>
      <c r="AJ524" s="1232"/>
      <c r="AK524" s="123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2"/>
      <c r="C525" s="1493"/>
      <c r="D525" s="1493"/>
      <c r="E525" s="1493"/>
      <c r="F525" s="1493"/>
      <c r="G525" s="1493"/>
      <c r="H525" s="1494"/>
      <c r="I525" s="72" t="s">
        <v>458</v>
      </c>
      <c r="J525" s="72"/>
      <c r="K525" s="72"/>
      <c r="L525" s="72"/>
      <c r="M525" s="72"/>
      <c r="N525" s="72"/>
      <c r="O525" s="1103" t="s">
        <v>1735</v>
      </c>
      <c r="P525" s="1105"/>
      <c r="Q525" s="1105"/>
      <c r="R525" s="1105"/>
      <c r="S525" s="1105"/>
      <c r="T525" s="1105"/>
      <c r="U525" s="1105"/>
      <c r="V525" s="1105"/>
      <c r="W525" s="1105"/>
      <c r="X525" s="1105"/>
      <c r="Y525" s="1105"/>
      <c r="Z525" s="1105"/>
      <c r="AA525" s="1105"/>
      <c r="AC525" s="1470" t="s">
        <v>641</v>
      </c>
      <c r="AD525" s="1425"/>
      <c r="AE525" s="1425"/>
      <c r="AF525" s="1425"/>
      <c r="AG525" s="75" t="s">
        <v>438</v>
      </c>
      <c r="AH525" s="1232"/>
      <c r="AI525" s="1232"/>
      <c r="AJ525" s="1232"/>
      <c r="AK525" s="123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2"/>
      <c r="C526" s="1493"/>
      <c r="D526" s="1493"/>
      <c r="E526" s="1493"/>
      <c r="F526" s="1493"/>
      <c r="G526" s="1493"/>
      <c r="H526" s="1494"/>
      <c r="I526" s="25" t="s">
        <v>456</v>
      </c>
      <c r="J526" s="25"/>
      <c r="K526" s="25"/>
      <c r="L526" s="25"/>
      <c r="M526" s="25"/>
      <c r="N526" s="25"/>
      <c r="O526" s="25"/>
      <c r="P526" s="25"/>
      <c r="Q526" s="25"/>
      <c r="R526" s="25"/>
      <c r="S526" s="25"/>
      <c r="T526" s="25"/>
      <c r="U526" s="25"/>
      <c r="V526" s="25"/>
      <c r="W526" s="25"/>
      <c r="X526" s="25"/>
      <c r="Y526" s="25"/>
      <c r="AC526" s="1470">
        <v>3</v>
      </c>
      <c r="AD526" s="1425"/>
      <c r="AE526" s="1425"/>
      <c r="AF526" s="1425"/>
      <c r="AG526" s="65" t="s">
        <v>438</v>
      </c>
      <c r="AH526" s="1232">
        <v>2020</v>
      </c>
      <c r="AI526" s="1232"/>
      <c r="AJ526" s="1232"/>
      <c r="AK526" s="123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2"/>
      <c r="C527" s="1493"/>
      <c r="D527" s="1493"/>
      <c r="E527" s="1493"/>
      <c r="F527" s="1493"/>
      <c r="G527" s="1493"/>
      <c r="H527" s="1494"/>
      <c r="I527" s="80" t="s">
        <v>457</v>
      </c>
      <c r="J527" s="80"/>
      <c r="K527" s="80"/>
      <c r="L527" s="80"/>
      <c r="M527" s="80"/>
      <c r="N527" s="80"/>
      <c r="O527" s="80"/>
      <c r="P527" s="80"/>
      <c r="Q527" s="80"/>
      <c r="R527" s="80"/>
      <c r="S527" s="80"/>
      <c r="T527" s="80"/>
      <c r="U527" s="80"/>
      <c r="V527" s="80"/>
      <c r="W527" s="80"/>
      <c r="X527" s="80"/>
      <c r="Y527" s="80"/>
      <c r="Z527" s="80"/>
      <c r="AA527" s="80"/>
      <c r="AB527" s="80"/>
      <c r="AC527" s="1470">
        <v>6</v>
      </c>
      <c r="AD527" s="1425"/>
      <c r="AE527" s="1425"/>
      <c r="AF527" s="1425"/>
      <c r="AG527" s="75" t="s">
        <v>438</v>
      </c>
      <c r="AH527" s="1232">
        <v>2020</v>
      </c>
      <c r="AI527" s="1232"/>
      <c r="AJ527" s="1232"/>
      <c r="AK527" s="123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2"/>
      <c r="C528" s="1493"/>
      <c r="D528" s="1493"/>
      <c r="E528" s="1493"/>
      <c r="F528" s="1493"/>
      <c r="G528" s="1493"/>
      <c r="H528" s="1494"/>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470" t="s">
        <v>641</v>
      </c>
      <c r="AD528" s="1425"/>
      <c r="AE528" s="1425"/>
      <c r="AF528" s="1425"/>
      <c r="AG528" s="65" t="s">
        <v>438</v>
      </c>
      <c r="AH528" s="1232"/>
      <c r="AI528" s="1232"/>
      <c r="AJ528" s="1232"/>
      <c r="AK528" s="123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2"/>
      <c r="C529" s="1493"/>
      <c r="D529" s="1493"/>
      <c r="E529" s="1493"/>
      <c r="F529" s="1493"/>
      <c r="G529" s="1493"/>
      <c r="H529" s="1494"/>
      <c r="I529" s="25" t="s">
        <v>456</v>
      </c>
      <c r="J529" s="25"/>
      <c r="K529" s="25"/>
      <c r="L529" s="25"/>
      <c r="M529" s="25"/>
      <c r="N529" s="25"/>
      <c r="O529" s="25"/>
      <c r="P529" s="25"/>
      <c r="Q529" s="25"/>
      <c r="R529" s="25"/>
      <c r="S529" s="25"/>
      <c r="T529" s="25"/>
      <c r="U529" s="25"/>
      <c r="V529" s="25"/>
      <c r="W529" s="25"/>
      <c r="X529" s="25"/>
      <c r="Y529" s="25"/>
      <c r="AC529" s="1470" t="s">
        <v>641</v>
      </c>
      <c r="AD529" s="1425"/>
      <c r="AE529" s="1425"/>
      <c r="AF529" s="1425"/>
      <c r="AG529" s="75" t="s">
        <v>438</v>
      </c>
      <c r="AH529" s="1232"/>
      <c r="AI529" s="1232"/>
      <c r="AJ529" s="1232"/>
      <c r="AK529" s="123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2"/>
      <c r="C530" s="1493"/>
      <c r="D530" s="1493"/>
      <c r="E530" s="1493"/>
      <c r="F530" s="1493"/>
      <c r="G530" s="1493"/>
      <c r="H530" s="1494"/>
      <c r="I530" s="80" t="s">
        <v>457</v>
      </c>
      <c r="J530" s="80"/>
      <c r="K530" s="80"/>
      <c r="L530" s="80"/>
      <c r="M530" s="80"/>
      <c r="N530" s="80"/>
      <c r="O530" s="80"/>
      <c r="P530" s="80"/>
      <c r="Q530" s="80"/>
      <c r="R530" s="80"/>
      <c r="S530" s="80"/>
      <c r="T530" s="80"/>
      <c r="U530" s="80"/>
      <c r="V530" s="80"/>
      <c r="W530" s="80"/>
      <c r="X530" s="80"/>
      <c r="Y530" s="80"/>
      <c r="Z530" s="80"/>
      <c r="AA530" s="80"/>
      <c r="AB530" s="80"/>
      <c r="AC530" s="1470" t="s">
        <v>641</v>
      </c>
      <c r="AD530" s="1425"/>
      <c r="AE530" s="1425"/>
      <c r="AF530" s="1425"/>
      <c r="AG530" s="65" t="s">
        <v>438</v>
      </c>
      <c r="AH530" s="1232"/>
      <c r="AI530" s="1232"/>
      <c r="AJ530" s="1232"/>
      <c r="AK530" s="123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2"/>
      <c r="C531" s="1493"/>
      <c r="D531" s="1493"/>
      <c r="E531" s="1493"/>
      <c r="F531" s="1493"/>
      <c r="G531" s="1493"/>
      <c r="H531" s="1494"/>
      <c r="I531" s="72" t="s">
        <v>610</v>
      </c>
      <c r="J531" s="72"/>
      <c r="K531" s="72"/>
      <c r="L531" s="72"/>
      <c r="M531" s="72"/>
      <c r="N531" s="72"/>
      <c r="O531" s="72"/>
      <c r="P531" s="72"/>
      <c r="Q531" s="72"/>
      <c r="R531" s="72"/>
      <c r="S531" s="72"/>
      <c r="T531" s="72"/>
      <c r="U531" s="72"/>
      <c r="V531" s="72"/>
      <c r="W531" s="72"/>
      <c r="X531" s="25"/>
      <c r="Y531" s="25"/>
      <c r="AC531" s="1470">
        <v>12</v>
      </c>
      <c r="AD531" s="1425"/>
      <c r="AE531" s="1425"/>
      <c r="AF531" s="1425"/>
      <c r="AG531" s="65" t="s">
        <v>438</v>
      </c>
      <c r="AH531" s="1232">
        <v>2021</v>
      </c>
      <c r="AI531" s="1232"/>
      <c r="AJ531" s="1232"/>
      <c r="AK531" s="123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2"/>
      <c r="C532" s="1493"/>
      <c r="D532" s="1493"/>
      <c r="E532" s="1493"/>
      <c r="F532" s="1493"/>
      <c r="G532" s="1493"/>
      <c r="H532" s="1494"/>
      <c r="I532" s="25" t="s">
        <v>611</v>
      </c>
      <c r="J532" s="25"/>
      <c r="K532" s="25"/>
      <c r="L532" s="25"/>
      <c r="M532" s="25"/>
      <c r="N532" s="25"/>
      <c r="O532" s="25"/>
      <c r="P532" s="25"/>
      <c r="Q532" s="25"/>
      <c r="R532" s="25"/>
      <c r="S532" s="25"/>
      <c r="T532" s="25"/>
      <c r="U532" s="25"/>
      <c r="V532" s="25"/>
      <c r="W532" s="25"/>
      <c r="X532" s="25"/>
      <c r="Y532" s="25"/>
      <c r="AC532" s="1470">
        <v>4</v>
      </c>
      <c r="AD532" s="1425"/>
      <c r="AE532" s="1425"/>
      <c r="AF532" s="1425"/>
      <c r="AG532" s="75" t="s">
        <v>438</v>
      </c>
      <c r="AH532" s="1232">
        <v>2021</v>
      </c>
      <c r="AI532" s="1232"/>
      <c r="AJ532" s="1232"/>
      <c r="AK532" s="123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2"/>
      <c r="C533" s="1493"/>
      <c r="D533" s="1493"/>
      <c r="E533" s="1493"/>
      <c r="F533" s="1493"/>
      <c r="G533" s="1493"/>
      <c r="H533" s="1494"/>
      <c r="I533" s="25" t="s">
        <v>612</v>
      </c>
      <c r="J533" s="25"/>
      <c r="K533" s="25"/>
      <c r="L533" s="25"/>
      <c r="M533" s="25"/>
      <c r="N533" s="25"/>
      <c r="O533" s="25"/>
      <c r="P533" s="25"/>
      <c r="Q533" s="25"/>
      <c r="R533" s="25"/>
      <c r="S533" s="25"/>
      <c r="T533" s="25"/>
      <c r="U533" s="25"/>
      <c r="V533" s="25"/>
      <c r="W533" s="25"/>
      <c r="X533" s="25"/>
      <c r="Y533" s="25"/>
      <c r="AC533" s="1470">
        <v>4</v>
      </c>
      <c r="AD533" s="1425"/>
      <c r="AE533" s="1425"/>
      <c r="AF533" s="1425"/>
      <c r="AG533" s="65" t="s">
        <v>438</v>
      </c>
      <c r="AH533" s="1232">
        <v>2023</v>
      </c>
      <c r="AI533" s="1232"/>
      <c r="AJ533" s="1232"/>
      <c r="AK533" s="123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2"/>
      <c r="C534" s="1493"/>
      <c r="D534" s="1493"/>
      <c r="E534" s="1493"/>
      <c r="F534" s="1493"/>
      <c r="G534" s="1493"/>
      <c r="H534" s="1494"/>
      <c r="I534" s="25" t="s">
        <v>613</v>
      </c>
      <c r="J534" s="25"/>
      <c r="K534" s="25"/>
      <c r="L534" s="25"/>
      <c r="M534" s="25"/>
      <c r="N534" s="25"/>
      <c r="O534" s="25"/>
      <c r="P534" s="25"/>
      <c r="Q534" s="25"/>
      <c r="R534" s="25"/>
      <c r="S534" s="25"/>
      <c r="T534" s="25"/>
      <c r="U534" s="25"/>
      <c r="V534" s="25"/>
      <c r="W534" s="25"/>
      <c r="X534" s="25"/>
      <c r="Y534" s="25"/>
      <c r="AC534" s="1470">
        <v>4</v>
      </c>
      <c r="AD534" s="1425"/>
      <c r="AE534" s="1425"/>
      <c r="AF534" s="1425"/>
      <c r="AG534" s="65" t="s">
        <v>438</v>
      </c>
      <c r="AH534" s="1232">
        <v>2023</v>
      </c>
      <c r="AI534" s="1232"/>
      <c r="AJ534" s="1232"/>
      <c r="AK534" s="123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5"/>
      <c r="C535" s="1496"/>
      <c r="D535" s="1496"/>
      <c r="E535" s="1496"/>
      <c r="F535" s="1496"/>
      <c r="G535" s="1496"/>
      <c r="H535" s="1497"/>
      <c r="I535" s="80" t="s">
        <v>495</v>
      </c>
      <c r="J535" s="80"/>
      <c r="K535" s="80"/>
      <c r="L535" s="80"/>
      <c r="M535" s="80"/>
      <c r="N535" s="80"/>
      <c r="O535" s="80"/>
      <c r="P535" s="80"/>
      <c r="Q535" s="80"/>
      <c r="R535" s="80"/>
      <c r="S535" s="80"/>
      <c r="T535" s="80"/>
      <c r="U535" s="80"/>
      <c r="V535" s="80"/>
      <c r="W535" s="80"/>
      <c r="X535" s="80"/>
      <c r="Y535" s="80"/>
      <c r="Z535" s="80"/>
      <c r="AA535" s="80"/>
      <c r="AB535" s="80"/>
      <c r="AC535" s="1470">
        <v>10</v>
      </c>
      <c r="AD535" s="1425"/>
      <c r="AE535" s="1425"/>
      <c r="AF535" s="1425"/>
      <c r="AG535" s="65" t="s">
        <v>438</v>
      </c>
      <c r="AH535" s="1232">
        <v>2023</v>
      </c>
      <c r="AI535" s="1232"/>
      <c r="AJ535" s="1232"/>
      <c r="AK535" s="123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589</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1" t="s">
        <v>497</v>
      </c>
      <c r="C544" s="1472"/>
      <c r="D544" s="1472"/>
      <c r="E544" s="1472"/>
      <c r="F544" s="1472"/>
      <c r="G544" s="1472"/>
      <c r="H544" s="1472"/>
      <c r="I544" s="1472"/>
      <c r="J544" s="1472"/>
      <c r="K544" s="1472"/>
      <c r="L544" s="1472"/>
      <c r="M544" s="1472"/>
      <c r="N544" s="1472"/>
      <c r="O544" s="1473"/>
      <c r="P544" s="1471" t="s">
        <v>346</v>
      </c>
      <c r="Q544" s="1472"/>
      <c r="R544" s="1472"/>
      <c r="S544" s="1472"/>
      <c r="T544" s="1473"/>
      <c r="U544" s="1471" t="s">
        <v>498</v>
      </c>
      <c r="V544" s="1472"/>
      <c r="W544" s="1472"/>
      <c r="X544" s="1472"/>
      <c r="Y544" s="1473"/>
      <c r="Z544" s="1528" t="s">
        <v>1422</v>
      </c>
      <c r="AA544" s="1529"/>
      <c r="AB544" s="1529"/>
      <c r="AC544" s="1529"/>
      <c r="AD544" s="1530"/>
      <c r="AE544" s="1471" t="s">
        <v>499</v>
      </c>
      <c r="AF544" s="1472"/>
      <c r="AG544" s="1472"/>
      <c r="AH544" s="1472"/>
      <c r="AI544" s="1472"/>
      <c r="AJ544" s="1472"/>
      <c r="AK544" s="147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2" t="s">
        <v>1788</v>
      </c>
      <c r="D545" s="1132"/>
      <c r="E545" s="1132"/>
      <c r="F545" s="1132"/>
      <c r="G545" s="1132"/>
      <c r="H545" s="1132"/>
      <c r="I545" s="1132"/>
      <c r="J545" s="1132"/>
      <c r="K545" s="1132"/>
      <c r="L545" s="1132"/>
      <c r="M545" s="1132"/>
      <c r="N545" s="1132"/>
      <c r="O545" s="1435"/>
      <c r="P545" s="1231">
        <v>34</v>
      </c>
      <c r="Q545" s="1232"/>
      <c r="R545" s="1232"/>
      <c r="S545" s="1232"/>
      <c r="T545" s="1233"/>
      <c r="U545" s="1438">
        <v>3.5000000000000003E-2</v>
      </c>
      <c r="V545" s="1439"/>
      <c r="W545" s="1439"/>
      <c r="X545" s="1439"/>
      <c r="Y545" s="1440"/>
      <c r="Z545" s="1229" t="s">
        <v>1734</v>
      </c>
      <c r="AA545" s="1229"/>
      <c r="AB545" s="1229"/>
      <c r="AC545" s="1229"/>
      <c r="AD545" s="1230"/>
      <c r="AE545" s="1149">
        <v>27000000</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2" t="s">
        <v>1789</v>
      </c>
      <c r="D546" s="1132"/>
      <c r="E546" s="1132"/>
      <c r="F546" s="1132"/>
      <c r="G546" s="1132"/>
      <c r="H546" s="1132"/>
      <c r="I546" s="1132"/>
      <c r="J546" s="1132"/>
      <c r="K546" s="1132"/>
      <c r="L546" s="1132"/>
      <c r="M546" s="1132"/>
      <c r="N546" s="1132"/>
      <c r="O546" s="1435"/>
      <c r="P546" s="1231">
        <v>34</v>
      </c>
      <c r="Q546" s="1232"/>
      <c r="R546" s="1232"/>
      <c r="S546" s="1232"/>
      <c r="T546" s="1233"/>
      <c r="U546" s="1438">
        <v>3.5000000000000003E-2</v>
      </c>
      <c r="V546" s="1439"/>
      <c r="W546" s="1439"/>
      <c r="X546" s="1439"/>
      <c r="Y546" s="1440"/>
      <c r="Z546" s="1229" t="s">
        <v>1734</v>
      </c>
      <c r="AA546" s="1229"/>
      <c r="AB546" s="1229"/>
      <c r="AC546" s="1229"/>
      <c r="AD546" s="1230"/>
      <c r="AE546" s="1149">
        <v>3924093</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2" t="s">
        <v>1705</v>
      </c>
      <c r="D547" s="1132"/>
      <c r="E547" s="1132"/>
      <c r="F547" s="1132"/>
      <c r="G547" s="1132"/>
      <c r="H547" s="1132"/>
      <c r="I547" s="1132"/>
      <c r="J547" s="1132"/>
      <c r="K547" s="1132"/>
      <c r="L547" s="1132"/>
      <c r="M547" s="1132"/>
      <c r="N547" s="1132"/>
      <c r="O547" s="1435"/>
      <c r="P547" s="1231">
        <v>660</v>
      </c>
      <c r="Q547" s="1232"/>
      <c r="R547" s="1232"/>
      <c r="S547" s="1232"/>
      <c r="T547" s="1233"/>
      <c r="U547" s="1438">
        <v>0.03</v>
      </c>
      <c r="V547" s="1439"/>
      <c r="W547" s="1439"/>
      <c r="X547" s="1439"/>
      <c r="Y547" s="1440"/>
      <c r="Z547" s="1228" t="s">
        <v>1734</v>
      </c>
      <c r="AA547" s="1229"/>
      <c r="AB547" s="1229"/>
      <c r="AC547" s="1229"/>
      <c r="AD547" s="1230"/>
      <c r="AE547" s="1149">
        <v>6950000</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32" t="s">
        <v>1774</v>
      </c>
      <c r="D548" s="1132"/>
      <c r="E548" s="1132"/>
      <c r="F548" s="1132"/>
      <c r="G548" s="1132"/>
      <c r="H548" s="1132"/>
      <c r="I548" s="1132"/>
      <c r="J548" s="1132"/>
      <c r="K548" s="1132"/>
      <c r="L548" s="1132"/>
      <c r="M548" s="1132"/>
      <c r="N548" s="1132"/>
      <c r="O548" s="1435"/>
      <c r="P548" s="1231" t="s">
        <v>1772</v>
      </c>
      <c r="Q548" s="1232"/>
      <c r="R548" s="1232"/>
      <c r="S548" s="1232"/>
      <c r="T548" s="1233"/>
      <c r="U548" s="1438" t="s">
        <v>641</v>
      </c>
      <c r="V548" s="1439"/>
      <c r="W548" s="1439"/>
      <c r="X548" s="1439"/>
      <c r="Y548" s="1440"/>
      <c r="Z548" s="1228" t="s">
        <v>641</v>
      </c>
      <c r="AA548" s="1229"/>
      <c r="AB548" s="1229"/>
      <c r="AC548" s="1229"/>
      <c r="AD548" s="1230"/>
      <c r="AE548" s="1149">
        <v>1000000</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32" t="s">
        <v>1776</v>
      </c>
      <c r="D549" s="1132"/>
      <c r="E549" s="1132"/>
      <c r="F549" s="1132"/>
      <c r="G549" s="1132"/>
      <c r="H549" s="1132"/>
      <c r="I549" s="1132"/>
      <c r="J549" s="1132"/>
      <c r="K549" s="1132"/>
      <c r="L549" s="1132"/>
      <c r="M549" s="1132"/>
      <c r="N549" s="1132"/>
      <c r="O549" s="1435"/>
      <c r="P549" s="1231"/>
      <c r="Q549" s="1232"/>
      <c r="R549" s="1232"/>
      <c r="S549" s="1232"/>
      <c r="T549" s="1233"/>
      <c r="U549" s="1438" t="s">
        <v>641</v>
      </c>
      <c r="V549" s="1439"/>
      <c r="W549" s="1439"/>
      <c r="X549" s="1439"/>
      <c r="Y549" s="1440"/>
      <c r="Z549" s="1228" t="s">
        <v>641</v>
      </c>
      <c r="AA549" s="1229"/>
      <c r="AB549" s="1229"/>
      <c r="AC549" s="1229"/>
      <c r="AD549" s="1230"/>
      <c r="AE549" s="1149">
        <v>3621960</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32" t="s">
        <v>1744</v>
      </c>
      <c r="D550" s="1132"/>
      <c r="E550" s="1132"/>
      <c r="F550" s="1132"/>
      <c r="G550" s="1132"/>
      <c r="H550" s="1132"/>
      <c r="I550" s="1132"/>
      <c r="J550" s="1132"/>
      <c r="K550" s="1132"/>
      <c r="L550" s="1132"/>
      <c r="M550" s="1132"/>
      <c r="N550" s="1132"/>
      <c r="O550" s="1435"/>
      <c r="P550" s="1231"/>
      <c r="Q550" s="1232"/>
      <c r="R550" s="1232"/>
      <c r="S550" s="1232"/>
      <c r="T550" s="1233"/>
      <c r="U550" s="1438" t="s">
        <v>641</v>
      </c>
      <c r="V550" s="1439"/>
      <c r="W550" s="1439"/>
      <c r="X550" s="1439"/>
      <c r="Y550" s="1440"/>
      <c r="Z550" s="1228" t="s">
        <v>641</v>
      </c>
      <c r="AA550" s="1229"/>
      <c r="AB550" s="1229"/>
      <c r="AC550" s="1229"/>
      <c r="AD550" s="1230"/>
      <c r="AE550" s="1149">
        <f>3792639+1302823</f>
        <v>5095462</v>
      </c>
      <c r="AF550" s="1150"/>
      <c r="AG550" s="1150"/>
      <c r="AH550" s="1150"/>
      <c r="AI550" s="1150"/>
      <c r="AJ550" s="1150"/>
      <c r="AK550" s="115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32" t="s">
        <v>1736</v>
      </c>
      <c r="D551" s="1132"/>
      <c r="E551" s="1132"/>
      <c r="F551" s="1132"/>
      <c r="G551" s="1132"/>
      <c r="H551" s="1132"/>
      <c r="I551" s="1132"/>
      <c r="J551" s="1132"/>
      <c r="K551" s="1132"/>
      <c r="L551" s="1132"/>
      <c r="M551" s="1132"/>
      <c r="N551" s="1132"/>
      <c r="O551" s="1435"/>
      <c r="P551" s="1231"/>
      <c r="Q551" s="1232"/>
      <c r="R551" s="1232"/>
      <c r="S551" s="1232"/>
      <c r="T551" s="1233"/>
      <c r="U551" s="1438" t="s">
        <v>641</v>
      </c>
      <c r="V551" s="1439"/>
      <c r="W551" s="1439"/>
      <c r="X551" s="1439"/>
      <c r="Y551" s="1440"/>
      <c r="Z551" s="1228" t="s">
        <v>641</v>
      </c>
      <c r="AA551" s="1229"/>
      <c r="AB551" s="1229"/>
      <c r="AC551" s="1229"/>
      <c r="AD551" s="1230"/>
      <c r="AE551" s="1149">
        <v>100</v>
      </c>
      <c r="AF551" s="1150"/>
      <c r="AG551" s="1150"/>
      <c r="AH551" s="1150"/>
      <c r="AI551" s="1150"/>
      <c r="AJ551" s="1150"/>
      <c r="AK551" s="115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32"/>
      <c r="D552" s="1132"/>
      <c r="E552" s="1132"/>
      <c r="F552" s="1132"/>
      <c r="G552" s="1132"/>
      <c r="H552" s="1132"/>
      <c r="I552" s="1132"/>
      <c r="J552" s="1132"/>
      <c r="K552" s="1132"/>
      <c r="L552" s="1132"/>
      <c r="M552" s="1132"/>
      <c r="N552" s="1132"/>
      <c r="O552" s="1435"/>
      <c r="P552" s="1231"/>
      <c r="Q552" s="1232"/>
      <c r="R552" s="1232"/>
      <c r="S552" s="1232"/>
      <c r="T552" s="1233"/>
      <c r="U552" s="1438" t="s">
        <v>266</v>
      </c>
      <c r="V552" s="1439"/>
      <c r="W552" s="1439"/>
      <c r="X552" s="1439"/>
      <c r="Y552" s="1440"/>
      <c r="Z552" s="1228"/>
      <c r="AA552" s="1229"/>
      <c r="AB552" s="1229"/>
      <c r="AC552" s="1229"/>
      <c r="AD552" s="1230"/>
      <c r="AE552" s="1212" t="s">
        <v>266</v>
      </c>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10"/>
      <c r="D553" s="1110"/>
      <c r="E553" s="1110"/>
      <c r="F553" s="1110"/>
      <c r="G553" s="1110"/>
      <c r="H553" s="1110"/>
      <c r="I553" s="1110"/>
      <c r="J553" s="1110"/>
      <c r="K553" s="1110"/>
      <c r="L553" s="1110"/>
      <c r="M553" s="1110"/>
      <c r="N553" s="1110"/>
      <c r="O553" s="1234"/>
      <c r="P553" s="1231"/>
      <c r="Q553" s="1232"/>
      <c r="R553" s="1232"/>
      <c r="S553" s="1232"/>
      <c r="T553" s="1233"/>
      <c r="U553" s="1438"/>
      <c r="V553" s="1439"/>
      <c r="W553" s="1439"/>
      <c r="X553" s="1439"/>
      <c r="Y553" s="1440"/>
      <c r="Z553" s="1228" t="s">
        <v>1423</v>
      </c>
      <c r="AA553" s="1229"/>
      <c r="AB553" s="1229"/>
      <c r="AC553" s="1229"/>
      <c r="AD553" s="1230"/>
      <c r="AE553" s="1149"/>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10"/>
      <c r="D554" s="1110"/>
      <c r="E554" s="1110"/>
      <c r="F554" s="1110"/>
      <c r="G554" s="1110"/>
      <c r="H554" s="1110"/>
      <c r="I554" s="1110"/>
      <c r="J554" s="1110"/>
      <c r="K554" s="1110"/>
      <c r="L554" s="1110"/>
      <c r="M554" s="1110"/>
      <c r="N554" s="1110"/>
      <c r="O554" s="1234"/>
      <c r="P554" s="1231"/>
      <c r="Q554" s="1232"/>
      <c r="R554" s="1232"/>
      <c r="S554" s="1232"/>
      <c r="T554" s="1233"/>
      <c r="U554" s="1438"/>
      <c r="V554" s="1439"/>
      <c r="W554" s="1439"/>
      <c r="X554" s="1439"/>
      <c r="Y554" s="1440"/>
      <c r="Z554" s="1229" t="s">
        <v>1423</v>
      </c>
      <c r="AA554" s="1229"/>
      <c r="AB554" s="1229"/>
      <c r="AC554" s="1229"/>
      <c r="AD554" s="1230"/>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0"/>
      <c r="D555" s="1110"/>
      <c r="E555" s="1110"/>
      <c r="F555" s="1110"/>
      <c r="G555" s="1110"/>
      <c r="H555" s="1110"/>
      <c r="I555" s="1110"/>
      <c r="J555" s="1110"/>
      <c r="K555" s="1110"/>
      <c r="L555" s="1110"/>
      <c r="M555" s="1110"/>
      <c r="N555" s="1110"/>
      <c r="O555" s="1234"/>
      <c r="P555" s="1231"/>
      <c r="Q555" s="1232"/>
      <c r="R555" s="1232"/>
      <c r="S555" s="1232"/>
      <c r="T555" s="1233"/>
      <c r="U555" s="1438"/>
      <c r="V555" s="1439"/>
      <c r="W555" s="1439"/>
      <c r="X555" s="1439"/>
      <c r="Y555" s="1440"/>
      <c r="Z555" s="1229" t="s">
        <v>1423</v>
      </c>
      <c r="AA555" s="1229"/>
      <c r="AB555" s="1229"/>
      <c r="AC555" s="1229"/>
      <c r="AD555" s="1230"/>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0"/>
      <c r="D556" s="1110"/>
      <c r="E556" s="1110"/>
      <c r="F556" s="1110"/>
      <c r="G556" s="1110"/>
      <c r="H556" s="1110"/>
      <c r="I556" s="1110"/>
      <c r="J556" s="1110"/>
      <c r="K556" s="1110"/>
      <c r="L556" s="1110"/>
      <c r="M556" s="1110"/>
      <c r="N556" s="1110"/>
      <c r="O556" s="1234"/>
      <c r="P556" s="1231"/>
      <c r="Q556" s="1232"/>
      <c r="R556" s="1232"/>
      <c r="S556" s="1232"/>
      <c r="T556" s="1233"/>
      <c r="U556" s="1438"/>
      <c r="V556" s="1439"/>
      <c r="W556" s="1439"/>
      <c r="X556" s="1439"/>
      <c r="Y556" s="1440"/>
      <c r="Z556" s="1229" t="s">
        <v>1423</v>
      </c>
      <c r="AA556" s="1229"/>
      <c r="AB556" s="1229"/>
      <c r="AC556" s="1229"/>
      <c r="AD556" s="1230"/>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16">
        <f>SUM(AE545:AK556)</f>
        <v>47591615</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f>N664</f>
        <v>0</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7" t="str">
        <f>C545</f>
        <v>Citi Community Capital-tax exempt</v>
      </c>
      <c r="H559" s="1107"/>
      <c r="I559" s="1107"/>
      <c r="J559" s="1107"/>
      <c r="K559" s="1107"/>
      <c r="L559" s="1107"/>
      <c r="M559" s="1107"/>
      <c r="N559" s="1107"/>
      <c r="O559" s="1107"/>
      <c r="P559" s="1107"/>
      <c r="Q559" s="1107"/>
      <c r="R559" s="1107"/>
      <c r="S559" s="14"/>
      <c r="T559" s="87" t="s">
        <v>120</v>
      </c>
      <c r="U559" s="12" t="s">
        <v>509</v>
      </c>
      <c r="Z559" s="1107" t="str">
        <f>C546</f>
        <v>Citi Community Capital-taxable</v>
      </c>
      <c r="AA559" s="1107"/>
      <c r="AB559" s="1107"/>
      <c r="AC559" s="1107"/>
      <c r="AD559" s="1107"/>
      <c r="AE559" s="1107"/>
      <c r="AF559" s="1107"/>
      <c r="AG559" s="1107"/>
      <c r="AH559" s="1107"/>
      <c r="AI559" s="1107"/>
      <c r="AJ559" s="1107"/>
      <c r="AK559" s="1107"/>
      <c r="AM559" s="58" t="s">
        <v>501</v>
      </c>
      <c r="AN559" s="58">
        <f>AG664</f>
        <v>0</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1791</v>
      </c>
      <c r="H560" s="1105"/>
      <c r="I560" s="1105"/>
      <c r="J560" s="1105"/>
      <c r="K560" s="1105"/>
      <c r="L560" s="1105"/>
      <c r="M560" s="1105"/>
      <c r="N560" s="1105"/>
      <c r="O560" s="1105"/>
      <c r="P560" s="1105"/>
      <c r="Q560" s="1105"/>
      <c r="R560" s="1105"/>
      <c r="S560" s="14"/>
      <c r="T560" s="35"/>
      <c r="U560" s="12" t="s">
        <v>92</v>
      </c>
      <c r="Z560" s="1103" t="s">
        <v>1791</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3" t="s">
        <v>540</v>
      </c>
      <c r="H561" s="1105"/>
      <c r="I561" s="1105"/>
      <c r="J561" s="1105"/>
      <c r="K561" s="1105"/>
      <c r="L561" s="1105"/>
      <c r="M561" s="1105"/>
      <c r="N561" s="1105"/>
      <c r="O561" s="1105"/>
      <c r="P561" s="1105"/>
      <c r="Q561" s="1105"/>
      <c r="R561" s="1105"/>
      <c r="S561" s="88"/>
      <c r="T561" s="35"/>
      <c r="U561" s="12" t="s">
        <v>630</v>
      </c>
      <c r="Z561" s="1103" t="s">
        <v>540</v>
      </c>
      <c r="AA561" s="1105"/>
      <c r="AB561" s="1105"/>
      <c r="AC561" s="1105"/>
      <c r="AD561" s="1105"/>
      <c r="AE561" s="1105"/>
      <c r="AF561" s="1105"/>
      <c r="AG561" s="1105"/>
      <c r="AH561" s="1105"/>
      <c r="AI561" s="1105"/>
      <c r="AJ561" s="1105"/>
      <c r="AK561" s="110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1792</v>
      </c>
      <c r="H562" s="1105"/>
      <c r="I562" s="1105"/>
      <c r="J562" s="1105"/>
      <c r="K562" s="1105"/>
      <c r="L562" s="1105"/>
      <c r="M562" s="1105"/>
      <c r="N562" s="1105"/>
      <c r="O562" s="1105"/>
      <c r="P562" s="1105"/>
      <c r="Q562" s="1105"/>
      <c r="R562" s="1105"/>
      <c r="S562" s="14"/>
      <c r="T562" s="35"/>
      <c r="U562" s="12" t="s">
        <v>19</v>
      </c>
      <c r="Z562" s="1103" t="s">
        <v>1792</v>
      </c>
      <c r="AA562" s="1105"/>
      <c r="AB562" s="1105"/>
      <c r="AC562" s="1105"/>
      <c r="AD562" s="1105"/>
      <c r="AE562" s="1105"/>
      <c r="AF562" s="1105"/>
      <c r="AG562" s="1105"/>
      <c r="AH562" s="1105"/>
      <c r="AI562" s="1105"/>
      <c r="AJ562" s="1105"/>
      <c r="AK562" s="110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8" t="s">
        <v>1793</v>
      </c>
      <c r="H563" s="1109"/>
      <c r="I563" s="1109"/>
      <c r="J563" s="1109"/>
      <c r="K563" s="1109"/>
      <c r="L563" s="1109"/>
      <c r="O563" s="140" t="s">
        <v>220</v>
      </c>
      <c r="P563" s="1110"/>
      <c r="Q563" s="1110"/>
      <c r="R563" s="1110"/>
      <c r="S563" s="16"/>
      <c r="T563" s="35"/>
      <c r="U563" s="12" t="s">
        <v>338</v>
      </c>
      <c r="Z563" s="1108" t="s">
        <v>1793</v>
      </c>
      <c r="AA563" s="1109"/>
      <c r="AB563" s="1109"/>
      <c r="AC563" s="1109"/>
      <c r="AD563" s="1109"/>
      <c r="AE563" s="1109"/>
      <c r="AH563" s="140" t="s">
        <v>220</v>
      </c>
      <c r="AI563" s="1110"/>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1733</v>
      </c>
      <c r="I564" s="1105"/>
      <c r="J564" s="1105"/>
      <c r="K564" s="1105"/>
      <c r="L564" s="1105"/>
      <c r="M564" s="1105"/>
      <c r="N564" s="1105"/>
      <c r="O564" s="1105"/>
      <c r="P564" s="1105"/>
      <c r="Q564" s="1105"/>
      <c r="R564" s="1105"/>
      <c r="S564" s="14"/>
      <c r="T564" s="35"/>
      <c r="U564" s="12" t="s">
        <v>20</v>
      </c>
      <c r="AA564" s="1103" t="s">
        <v>1733</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33" t="s">
        <v>1752</v>
      </c>
      <c r="N565" s="1534"/>
      <c r="O565" s="1534"/>
      <c r="P565" s="1534"/>
      <c r="Q565" s="1534"/>
      <c r="R565" s="1534"/>
      <c r="S565" s="14"/>
      <c r="T565" s="35"/>
      <c r="U565" s="530" t="s">
        <v>1424</v>
      </c>
      <c r="V565" s="743"/>
      <c r="W565" s="743"/>
      <c r="X565" s="743"/>
      <c r="Y565" s="743"/>
      <c r="Z565" s="743"/>
      <c r="AA565" s="14"/>
      <c r="AB565" s="14"/>
      <c r="AC565" s="14"/>
      <c r="AD565" s="14"/>
      <c r="AE565" s="14"/>
      <c r="AF565" s="1540" t="s">
        <v>1752</v>
      </c>
      <c r="AG565" s="1534"/>
      <c r="AH565" s="1534"/>
      <c r="AI565" s="1534"/>
      <c r="AJ565" s="1534"/>
      <c r="AK565" s="153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591</v>
      </c>
      <c r="O566" s="1106"/>
      <c r="T566" s="35"/>
      <c r="U566" s="12" t="s">
        <v>22</v>
      </c>
      <c r="AG566" s="1106" t="s">
        <v>591</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7" t="str">
        <f>C547</f>
        <v>Los Angeles County Development Authority</v>
      </c>
      <c r="H568" s="1107"/>
      <c r="I568" s="1107"/>
      <c r="J568" s="1107"/>
      <c r="K568" s="1107"/>
      <c r="L568" s="1107"/>
      <c r="M568" s="1107"/>
      <c r="N568" s="1107"/>
      <c r="O568" s="1107"/>
      <c r="P568" s="1107"/>
      <c r="Q568" s="1107"/>
      <c r="R568" s="1107"/>
      <c r="T568" s="87" t="s">
        <v>631</v>
      </c>
      <c r="U568" s="12" t="s">
        <v>509</v>
      </c>
      <c r="Z568" s="1107" t="str">
        <f>C548</f>
        <v>CIT Bank-AHP loan</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3" t="s">
        <v>1737</v>
      </c>
      <c r="H569" s="1105"/>
      <c r="I569" s="1105"/>
      <c r="J569" s="1105"/>
      <c r="K569" s="1105"/>
      <c r="L569" s="1105"/>
      <c r="M569" s="1105"/>
      <c r="N569" s="1105"/>
      <c r="O569" s="1105"/>
      <c r="P569" s="1105"/>
      <c r="Q569" s="1105"/>
      <c r="R569" s="1105"/>
      <c r="T569" s="35"/>
      <c r="U569" s="12" t="s">
        <v>92</v>
      </c>
      <c r="Z569" s="1103" t="s">
        <v>1740</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32" t="s">
        <v>1707</v>
      </c>
      <c r="H570" s="1127"/>
      <c r="I570" s="1127"/>
      <c r="J570" s="1127"/>
      <c r="K570" s="1127"/>
      <c r="L570" s="1127"/>
      <c r="M570" s="1127"/>
      <c r="N570" s="1127"/>
      <c r="O570" s="1127"/>
      <c r="P570" s="1127"/>
      <c r="Q570" s="1127"/>
      <c r="R570" s="1127"/>
      <c r="T570" s="35"/>
      <c r="U570" s="12" t="s">
        <v>630</v>
      </c>
      <c r="Z570" s="1132" t="s">
        <v>1747</v>
      </c>
      <c r="AA570" s="1127"/>
      <c r="AB570" s="1127"/>
      <c r="AC570" s="1127"/>
      <c r="AD570" s="1127"/>
      <c r="AE570" s="1127"/>
      <c r="AF570" s="1127"/>
      <c r="AG570" s="1127"/>
      <c r="AH570" s="1127"/>
      <c r="AI570" s="1127"/>
      <c r="AJ570" s="1127"/>
      <c r="AK570" s="112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2" t="s">
        <v>1738</v>
      </c>
      <c r="H571" s="1127"/>
      <c r="I571" s="1127"/>
      <c r="J571" s="1127"/>
      <c r="K571" s="1127"/>
      <c r="L571" s="1127"/>
      <c r="M571" s="1127"/>
      <c r="N571" s="1127"/>
      <c r="O571" s="1127"/>
      <c r="P571" s="1127"/>
      <c r="Q571" s="1127"/>
      <c r="R571" s="1127"/>
      <c r="T571" s="35"/>
      <c r="U571" s="12" t="s">
        <v>19</v>
      </c>
      <c r="Z571" s="1132" t="s">
        <v>1742</v>
      </c>
      <c r="AA571" s="1127"/>
      <c r="AB571" s="1127"/>
      <c r="AC571" s="1127"/>
      <c r="AD571" s="1127"/>
      <c r="AE571" s="1127"/>
      <c r="AF571" s="1127"/>
      <c r="AG571" s="1127"/>
      <c r="AH571" s="1127"/>
      <c r="AI571" s="1127"/>
      <c r="AJ571" s="1127"/>
      <c r="AK571" s="112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8" t="s">
        <v>1739</v>
      </c>
      <c r="H572" s="1109"/>
      <c r="I572" s="1109"/>
      <c r="J572" s="1109"/>
      <c r="K572" s="1109"/>
      <c r="L572" s="1109"/>
      <c r="O572" s="140" t="s">
        <v>220</v>
      </c>
      <c r="P572" s="1110"/>
      <c r="Q572" s="1110"/>
      <c r="R572" s="1110"/>
      <c r="T572" s="35"/>
      <c r="U572" s="12" t="s">
        <v>338</v>
      </c>
      <c r="Z572" s="1108" t="s">
        <v>1743</v>
      </c>
      <c r="AA572" s="1109"/>
      <c r="AB572" s="1109"/>
      <c r="AC572" s="1109"/>
      <c r="AD572" s="1109"/>
      <c r="AE572" s="1109"/>
      <c r="AH572" s="140" t="s">
        <v>220</v>
      </c>
      <c r="AI572" s="1110"/>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1751</v>
      </c>
      <c r="I573" s="1105"/>
      <c r="J573" s="1105"/>
      <c r="K573" s="1105"/>
      <c r="L573" s="1105"/>
      <c r="M573" s="1105"/>
      <c r="N573" s="1105"/>
      <c r="O573" s="1105"/>
      <c r="P573" s="1105"/>
      <c r="Q573" s="1105"/>
      <c r="R573" s="1105"/>
      <c r="T573" s="35"/>
      <c r="U573" s="12" t="s">
        <v>20</v>
      </c>
      <c r="AA573" s="1103" t="s">
        <v>1741</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591</v>
      </c>
      <c r="O574" s="1106"/>
      <c r="T574" s="35"/>
      <c r="U574" s="12" t="s">
        <v>22</v>
      </c>
      <c r="AG574" s="1106" t="s">
        <v>591</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7" t="str">
        <f>C549</f>
        <v>Tax Credit Equity</v>
      </c>
      <c r="H576" s="1107"/>
      <c r="I576" s="1107"/>
      <c r="J576" s="1107"/>
      <c r="K576" s="1107"/>
      <c r="L576" s="1107"/>
      <c r="M576" s="1107"/>
      <c r="N576" s="1107"/>
      <c r="O576" s="1107"/>
      <c r="P576" s="1107"/>
      <c r="Q576" s="1107"/>
      <c r="R576" s="1107"/>
      <c r="T576" s="87" t="s">
        <v>634</v>
      </c>
      <c r="U576" s="12" t="s">
        <v>509</v>
      </c>
      <c r="Z576" s="1107" t="str">
        <f>C550</f>
        <v>Deferred Fee &amp; Costs</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3" t="s">
        <v>1661</v>
      </c>
      <c r="H577" s="1105"/>
      <c r="I577" s="1105"/>
      <c r="J577" s="1105"/>
      <c r="K577" s="1105"/>
      <c r="L577" s="1105"/>
      <c r="M577" s="1105"/>
      <c r="N577" s="1105"/>
      <c r="O577" s="1105"/>
      <c r="P577" s="1105"/>
      <c r="Q577" s="1105"/>
      <c r="R577" s="1105"/>
      <c r="T577" s="35"/>
      <c r="U577" s="12" t="s">
        <v>92</v>
      </c>
      <c r="Z577" s="1103" t="s">
        <v>1745</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3"/>
      <c r="H578" s="1105"/>
      <c r="I578" s="1105"/>
      <c r="J578" s="1105"/>
      <c r="K578" s="1105"/>
      <c r="L578" s="1105"/>
      <c r="M578" s="1105"/>
      <c r="N578" s="1105"/>
      <c r="O578" s="1105"/>
      <c r="P578" s="1105"/>
      <c r="Q578" s="1105"/>
      <c r="R578" s="1105"/>
      <c r="T578" s="35"/>
      <c r="U578" s="12" t="s">
        <v>630</v>
      </c>
      <c r="Z578" s="1132" t="s">
        <v>1746</v>
      </c>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c r="H579" s="1105"/>
      <c r="I579" s="1105"/>
      <c r="J579" s="1105"/>
      <c r="K579" s="1105"/>
      <c r="L579" s="1105"/>
      <c r="M579" s="1105"/>
      <c r="N579" s="1105"/>
      <c r="O579" s="1105"/>
      <c r="P579" s="1105"/>
      <c r="Q579" s="1105"/>
      <c r="R579" s="1105"/>
      <c r="T579" s="35"/>
      <c r="U579" s="12" t="s">
        <v>19</v>
      </c>
      <c r="Z579" s="1132" t="s">
        <v>1657</v>
      </c>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8"/>
      <c r="H580" s="1109"/>
      <c r="I580" s="1109"/>
      <c r="J580" s="1109"/>
      <c r="K580" s="1109"/>
      <c r="L580" s="1109"/>
      <c r="O580" s="140" t="s">
        <v>220</v>
      </c>
      <c r="P580" s="1110"/>
      <c r="Q580" s="1110"/>
      <c r="R580" s="1110"/>
      <c r="T580" s="35"/>
      <c r="U580" s="12" t="s">
        <v>338</v>
      </c>
      <c r="Z580" s="1108" t="s">
        <v>1650</v>
      </c>
      <c r="AA580" s="1109"/>
      <c r="AB580" s="1109"/>
      <c r="AC580" s="1109"/>
      <c r="AD580" s="1109"/>
      <c r="AE580" s="1109"/>
      <c r="AH580" s="140" t="s">
        <v>220</v>
      </c>
      <c r="AI580" s="1110">
        <v>103</v>
      </c>
      <c r="AJ580" s="1110"/>
      <c r="AK580" s="1110"/>
    </row>
    <row r="581" spans="1:112" ht="12.75">
      <c r="A581" s="35"/>
      <c r="B581" s="12" t="s">
        <v>20</v>
      </c>
      <c r="H581" s="1103" t="s">
        <v>1748</v>
      </c>
      <c r="I581" s="1105"/>
      <c r="J581" s="1105"/>
      <c r="K581" s="1105"/>
      <c r="L581" s="1105"/>
      <c r="M581" s="1105"/>
      <c r="N581" s="1105"/>
      <c r="O581" s="1105"/>
      <c r="P581" s="1105"/>
      <c r="Q581" s="1105"/>
      <c r="R581" s="1105"/>
      <c r="T581" s="35"/>
      <c r="U581" s="12" t="s">
        <v>20</v>
      </c>
      <c r="AA581" s="1103" t="s">
        <v>504</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6" t="s">
        <v>722</v>
      </c>
      <c r="O582" s="1106"/>
      <c r="T582" s="35"/>
      <c r="U582" s="12" t="s">
        <v>22</v>
      </c>
      <c r="AG582" s="1106" t="s">
        <v>591</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7" t="str">
        <f>C551</f>
        <v>GP Equity</v>
      </c>
      <c r="H584" s="1107"/>
      <c r="I584" s="1107"/>
      <c r="J584" s="1107"/>
      <c r="K584" s="1107"/>
      <c r="L584" s="1107"/>
      <c r="M584" s="1107"/>
      <c r="N584" s="1107"/>
      <c r="O584" s="1107"/>
      <c r="P584" s="1107"/>
      <c r="Q584" s="1107"/>
      <c r="R584" s="1107"/>
      <c r="T584" s="87" t="s">
        <v>501</v>
      </c>
      <c r="U584" s="12" t="s">
        <v>509</v>
      </c>
      <c r="Z584" s="1107">
        <f>C552</f>
        <v>0</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3" t="s">
        <v>1749</v>
      </c>
      <c r="H585" s="1105"/>
      <c r="I585" s="1105"/>
      <c r="J585" s="1105"/>
      <c r="K585" s="1105"/>
      <c r="L585" s="1105"/>
      <c r="M585" s="1105"/>
      <c r="N585" s="1105"/>
      <c r="O585" s="1105"/>
      <c r="P585" s="1105"/>
      <c r="Q585" s="1105"/>
      <c r="R585" s="1105"/>
      <c r="T585" s="35"/>
      <c r="U585" s="12" t="s">
        <v>92</v>
      </c>
      <c r="Z585" s="1103"/>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3" t="s">
        <v>1746</v>
      </c>
      <c r="H586" s="1105"/>
      <c r="I586" s="1105"/>
      <c r="J586" s="1105"/>
      <c r="K586" s="1105"/>
      <c r="L586" s="1105"/>
      <c r="M586" s="1105"/>
      <c r="N586" s="1105"/>
      <c r="O586" s="1105"/>
      <c r="P586" s="1105"/>
      <c r="Q586" s="1105"/>
      <c r="R586" s="1105"/>
      <c r="S586" s="12"/>
      <c r="T586" s="35"/>
      <c r="U586" s="12" t="s">
        <v>630</v>
      </c>
      <c r="V586" s="12"/>
      <c r="W586" s="12"/>
      <c r="X586" s="12"/>
      <c r="Y586" s="12"/>
      <c r="Z586" s="1132"/>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3" t="s">
        <v>1643</v>
      </c>
      <c r="H587" s="1105"/>
      <c r="I587" s="1105"/>
      <c r="J587" s="1105"/>
      <c r="K587" s="1105"/>
      <c r="L587" s="1105"/>
      <c r="M587" s="1105"/>
      <c r="N587" s="1105"/>
      <c r="O587" s="1105"/>
      <c r="P587" s="1105"/>
      <c r="Q587" s="1105"/>
      <c r="R587" s="1105"/>
      <c r="S587" s="12"/>
      <c r="T587" s="35"/>
      <c r="U587" s="12" t="s">
        <v>19</v>
      </c>
      <c r="V587" s="12"/>
      <c r="W587" s="12"/>
      <c r="X587" s="12"/>
      <c r="Y587" s="12"/>
      <c r="Z587" s="1132"/>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8" t="s">
        <v>1650</v>
      </c>
      <c r="H588" s="1109"/>
      <c r="I588" s="1109"/>
      <c r="J588" s="1109"/>
      <c r="K588" s="1109"/>
      <c r="L588" s="1109"/>
      <c r="M588" s="12"/>
      <c r="N588" s="12"/>
      <c r="O588" s="140" t="s">
        <v>220</v>
      </c>
      <c r="P588" s="1110">
        <v>103</v>
      </c>
      <c r="Q588" s="1110"/>
      <c r="R588" s="1110"/>
      <c r="S588" s="12"/>
      <c r="T588" s="35"/>
      <c r="U588" s="12" t="s">
        <v>338</v>
      </c>
      <c r="V588" s="12"/>
      <c r="W588" s="12"/>
      <c r="X588" s="12"/>
      <c r="Y588" s="12"/>
      <c r="Z588" s="1108" t="s">
        <v>266</v>
      </c>
      <c r="AA588" s="1109"/>
      <c r="AB588" s="1109"/>
      <c r="AC588" s="1109"/>
      <c r="AD588" s="1109"/>
      <c r="AE588" s="1109"/>
      <c r="AF588" s="12"/>
      <c r="AG588" s="12"/>
      <c r="AH588" s="140" t="s">
        <v>220</v>
      </c>
      <c r="AI588" s="1110"/>
      <c r="AJ588" s="1110"/>
      <c r="AK588" s="1110"/>
      <c r="AL588" s="12"/>
      <c r="AM588" s="7" t="s">
        <v>347</v>
      </c>
      <c r="AN588" s="58"/>
      <c r="AO588" s="58"/>
      <c r="AP588" s="58"/>
      <c r="AQ588" s="58"/>
      <c r="AR588" s="193" t="s">
        <v>520</v>
      </c>
      <c r="AS588" s="194"/>
      <c r="AT588" s="1141"/>
      <c r="AU588" s="1143"/>
      <c r="AV588" s="193" t="s">
        <v>521</v>
      </c>
      <c r="AW588" s="194"/>
      <c r="AX588" s="1141"/>
      <c r="AY588" s="1143"/>
      <c r="AZ588" s="58"/>
      <c r="BA588" s="1224" t="s">
        <v>683</v>
      </c>
      <c r="BB588" s="1225"/>
      <c r="BC588" s="1225"/>
      <c r="BD588" s="1225"/>
      <c r="BE588" s="1226"/>
      <c r="BF588" s="1210" t="s">
        <v>348</v>
      </c>
      <c r="BG588" s="1210"/>
      <c r="BH588" s="1210"/>
      <c r="BI588" s="1210"/>
      <c r="BJ588" s="1210"/>
      <c r="BK588" s="1210" t="s">
        <v>170</v>
      </c>
      <c r="BL588" s="1210"/>
      <c r="BM588" s="1210"/>
      <c r="BN588" s="1210"/>
      <c r="BO588" s="1210"/>
      <c r="BP588" s="1210" t="s">
        <v>171</v>
      </c>
      <c r="BQ588" s="1210"/>
      <c r="BR588" s="1210"/>
      <c r="BS588" s="1210"/>
      <c r="BT588" s="1210"/>
      <c r="BU588" s="1210" t="s">
        <v>506</v>
      </c>
      <c r="BV588" s="1210"/>
      <c r="BW588" s="1210"/>
      <c r="BX588" s="1210"/>
      <c r="BY588" s="1210"/>
      <c r="BZ588" s="1210" t="s">
        <v>33</v>
      </c>
      <c r="CA588" s="1210"/>
      <c r="CB588" s="1210"/>
      <c r="CC588" s="1210"/>
      <c r="CD588" s="1210"/>
      <c r="CE588" s="1210" t="s">
        <v>683</v>
      </c>
      <c r="CF588" s="1210"/>
      <c r="CG588" s="1210"/>
      <c r="CH588" s="1210"/>
      <c r="CI588" s="1210"/>
      <c r="CJ588" s="1210" t="s">
        <v>348</v>
      </c>
      <c r="CK588" s="1210"/>
      <c r="CL588" s="1210"/>
      <c r="CM588" s="1210"/>
      <c r="CN588" s="1210"/>
      <c r="CO588" s="1210" t="s">
        <v>170</v>
      </c>
      <c r="CP588" s="1210"/>
      <c r="CQ588" s="1210"/>
      <c r="CR588" s="1210"/>
      <c r="CS588" s="1210"/>
      <c r="CT588" s="1210" t="s">
        <v>171</v>
      </c>
      <c r="CU588" s="1210"/>
      <c r="CV588" s="1210"/>
      <c r="CW588" s="1210"/>
      <c r="CX588" s="1210"/>
      <c r="CY588" s="1210" t="s">
        <v>506</v>
      </c>
      <c r="CZ588" s="1210"/>
      <c r="DA588" s="1210"/>
      <c r="DB588" s="1210"/>
      <c r="DC588" s="1210"/>
      <c r="DD588" s="1210" t="s">
        <v>33</v>
      </c>
      <c r="DE588" s="1210"/>
      <c r="DF588" s="1210"/>
      <c r="DG588" s="1210"/>
      <c r="DH588" s="1210"/>
    </row>
    <row r="589" spans="1:112" s="7" customFormat="1" ht="12.75">
      <c r="A589" s="35"/>
      <c r="B589" s="12" t="s">
        <v>20</v>
      </c>
      <c r="C589" s="12"/>
      <c r="D589" s="12"/>
      <c r="E589" s="12"/>
      <c r="F589" s="12"/>
      <c r="G589" s="12"/>
      <c r="H589" s="1103" t="s">
        <v>1748</v>
      </c>
      <c r="I589" s="1105"/>
      <c r="J589" s="1105"/>
      <c r="K589" s="1105"/>
      <c r="L589" s="1105"/>
      <c r="M589" s="1105"/>
      <c r="N589" s="1105"/>
      <c r="O589" s="1105"/>
      <c r="P589" s="1105"/>
      <c r="Q589" s="1105"/>
      <c r="R589" s="1105"/>
      <c r="S589" s="12"/>
      <c r="T589" s="35"/>
      <c r="U589" s="12" t="s">
        <v>20</v>
      </c>
      <c r="V589" s="12"/>
      <c r="W589" s="12"/>
      <c r="X589" s="12"/>
      <c r="Y589" s="12"/>
      <c r="Z589" s="12"/>
      <c r="AA589" s="1103" t="s">
        <v>266</v>
      </c>
      <c r="AB589" s="1105"/>
      <c r="AC589" s="1105"/>
      <c r="AD589" s="1105"/>
      <c r="AE589" s="1105"/>
      <c r="AF589" s="1105"/>
      <c r="AG589" s="1105"/>
      <c r="AH589" s="1105"/>
      <c r="AI589" s="1105"/>
      <c r="AJ589" s="1105"/>
      <c r="AK589" s="1105"/>
      <c r="AL589" s="12"/>
      <c r="AM589" s="7" t="s">
        <v>348</v>
      </c>
      <c r="AN589" s="58"/>
      <c r="AO589" s="58"/>
      <c r="AP589" s="58"/>
      <c r="AQ589" s="58"/>
      <c r="AR589" s="1531">
        <f t="shared" ref="AR589:AR613" si="0">IF(AND(AD709&lt;=0.5,AD709&gt;=0.36),1,0)</f>
        <v>0</v>
      </c>
      <c r="AS589" s="1532"/>
      <c r="AT589" s="1141">
        <f t="shared" ref="AT589:AT613" si="1">IF(AR589=1,G709,0)</f>
        <v>0</v>
      </c>
      <c r="AU589" s="1143"/>
      <c r="AV589" s="1531">
        <f t="shared" ref="AV589:AV613" si="2">IF(AND(AD709&lt;=0.35,AD709&gt;0),1,0)</f>
        <v>1</v>
      </c>
      <c r="AW589" s="1532"/>
      <c r="AX589" s="1141">
        <f t="shared" ref="AX589:AX613" si="3">IF(AV589=1,G709,0)</f>
        <v>18</v>
      </c>
      <c r="AY589" s="1143"/>
      <c r="AZ589" s="58"/>
      <c r="BA589" s="1141">
        <f t="shared" ref="BA589:BA613" si="4">IF(B709="SRO/Studio",G709,0)</f>
        <v>18</v>
      </c>
      <c r="BB589" s="1142"/>
      <c r="BC589" s="1142"/>
      <c r="BD589" s="1142"/>
      <c r="BE589" s="1143"/>
      <c r="BF589" s="1207">
        <f t="shared" ref="BF589:BF613" si="5">IF(B709="1 Bedroom",G709,0)</f>
        <v>0</v>
      </c>
      <c r="BG589" s="1207"/>
      <c r="BH589" s="1207"/>
      <c r="BI589" s="1207"/>
      <c r="BJ589" s="1207"/>
      <c r="BK589" s="1207">
        <f t="shared" ref="BK589:BK613" si="6">IF(B709="2 Bedrooms",G709,0)</f>
        <v>0</v>
      </c>
      <c r="BL589" s="1207"/>
      <c r="BM589" s="1207"/>
      <c r="BN589" s="1207"/>
      <c r="BO589" s="1207"/>
      <c r="BP589" s="1207">
        <f t="shared" ref="BP589:BP613" si="7">IF(B709="3 Bedrooms",G709,0)</f>
        <v>0</v>
      </c>
      <c r="BQ589" s="1207"/>
      <c r="BR589" s="1207"/>
      <c r="BS589" s="1207"/>
      <c r="BT589" s="1207"/>
      <c r="BU589" s="1207">
        <f t="shared" ref="BU589:BU613" si="8">IF(B709="4 Bedrooms",G709,0)</f>
        <v>0</v>
      </c>
      <c r="BV589" s="1207"/>
      <c r="BW589" s="1207"/>
      <c r="BX589" s="1207"/>
      <c r="BY589" s="1207"/>
      <c r="BZ589" s="1207">
        <f t="shared" ref="BZ589:BZ613" si="9">IF(B709="5 Bedrooms",G709,0)</f>
        <v>0</v>
      </c>
      <c r="CA589" s="1207"/>
      <c r="CB589" s="1207"/>
      <c r="CC589" s="1207"/>
      <c r="CD589" s="1207"/>
      <c r="CE589" s="1215">
        <f t="shared" ref="CE589:CE613" si="10">IF(AND(B709="SRO/Studio",AD709&lt;=0.3),G709,0)</f>
        <v>18</v>
      </c>
      <c r="CF589" s="1215"/>
      <c r="CG589" s="1215"/>
      <c r="CH589" s="1215"/>
      <c r="CI589" s="1215"/>
      <c r="CJ589" s="1215">
        <f t="shared" ref="CJ589:CJ613" si="11">IF(AND(B709="1 Bedroom",AD709&lt;=0.3),G709,0)</f>
        <v>0</v>
      </c>
      <c r="CK589" s="1215"/>
      <c r="CL589" s="1215"/>
      <c r="CM589" s="1215"/>
      <c r="CN589" s="1215"/>
      <c r="CO589" s="1215">
        <f t="shared" ref="CO589:CO613" si="12">IF(AND(B709="2 Bedrooms",AD709&lt;=0.3),G709,0)</f>
        <v>0</v>
      </c>
      <c r="CP589" s="1215"/>
      <c r="CQ589" s="1215"/>
      <c r="CR589" s="1215"/>
      <c r="CS589" s="1215"/>
      <c r="CT589" s="1215">
        <f t="shared" ref="CT589:CT613" si="13">IF(AND(B709="3 Bedrooms",AD709&lt;=0.3),G709,0)</f>
        <v>0</v>
      </c>
      <c r="CU589" s="1215"/>
      <c r="CV589" s="1215"/>
      <c r="CW589" s="1215"/>
      <c r="CX589" s="1215"/>
      <c r="CY589" s="1215">
        <f t="shared" ref="CY589:CY613" si="14">IF(AND(B709="4 Bedrooms",AD709&lt;=0.3),G709,0)</f>
        <v>0</v>
      </c>
      <c r="CZ589" s="1215"/>
      <c r="DA589" s="1215"/>
      <c r="DB589" s="1215"/>
      <c r="DC589" s="1215"/>
      <c r="DD589" s="1215">
        <f t="shared" ref="DD589:DD613" si="15">IF(AND(B709="5 Bedrooms",AD709&lt;=0.3),G709,0)</f>
        <v>0</v>
      </c>
      <c r="DE589" s="1215"/>
      <c r="DF589" s="1215"/>
      <c r="DG589" s="1215"/>
      <c r="DH589" s="1215"/>
    </row>
    <row r="590" spans="1:112" s="7" customFormat="1" ht="12.75">
      <c r="A590" s="35"/>
      <c r="B590" s="12" t="s">
        <v>22</v>
      </c>
      <c r="C590" s="12"/>
      <c r="D590" s="12"/>
      <c r="E590" s="12"/>
      <c r="F590" s="12"/>
      <c r="G590" s="12"/>
      <c r="H590" s="12"/>
      <c r="I590" s="12"/>
      <c r="J590" s="12"/>
      <c r="K590" s="12"/>
      <c r="L590" s="12"/>
      <c r="M590" s="12"/>
      <c r="N590" s="1106" t="s">
        <v>591</v>
      </c>
      <c r="O590" s="1106"/>
      <c r="P590" s="12"/>
      <c r="Q590" s="12"/>
      <c r="R590" s="12"/>
      <c r="S590" s="12"/>
      <c r="T590" s="35"/>
      <c r="U590" s="12" t="s">
        <v>22</v>
      </c>
      <c r="V590" s="12"/>
      <c r="W590" s="12"/>
      <c r="X590" s="12"/>
      <c r="Y590" s="12"/>
      <c r="Z590" s="12"/>
      <c r="AA590" s="12"/>
      <c r="AB590" s="12"/>
      <c r="AC590" s="12"/>
      <c r="AD590" s="12"/>
      <c r="AE590" s="12"/>
      <c r="AF590" s="12"/>
      <c r="AG590" s="1106" t="s">
        <v>591</v>
      </c>
      <c r="AH590" s="1106"/>
      <c r="AI590" s="12"/>
      <c r="AJ590" s="12"/>
      <c r="AK590" s="12"/>
      <c r="AL590" s="12"/>
      <c r="AM590" s="7" t="s">
        <v>170</v>
      </c>
      <c r="AN590" s="58"/>
      <c r="AO590" s="58"/>
      <c r="AP590" s="58"/>
      <c r="AQ590" s="58"/>
      <c r="AR590" s="1531">
        <f t="shared" si="0"/>
        <v>0</v>
      </c>
      <c r="AS590" s="1532"/>
      <c r="AT590" s="1141">
        <f t="shared" si="1"/>
        <v>0</v>
      </c>
      <c r="AU590" s="1143"/>
      <c r="AV590" s="1531">
        <f t="shared" si="2"/>
        <v>1</v>
      </c>
      <c r="AW590" s="1532"/>
      <c r="AX590" s="1141">
        <f t="shared" si="3"/>
        <v>23</v>
      </c>
      <c r="AY590" s="1143"/>
      <c r="AZ590" s="58"/>
      <c r="BA590" s="1141">
        <f t="shared" si="4"/>
        <v>0</v>
      </c>
      <c r="BB590" s="1142"/>
      <c r="BC590" s="1142"/>
      <c r="BD590" s="1142"/>
      <c r="BE590" s="1143"/>
      <c r="BF590" s="1207">
        <f t="shared" si="5"/>
        <v>23</v>
      </c>
      <c r="BG590" s="1207"/>
      <c r="BH590" s="1207"/>
      <c r="BI590" s="1207"/>
      <c r="BJ590" s="1207"/>
      <c r="BK590" s="1207">
        <f t="shared" si="6"/>
        <v>0</v>
      </c>
      <c r="BL590" s="1207"/>
      <c r="BM590" s="1207"/>
      <c r="BN590" s="1207"/>
      <c r="BO590" s="1207"/>
      <c r="BP590" s="1207">
        <f t="shared" si="7"/>
        <v>0</v>
      </c>
      <c r="BQ590" s="1207"/>
      <c r="BR590" s="1207"/>
      <c r="BS590" s="1207"/>
      <c r="BT590" s="1207"/>
      <c r="BU590" s="1207">
        <f t="shared" si="8"/>
        <v>0</v>
      </c>
      <c r="BV590" s="1207"/>
      <c r="BW590" s="1207"/>
      <c r="BX590" s="1207"/>
      <c r="BY590" s="1207"/>
      <c r="BZ590" s="1207">
        <f t="shared" si="9"/>
        <v>0</v>
      </c>
      <c r="CA590" s="1207"/>
      <c r="CB590" s="1207"/>
      <c r="CC590" s="1207"/>
      <c r="CD590" s="1207"/>
      <c r="CE590" s="1215">
        <f t="shared" si="10"/>
        <v>0</v>
      </c>
      <c r="CF590" s="1215"/>
      <c r="CG590" s="1215"/>
      <c r="CH590" s="1215"/>
      <c r="CI590" s="1215"/>
      <c r="CJ590" s="1215">
        <f t="shared" si="11"/>
        <v>23</v>
      </c>
      <c r="CK590" s="1215"/>
      <c r="CL590" s="1215"/>
      <c r="CM590" s="1215"/>
      <c r="CN590" s="1215"/>
      <c r="CO590" s="1215">
        <f t="shared" si="12"/>
        <v>0</v>
      </c>
      <c r="CP590" s="1215"/>
      <c r="CQ590" s="1215"/>
      <c r="CR590" s="1215"/>
      <c r="CS590" s="1215"/>
      <c r="CT590" s="1215">
        <f t="shared" si="13"/>
        <v>0</v>
      </c>
      <c r="CU590" s="1215"/>
      <c r="CV590" s="1215"/>
      <c r="CW590" s="1215"/>
      <c r="CX590" s="1215"/>
      <c r="CY590" s="1215">
        <f t="shared" si="14"/>
        <v>0</v>
      </c>
      <c r="CZ590" s="1215"/>
      <c r="DA590" s="1215"/>
      <c r="DB590" s="1215"/>
      <c r="DC590" s="1215"/>
      <c r="DD590" s="1215">
        <f t="shared" si="15"/>
        <v>0</v>
      </c>
      <c r="DE590" s="1215"/>
      <c r="DF590" s="1215"/>
      <c r="DG590" s="1215"/>
      <c r="DH590" s="1215"/>
    </row>
    <row r="591" spans="1:112" ht="12.75">
      <c r="A591" s="35"/>
      <c r="T591" s="35"/>
      <c r="AM591" s="7" t="s">
        <v>171</v>
      </c>
      <c r="AN591" s="58"/>
      <c r="AO591" s="58"/>
      <c r="AP591" s="58"/>
      <c r="AQ591" s="58"/>
      <c r="AR591" s="1531">
        <f t="shared" si="0"/>
        <v>0</v>
      </c>
      <c r="AS591" s="1532"/>
      <c r="AT591" s="1141">
        <f t="shared" si="1"/>
        <v>0</v>
      </c>
      <c r="AU591" s="1143"/>
      <c r="AV591" s="1531">
        <f t="shared" si="2"/>
        <v>1</v>
      </c>
      <c r="AW591" s="1532"/>
      <c r="AX591" s="1141">
        <f t="shared" si="3"/>
        <v>5</v>
      </c>
      <c r="AY591" s="1143"/>
      <c r="AZ591" s="58"/>
      <c r="BA591" s="1141">
        <f t="shared" si="4"/>
        <v>0</v>
      </c>
      <c r="BB591" s="1142"/>
      <c r="BC591" s="1142"/>
      <c r="BD591" s="1142"/>
      <c r="BE591" s="1143"/>
      <c r="BF591" s="1207">
        <f t="shared" si="5"/>
        <v>0</v>
      </c>
      <c r="BG591" s="1207"/>
      <c r="BH591" s="1207"/>
      <c r="BI591" s="1207"/>
      <c r="BJ591" s="1207"/>
      <c r="BK591" s="1207">
        <f t="shared" si="6"/>
        <v>5</v>
      </c>
      <c r="BL591" s="1207"/>
      <c r="BM591" s="1207"/>
      <c r="BN591" s="1207"/>
      <c r="BO591" s="1207"/>
      <c r="BP591" s="1207">
        <f t="shared" si="7"/>
        <v>0</v>
      </c>
      <c r="BQ591" s="1207"/>
      <c r="BR591" s="1207"/>
      <c r="BS591" s="1207"/>
      <c r="BT591" s="1207"/>
      <c r="BU591" s="1207">
        <f t="shared" si="8"/>
        <v>0</v>
      </c>
      <c r="BV591" s="1207"/>
      <c r="BW591" s="1207"/>
      <c r="BX591" s="1207"/>
      <c r="BY591" s="1207"/>
      <c r="BZ591" s="1207">
        <f t="shared" si="9"/>
        <v>0</v>
      </c>
      <c r="CA591" s="1207"/>
      <c r="CB591" s="1207"/>
      <c r="CC591" s="1207"/>
      <c r="CD591" s="1207"/>
      <c r="CE591" s="1215">
        <f t="shared" si="10"/>
        <v>0</v>
      </c>
      <c r="CF591" s="1215"/>
      <c r="CG591" s="1215"/>
      <c r="CH591" s="1215"/>
      <c r="CI591" s="1215"/>
      <c r="CJ591" s="1215">
        <f t="shared" si="11"/>
        <v>0</v>
      </c>
      <c r="CK591" s="1215"/>
      <c r="CL591" s="1215"/>
      <c r="CM591" s="1215"/>
      <c r="CN591" s="1215"/>
      <c r="CO591" s="1215">
        <f t="shared" si="12"/>
        <v>5</v>
      </c>
      <c r="CP591" s="1215"/>
      <c r="CQ591" s="1215"/>
      <c r="CR591" s="1215"/>
      <c r="CS591" s="1215"/>
      <c r="CT591" s="1215">
        <f t="shared" si="13"/>
        <v>0</v>
      </c>
      <c r="CU591" s="1215"/>
      <c r="CV591" s="1215"/>
      <c r="CW591" s="1215"/>
      <c r="CX591" s="1215"/>
      <c r="CY591" s="1215">
        <f t="shared" si="14"/>
        <v>0</v>
      </c>
      <c r="CZ591" s="1215"/>
      <c r="DA591" s="1215"/>
      <c r="DB591" s="1215"/>
      <c r="DC591" s="1215"/>
      <c r="DD591" s="1215">
        <f t="shared" si="15"/>
        <v>0</v>
      </c>
      <c r="DE591" s="1215"/>
      <c r="DF591" s="1215"/>
      <c r="DG591" s="1215"/>
      <c r="DH591" s="1215"/>
    </row>
    <row r="592" spans="1:112" ht="12.75">
      <c r="A592" s="87" t="s">
        <v>507</v>
      </c>
      <c r="B592" s="12" t="s">
        <v>509</v>
      </c>
      <c r="G592" s="1107">
        <f>C553</f>
        <v>0</v>
      </c>
      <c r="H592" s="1107"/>
      <c r="I592" s="1107"/>
      <c r="J592" s="1107"/>
      <c r="K592" s="1107"/>
      <c r="L592" s="1107"/>
      <c r="M592" s="1107"/>
      <c r="N592" s="1107"/>
      <c r="O592" s="1107"/>
      <c r="P592" s="1107"/>
      <c r="Q592" s="1107"/>
      <c r="R592" s="1107"/>
      <c r="T592" s="87" t="s">
        <v>696</v>
      </c>
      <c r="U592" s="12" t="s">
        <v>509</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31">
        <f t="shared" si="0"/>
        <v>0</v>
      </c>
      <c r="AS592" s="1532"/>
      <c r="AT592" s="1141">
        <f t="shared" si="1"/>
        <v>0</v>
      </c>
      <c r="AU592" s="1143"/>
      <c r="AV592" s="1531">
        <f t="shared" si="2"/>
        <v>1</v>
      </c>
      <c r="AW592" s="1532"/>
      <c r="AX592" s="1141">
        <f t="shared" si="3"/>
        <v>3</v>
      </c>
      <c r="AY592" s="1143"/>
      <c r="AZ592" s="58"/>
      <c r="BA592" s="1141">
        <f t="shared" si="4"/>
        <v>0</v>
      </c>
      <c r="BB592" s="1142"/>
      <c r="BC592" s="1142"/>
      <c r="BD592" s="1142"/>
      <c r="BE592" s="1143"/>
      <c r="BF592" s="1207">
        <f t="shared" si="5"/>
        <v>0</v>
      </c>
      <c r="BG592" s="1207"/>
      <c r="BH592" s="1207"/>
      <c r="BI592" s="1207"/>
      <c r="BJ592" s="1207"/>
      <c r="BK592" s="1207">
        <f t="shared" si="6"/>
        <v>0</v>
      </c>
      <c r="BL592" s="1207"/>
      <c r="BM592" s="1207"/>
      <c r="BN592" s="1207"/>
      <c r="BO592" s="1207"/>
      <c r="BP592" s="1207">
        <f t="shared" si="7"/>
        <v>3</v>
      </c>
      <c r="BQ592" s="1207"/>
      <c r="BR592" s="1207"/>
      <c r="BS592" s="1207"/>
      <c r="BT592" s="1207"/>
      <c r="BU592" s="1207">
        <f t="shared" si="8"/>
        <v>0</v>
      </c>
      <c r="BV592" s="1207"/>
      <c r="BW592" s="1207"/>
      <c r="BX592" s="1207"/>
      <c r="BY592" s="1207"/>
      <c r="BZ592" s="1207">
        <f t="shared" si="9"/>
        <v>0</v>
      </c>
      <c r="CA592" s="1207"/>
      <c r="CB592" s="1207"/>
      <c r="CC592" s="1207"/>
      <c r="CD592" s="1207"/>
      <c r="CE592" s="1215">
        <f t="shared" si="10"/>
        <v>0</v>
      </c>
      <c r="CF592" s="1215"/>
      <c r="CG592" s="1215"/>
      <c r="CH592" s="1215"/>
      <c r="CI592" s="1215"/>
      <c r="CJ592" s="1215">
        <f t="shared" si="11"/>
        <v>0</v>
      </c>
      <c r="CK592" s="1215"/>
      <c r="CL592" s="1215"/>
      <c r="CM592" s="1215"/>
      <c r="CN592" s="1215"/>
      <c r="CO592" s="1215">
        <f t="shared" si="12"/>
        <v>0</v>
      </c>
      <c r="CP592" s="1215"/>
      <c r="CQ592" s="1215"/>
      <c r="CR592" s="1215"/>
      <c r="CS592" s="1215"/>
      <c r="CT592" s="1215">
        <f t="shared" si="13"/>
        <v>3</v>
      </c>
      <c r="CU592" s="1215"/>
      <c r="CV592" s="1215"/>
      <c r="CW592" s="1215"/>
      <c r="CX592" s="1215"/>
      <c r="CY592" s="1215">
        <f t="shared" si="14"/>
        <v>0</v>
      </c>
      <c r="CZ592" s="1215"/>
      <c r="DA592" s="1215"/>
      <c r="DB592" s="1215"/>
      <c r="DC592" s="1215"/>
      <c r="DD592" s="1215">
        <f t="shared" si="15"/>
        <v>0</v>
      </c>
      <c r="DE592" s="1215"/>
      <c r="DF592" s="1215"/>
      <c r="DG592" s="1215"/>
      <c r="DH592" s="1215"/>
    </row>
    <row r="593" spans="1:112" ht="12.7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31">
        <f t="shared" si="0"/>
        <v>1</v>
      </c>
      <c r="AS593" s="1532"/>
      <c r="AT593" s="1141">
        <f t="shared" si="1"/>
        <v>3</v>
      </c>
      <c r="AU593" s="1143"/>
      <c r="AV593" s="1531">
        <f t="shared" si="2"/>
        <v>0</v>
      </c>
      <c r="AW593" s="1532"/>
      <c r="AX593" s="1141">
        <f t="shared" si="3"/>
        <v>0</v>
      </c>
      <c r="AY593" s="1143"/>
      <c r="AZ593" s="58"/>
      <c r="BA593" s="1141">
        <f t="shared" si="4"/>
        <v>0</v>
      </c>
      <c r="BB593" s="1142"/>
      <c r="BC593" s="1142"/>
      <c r="BD593" s="1142"/>
      <c r="BE593" s="1143"/>
      <c r="BF593" s="1207">
        <f t="shared" si="5"/>
        <v>3</v>
      </c>
      <c r="BG593" s="1207"/>
      <c r="BH593" s="1207"/>
      <c r="BI593" s="1207"/>
      <c r="BJ593" s="1207"/>
      <c r="BK593" s="1207">
        <f t="shared" si="6"/>
        <v>0</v>
      </c>
      <c r="BL593" s="1207"/>
      <c r="BM593" s="1207"/>
      <c r="BN593" s="1207"/>
      <c r="BO593" s="1207"/>
      <c r="BP593" s="1207">
        <f t="shared" si="7"/>
        <v>0</v>
      </c>
      <c r="BQ593" s="1207"/>
      <c r="BR593" s="1207"/>
      <c r="BS593" s="1207"/>
      <c r="BT593" s="1207"/>
      <c r="BU593" s="1207">
        <f t="shared" si="8"/>
        <v>0</v>
      </c>
      <c r="BV593" s="1207"/>
      <c r="BW593" s="1207"/>
      <c r="BX593" s="1207"/>
      <c r="BY593" s="1207"/>
      <c r="BZ593" s="1207">
        <f t="shared" si="9"/>
        <v>0</v>
      </c>
      <c r="CA593" s="1207"/>
      <c r="CB593" s="1207"/>
      <c r="CC593" s="1207"/>
      <c r="CD593" s="1207"/>
      <c r="CE593" s="1215">
        <f t="shared" si="10"/>
        <v>0</v>
      </c>
      <c r="CF593" s="1215"/>
      <c r="CG593" s="1215"/>
      <c r="CH593" s="1215"/>
      <c r="CI593" s="1215"/>
      <c r="CJ593" s="1215">
        <f t="shared" si="11"/>
        <v>0</v>
      </c>
      <c r="CK593" s="1215"/>
      <c r="CL593" s="1215"/>
      <c r="CM593" s="1215"/>
      <c r="CN593" s="1215"/>
      <c r="CO593" s="1215">
        <f t="shared" si="12"/>
        <v>0</v>
      </c>
      <c r="CP593" s="1215"/>
      <c r="CQ593" s="1215"/>
      <c r="CR593" s="1215"/>
      <c r="CS593" s="1215"/>
      <c r="CT593" s="1215">
        <f t="shared" si="13"/>
        <v>0</v>
      </c>
      <c r="CU593" s="1215"/>
      <c r="CV593" s="1215"/>
      <c r="CW593" s="1215"/>
      <c r="CX593" s="1215"/>
      <c r="CY593" s="1215">
        <f t="shared" si="14"/>
        <v>0</v>
      </c>
      <c r="CZ593" s="1215"/>
      <c r="DA593" s="1215"/>
      <c r="DB593" s="1215"/>
      <c r="DC593" s="1215"/>
      <c r="DD593" s="1215">
        <f t="shared" si="15"/>
        <v>0</v>
      </c>
      <c r="DE593" s="1215"/>
      <c r="DF593" s="1215"/>
      <c r="DG593" s="1215"/>
      <c r="DH593" s="1215"/>
    </row>
    <row r="594" spans="1:112" ht="12.75">
      <c r="A594" s="35"/>
      <c r="B594" s="12" t="s">
        <v>630</v>
      </c>
      <c r="G594" s="1105"/>
      <c r="H594" s="1105"/>
      <c r="I594" s="1105"/>
      <c r="J594" s="1105"/>
      <c r="K594" s="1105"/>
      <c r="L594" s="1105"/>
      <c r="M594" s="1105"/>
      <c r="N594" s="1105"/>
      <c r="O594" s="1105"/>
      <c r="P594" s="1105"/>
      <c r="Q594" s="1105"/>
      <c r="R594" s="1105"/>
      <c r="T594" s="35"/>
      <c r="U594" s="12" t="s">
        <v>630</v>
      </c>
      <c r="Z594" s="1127"/>
      <c r="AA594" s="1127"/>
      <c r="AB594" s="1127"/>
      <c r="AC594" s="1127"/>
      <c r="AD594" s="1127"/>
      <c r="AE594" s="1127"/>
      <c r="AF594" s="1127"/>
      <c r="AG594" s="1127"/>
      <c r="AH594" s="1127"/>
      <c r="AI594" s="1127"/>
      <c r="AJ594" s="1127"/>
      <c r="AK594" s="1127"/>
      <c r="AM594" s="58"/>
      <c r="AN594" s="58"/>
      <c r="AO594" s="58"/>
      <c r="AP594" s="58"/>
      <c r="AQ594" s="58"/>
      <c r="AR594" s="1531">
        <f t="shared" si="0"/>
        <v>1</v>
      </c>
      <c r="AS594" s="1532"/>
      <c r="AT594" s="1141">
        <f t="shared" si="1"/>
        <v>7</v>
      </c>
      <c r="AU594" s="1143"/>
      <c r="AV594" s="1531">
        <f t="shared" si="2"/>
        <v>0</v>
      </c>
      <c r="AW594" s="1532"/>
      <c r="AX594" s="1141">
        <f t="shared" si="3"/>
        <v>0</v>
      </c>
      <c r="AY594" s="1143"/>
      <c r="AZ594" s="58"/>
      <c r="BA594" s="1141">
        <f t="shared" si="4"/>
        <v>0</v>
      </c>
      <c r="BB594" s="1142"/>
      <c r="BC594" s="1142"/>
      <c r="BD594" s="1142"/>
      <c r="BE594" s="1143"/>
      <c r="BF594" s="1207">
        <f t="shared" si="5"/>
        <v>0</v>
      </c>
      <c r="BG594" s="1207"/>
      <c r="BH594" s="1207"/>
      <c r="BI594" s="1207"/>
      <c r="BJ594" s="1207"/>
      <c r="BK594" s="1207">
        <f t="shared" si="6"/>
        <v>7</v>
      </c>
      <c r="BL594" s="1207"/>
      <c r="BM594" s="1207"/>
      <c r="BN594" s="1207"/>
      <c r="BO594" s="1207"/>
      <c r="BP594" s="1207">
        <f t="shared" si="7"/>
        <v>0</v>
      </c>
      <c r="BQ594" s="1207"/>
      <c r="BR594" s="1207"/>
      <c r="BS594" s="1207"/>
      <c r="BT594" s="1207"/>
      <c r="BU594" s="1207">
        <f t="shared" si="8"/>
        <v>0</v>
      </c>
      <c r="BV594" s="1207"/>
      <c r="BW594" s="1207"/>
      <c r="BX594" s="1207"/>
      <c r="BY594" s="1207"/>
      <c r="BZ594" s="1207">
        <f t="shared" si="9"/>
        <v>0</v>
      </c>
      <c r="CA594" s="1207"/>
      <c r="CB594" s="1207"/>
      <c r="CC594" s="1207"/>
      <c r="CD594" s="1207"/>
      <c r="CE594" s="1215">
        <f t="shared" si="10"/>
        <v>0</v>
      </c>
      <c r="CF594" s="1215"/>
      <c r="CG594" s="1215"/>
      <c r="CH594" s="1215"/>
      <c r="CI594" s="1215"/>
      <c r="CJ594" s="1215">
        <f t="shared" si="11"/>
        <v>0</v>
      </c>
      <c r="CK594" s="1215"/>
      <c r="CL594" s="1215"/>
      <c r="CM594" s="1215"/>
      <c r="CN594" s="1215"/>
      <c r="CO594" s="1215">
        <f t="shared" si="12"/>
        <v>0</v>
      </c>
      <c r="CP594" s="1215"/>
      <c r="CQ594" s="1215"/>
      <c r="CR594" s="1215"/>
      <c r="CS594" s="1215"/>
      <c r="CT594" s="1215">
        <f t="shared" si="13"/>
        <v>0</v>
      </c>
      <c r="CU594" s="1215"/>
      <c r="CV594" s="1215"/>
      <c r="CW594" s="1215"/>
      <c r="CX594" s="1215"/>
      <c r="CY594" s="1215">
        <f t="shared" si="14"/>
        <v>0</v>
      </c>
      <c r="CZ594" s="1215"/>
      <c r="DA594" s="1215"/>
      <c r="DB594" s="1215"/>
      <c r="DC594" s="1215"/>
      <c r="DD594" s="1215">
        <f t="shared" si="15"/>
        <v>0</v>
      </c>
      <c r="DE594" s="1215"/>
      <c r="DF594" s="1215"/>
      <c r="DG594" s="1215"/>
      <c r="DH594" s="1215"/>
    </row>
    <row r="595" spans="1:112" ht="12.75">
      <c r="A595" s="35"/>
      <c r="B595" s="12" t="s">
        <v>19</v>
      </c>
      <c r="G595" s="1105"/>
      <c r="H595" s="1105"/>
      <c r="I595" s="1105"/>
      <c r="J595" s="1105"/>
      <c r="K595" s="1105"/>
      <c r="L595" s="1105"/>
      <c r="M595" s="1105"/>
      <c r="N595" s="1105"/>
      <c r="O595" s="1105"/>
      <c r="P595" s="1105"/>
      <c r="Q595" s="1105"/>
      <c r="R595" s="1105"/>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31">
        <f t="shared" si="0"/>
        <v>1</v>
      </c>
      <c r="AS595" s="1532"/>
      <c r="AT595" s="1141">
        <f t="shared" si="1"/>
        <v>6</v>
      </c>
      <c r="AU595" s="1143"/>
      <c r="AV595" s="1531">
        <f t="shared" si="2"/>
        <v>0</v>
      </c>
      <c r="AW595" s="1532"/>
      <c r="AX595" s="1141">
        <f t="shared" si="3"/>
        <v>0</v>
      </c>
      <c r="AY595" s="1143"/>
      <c r="AZ595" s="58"/>
      <c r="BA595" s="1141">
        <f t="shared" si="4"/>
        <v>0</v>
      </c>
      <c r="BB595" s="1142"/>
      <c r="BC595" s="1142"/>
      <c r="BD595" s="1142"/>
      <c r="BE595" s="1143"/>
      <c r="BF595" s="1207">
        <f t="shared" si="5"/>
        <v>0</v>
      </c>
      <c r="BG595" s="1207"/>
      <c r="BH595" s="1207"/>
      <c r="BI595" s="1207"/>
      <c r="BJ595" s="1207"/>
      <c r="BK595" s="1207">
        <f t="shared" si="6"/>
        <v>0</v>
      </c>
      <c r="BL595" s="1207"/>
      <c r="BM595" s="1207"/>
      <c r="BN595" s="1207"/>
      <c r="BO595" s="1207"/>
      <c r="BP595" s="1207">
        <f t="shared" si="7"/>
        <v>6</v>
      </c>
      <c r="BQ595" s="1207"/>
      <c r="BR595" s="1207"/>
      <c r="BS595" s="1207"/>
      <c r="BT595" s="1207"/>
      <c r="BU595" s="1207">
        <f t="shared" si="8"/>
        <v>0</v>
      </c>
      <c r="BV595" s="1207"/>
      <c r="BW595" s="1207"/>
      <c r="BX595" s="1207"/>
      <c r="BY595" s="1207"/>
      <c r="BZ595" s="1207">
        <f t="shared" si="9"/>
        <v>0</v>
      </c>
      <c r="CA595" s="1207"/>
      <c r="CB595" s="1207"/>
      <c r="CC595" s="1207"/>
      <c r="CD595" s="1207"/>
      <c r="CE595" s="1215">
        <f t="shared" si="10"/>
        <v>0</v>
      </c>
      <c r="CF595" s="1215"/>
      <c r="CG595" s="1215"/>
      <c r="CH595" s="1215"/>
      <c r="CI595" s="1215"/>
      <c r="CJ595" s="1215">
        <f t="shared" si="11"/>
        <v>0</v>
      </c>
      <c r="CK595" s="1215"/>
      <c r="CL595" s="1215"/>
      <c r="CM595" s="1215"/>
      <c r="CN595" s="1215"/>
      <c r="CO595" s="1215">
        <f t="shared" si="12"/>
        <v>0</v>
      </c>
      <c r="CP595" s="1215"/>
      <c r="CQ595" s="1215"/>
      <c r="CR595" s="1215"/>
      <c r="CS595" s="1215"/>
      <c r="CT595" s="1215">
        <f t="shared" si="13"/>
        <v>0</v>
      </c>
      <c r="CU595" s="1215"/>
      <c r="CV595" s="1215"/>
      <c r="CW595" s="1215"/>
      <c r="CX595" s="1215"/>
      <c r="CY595" s="1215">
        <f t="shared" si="14"/>
        <v>0</v>
      </c>
      <c r="CZ595" s="1215"/>
      <c r="DA595" s="1215"/>
      <c r="DB595" s="1215"/>
      <c r="DC595" s="1215"/>
      <c r="DD595" s="1215">
        <f t="shared" si="15"/>
        <v>0</v>
      </c>
      <c r="DE595" s="1215"/>
      <c r="DF595" s="1215"/>
      <c r="DG595" s="1215"/>
      <c r="DH595" s="1215"/>
    </row>
    <row r="596" spans="1:112" ht="12.75">
      <c r="A596" s="35"/>
      <c r="B596" s="12" t="s">
        <v>338</v>
      </c>
      <c r="G596" s="1109"/>
      <c r="H596" s="1109"/>
      <c r="I596" s="1109"/>
      <c r="J596" s="1109"/>
      <c r="K596" s="1109"/>
      <c r="L596" s="1109"/>
      <c r="O596" s="140" t="s">
        <v>220</v>
      </c>
      <c r="P596" s="1110"/>
      <c r="Q596" s="1110"/>
      <c r="R596" s="1110"/>
      <c r="T596" s="35"/>
      <c r="U596" s="12" t="s">
        <v>338</v>
      </c>
      <c r="Z596" s="1109"/>
      <c r="AA596" s="1109"/>
      <c r="AB596" s="1109"/>
      <c r="AC596" s="1109"/>
      <c r="AD596" s="1109"/>
      <c r="AE596" s="1109"/>
      <c r="AH596" s="140" t="s">
        <v>220</v>
      </c>
      <c r="AI596" s="1110"/>
      <c r="AJ596" s="1110"/>
      <c r="AK596" s="1110"/>
      <c r="AM596" s="58"/>
      <c r="AN596" s="58"/>
      <c r="AO596" s="58"/>
      <c r="AP596" s="58"/>
      <c r="AQ596" s="58"/>
      <c r="AR596" s="1531">
        <f t="shared" si="0"/>
        <v>0</v>
      </c>
      <c r="AS596" s="1532"/>
      <c r="AT596" s="1141">
        <f t="shared" si="1"/>
        <v>0</v>
      </c>
      <c r="AU596" s="1143"/>
      <c r="AV596" s="1531">
        <f t="shared" si="2"/>
        <v>0</v>
      </c>
      <c r="AW596" s="1532"/>
      <c r="AX596" s="1141">
        <f t="shared" si="3"/>
        <v>0</v>
      </c>
      <c r="AY596" s="1143"/>
      <c r="AZ596" s="58"/>
      <c r="BA596" s="1141">
        <f t="shared" si="4"/>
        <v>0</v>
      </c>
      <c r="BB596" s="1142"/>
      <c r="BC596" s="1142"/>
      <c r="BD596" s="1142"/>
      <c r="BE596" s="1143"/>
      <c r="BF596" s="1207">
        <f t="shared" si="5"/>
        <v>0</v>
      </c>
      <c r="BG596" s="1207"/>
      <c r="BH596" s="1207"/>
      <c r="BI596" s="1207"/>
      <c r="BJ596" s="1207"/>
      <c r="BK596" s="1207">
        <f t="shared" si="6"/>
        <v>10</v>
      </c>
      <c r="BL596" s="1207"/>
      <c r="BM596" s="1207"/>
      <c r="BN596" s="1207"/>
      <c r="BO596" s="1207"/>
      <c r="BP596" s="1207">
        <f t="shared" si="7"/>
        <v>0</v>
      </c>
      <c r="BQ596" s="1207"/>
      <c r="BR596" s="1207"/>
      <c r="BS596" s="1207"/>
      <c r="BT596" s="1207"/>
      <c r="BU596" s="1207">
        <f t="shared" si="8"/>
        <v>0</v>
      </c>
      <c r="BV596" s="1207"/>
      <c r="BW596" s="1207"/>
      <c r="BX596" s="1207"/>
      <c r="BY596" s="1207"/>
      <c r="BZ596" s="1207">
        <f t="shared" si="9"/>
        <v>0</v>
      </c>
      <c r="CA596" s="1207"/>
      <c r="CB596" s="1207"/>
      <c r="CC596" s="1207"/>
      <c r="CD596" s="1207"/>
      <c r="CE596" s="1215">
        <f t="shared" si="10"/>
        <v>0</v>
      </c>
      <c r="CF596" s="1215"/>
      <c r="CG596" s="1215"/>
      <c r="CH596" s="1215"/>
      <c r="CI596" s="1215"/>
      <c r="CJ596" s="1215">
        <f t="shared" si="11"/>
        <v>0</v>
      </c>
      <c r="CK596" s="1215"/>
      <c r="CL596" s="1215"/>
      <c r="CM596" s="1215"/>
      <c r="CN596" s="1215"/>
      <c r="CO596" s="1215">
        <f t="shared" si="12"/>
        <v>0</v>
      </c>
      <c r="CP596" s="1215"/>
      <c r="CQ596" s="1215"/>
      <c r="CR596" s="1215"/>
      <c r="CS596" s="1215"/>
      <c r="CT596" s="1215">
        <f t="shared" si="13"/>
        <v>0</v>
      </c>
      <c r="CU596" s="1215"/>
      <c r="CV596" s="1215"/>
      <c r="CW596" s="1215"/>
      <c r="CX596" s="1215"/>
      <c r="CY596" s="1215">
        <f t="shared" si="14"/>
        <v>0</v>
      </c>
      <c r="CZ596" s="1215"/>
      <c r="DA596" s="1215"/>
      <c r="DB596" s="1215"/>
      <c r="DC596" s="1215"/>
      <c r="DD596" s="1215">
        <f t="shared" si="15"/>
        <v>0</v>
      </c>
      <c r="DE596" s="1215"/>
      <c r="DF596" s="1215"/>
      <c r="DG596" s="1215"/>
      <c r="DH596" s="1215"/>
    </row>
    <row r="597" spans="1:112" s="7" customFormat="1" ht="12.7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31">
        <f t="shared" si="0"/>
        <v>0</v>
      </c>
      <c r="AS597" s="1532"/>
      <c r="AT597" s="1141">
        <f t="shared" si="1"/>
        <v>0</v>
      </c>
      <c r="AU597" s="1143"/>
      <c r="AV597" s="1531">
        <f t="shared" si="2"/>
        <v>0</v>
      </c>
      <c r="AW597" s="1532"/>
      <c r="AX597" s="1141">
        <f t="shared" si="3"/>
        <v>0</v>
      </c>
      <c r="AY597" s="1143"/>
      <c r="AZ597" s="58"/>
      <c r="BA597" s="1141">
        <f t="shared" si="4"/>
        <v>0</v>
      </c>
      <c r="BB597" s="1142"/>
      <c r="BC597" s="1142"/>
      <c r="BD597" s="1142"/>
      <c r="BE597" s="1143"/>
      <c r="BF597" s="1207">
        <f t="shared" si="5"/>
        <v>0</v>
      </c>
      <c r="BG597" s="1207"/>
      <c r="BH597" s="1207"/>
      <c r="BI597" s="1207"/>
      <c r="BJ597" s="1207"/>
      <c r="BK597" s="1207">
        <f t="shared" si="6"/>
        <v>0</v>
      </c>
      <c r="BL597" s="1207"/>
      <c r="BM597" s="1207"/>
      <c r="BN597" s="1207"/>
      <c r="BO597" s="1207"/>
      <c r="BP597" s="1207">
        <f t="shared" si="7"/>
        <v>13</v>
      </c>
      <c r="BQ597" s="1207"/>
      <c r="BR597" s="1207"/>
      <c r="BS597" s="1207"/>
      <c r="BT597" s="1207"/>
      <c r="BU597" s="1207">
        <f t="shared" si="8"/>
        <v>0</v>
      </c>
      <c r="BV597" s="1207"/>
      <c r="BW597" s="1207"/>
      <c r="BX597" s="1207"/>
      <c r="BY597" s="1207"/>
      <c r="BZ597" s="1207">
        <f t="shared" si="9"/>
        <v>0</v>
      </c>
      <c r="CA597" s="1207"/>
      <c r="CB597" s="1207"/>
      <c r="CC597" s="1207"/>
      <c r="CD597" s="1207"/>
      <c r="CE597" s="1215">
        <f t="shared" si="10"/>
        <v>0</v>
      </c>
      <c r="CF597" s="1215"/>
      <c r="CG597" s="1215"/>
      <c r="CH597" s="1215"/>
      <c r="CI597" s="1215"/>
      <c r="CJ597" s="1215">
        <f t="shared" si="11"/>
        <v>0</v>
      </c>
      <c r="CK597" s="1215"/>
      <c r="CL597" s="1215"/>
      <c r="CM597" s="1215"/>
      <c r="CN597" s="1215"/>
      <c r="CO597" s="1215">
        <f t="shared" si="12"/>
        <v>0</v>
      </c>
      <c r="CP597" s="1215"/>
      <c r="CQ597" s="1215"/>
      <c r="CR597" s="1215"/>
      <c r="CS597" s="1215"/>
      <c r="CT597" s="1215">
        <f t="shared" si="13"/>
        <v>0</v>
      </c>
      <c r="CU597" s="1215"/>
      <c r="CV597" s="1215"/>
      <c r="CW597" s="1215"/>
      <c r="CX597" s="1215"/>
      <c r="CY597" s="1215">
        <f t="shared" si="14"/>
        <v>0</v>
      </c>
      <c r="CZ597" s="1215"/>
      <c r="DA597" s="1215"/>
      <c r="DB597" s="1215"/>
      <c r="DC597" s="1215"/>
      <c r="DD597" s="1215">
        <f t="shared" si="15"/>
        <v>0</v>
      </c>
      <c r="DE597" s="1215"/>
      <c r="DF597" s="1215"/>
      <c r="DG597" s="1215"/>
      <c r="DH597" s="1215"/>
    </row>
    <row r="598" spans="1:112" s="7" customFormat="1" ht="12.75">
      <c r="A598" s="35"/>
      <c r="B598" s="12" t="s">
        <v>22</v>
      </c>
      <c r="C598" s="12"/>
      <c r="D598" s="12"/>
      <c r="E598" s="12"/>
      <c r="F598" s="12"/>
      <c r="G598" s="12"/>
      <c r="H598" s="12"/>
      <c r="I598" s="12"/>
      <c r="J598" s="12"/>
      <c r="K598" s="12"/>
      <c r="L598" s="12"/>
      <c r="M598" s="12"/>
      <c r="N598" s="1106" t="s">
        <v>722</v>
      </c>
      <c r="O598" s="1106"/>
      <c r="P598" s="12"/>
      <c r="Q598" s="12"/>
      <c r="R598" s="12"/>
      <c r="S598" s="12"/>
      <c r="T598" s="35"/>
      <c r="U598" s="12" t="s">
        <v>22</v>
      </c>
      <c r="V598" s="12"/>
      <c r="W598" s="12"/>
      <c r="X598" s="12"/>
      <c r="Y598" s="12"/>
      <c r="Z598" s="12"/>
      <c r="AA598" s="12"/>
      <c r="AB598" s="12"/>
      <c r="AC598" s="12"/>
      <c r="AD598" s="12"/>
      <c r="AE598" s="12"/>
      <c r="AF598" s="12"/>
      <c r="AG598" s="1106" t="s">
        <v>722</v>
      </c>
      <c r="AH598" s="1106"/>
      <c r="AI598" s="12"/>
      <c r="AJ598" s="12"/>
      <c r="AK598" s="12"/>
      <c r="AL598" s="12"/>
      <c r="AM598" s="58"/>
      <c r="AN598" s="58"/>
      <c r="AO598" s="58"/>
      <c r="AP598" s="58"/>
      <c r="AQ598" s="58"/>
      <c r="AR598" s="1531">
        <f t="shared" si="0"/>
        <v>0</v>
      </c>
      <c r="AS598" s="1532"/>
      <c r="AT598" s="1141">
        <f t="shared" si="1"/>
        <v>0</v>
      </c>
      <c r="AU598" s="1143"/>
      <c r="AV598" s="1531">
        <f t="shared" si="2"/>
        <v>0</v>
      </c>
      <c r="AW598" s="1532"/>
      <c r="AX598" s="1141">
        <f t="shared" si="3"/>
        <v>0</v>
      </c>
      <c r="AY598" s="1143"/>
      <c r="AZ598" s="58"/>
      <c r="BA598" s="1141">
        <f t="shared" si="4"/>
        <v>0</v>
      </c>
      <c r="BB598" s="1142"/>
      <c r="BC598" s="1142"/>
      <c r="BD598" s="1142"/>
      <c r="BE598" s="1143"/>
      <c r="BF598" s="1207">
        <f t="shared" si="5"/>
        <v>0</v>
      </c>
      <c r="BG598" s="1207"/>
      <c r="BH598" s="1207"/>
      <c r="BI598" s="1207"/>
      <c r="BJ598" s="1207"/>
      <c r="BK598" s="1207">
        <f t="shared" si="6"/>
        <v>0</v>
      </c>
      <c r="BL598" s="1207"/>
      <c r="BM598" s="1207"/>
      <c r="BN598" s="1207"/>
      <c r="BO598" s="1207"/>
      <c r="BP598" s="1207">
        <f t="shared" si="7"/>
        <v>0</v>
      </c>
      <c r="BQ598" s="1207"/>
      <c r="BR598" s="1207"/>
      <c r="BS598" s="1207"/>
      <c r="BT598" s="1207"/>
      <c r="BU598" s="1207">
        <f t="shared" si="8"/>
        <v>0</v>
      </c>
      <c r="BV598" s="1207"/>
      <c r="BW598" s="1207"/>
      <c r="BX598" s="1207"/>
      <c r="BY598" s="1207"/>
      <c r="BZ598" s="1207">
        <f t="shared" si="9"/>
        <v>0</v>
      </c>
      <c r="CA598" s="1207"/>
      <c r="CB598" s="1207"/>
      <c r="CC598" s="1207"/>
      <c r="CD598" s="1207"/>
      <c r="CE598" s="1215">
        <f t="shared" si="10"/>
        <v>0</v>
      </c>
      <c r="CF598" s="1215"/>
      <c r="CG598" s="1215"/>
      <c r="CH598" s="1215"/>
      <c r="CI598" s="1215"/>
      <c r="CJ598" s="1215">
        <f t="shared" si="11"/>
        <v>0</v>
      </c>
      <c r="CK598" s="1215"/>
      <c r="CL598" s="1215"/>
      <c r="CM598" s="1215"/>
      <c r="CN598" s="1215"/>
      <c r="CO598" s="1215">
        <f t="shared" si="12"/>
        <v>0</v>
      </c>
      <c r="CP598" s="1215"/>
      <c r="CQ598" s="1215"/>
      <c r="CR598" s="1215"/>
      <c r="CS598" s="1215"/>
      <c r="CT598" s="1215">
        <f t="shared" si="13"/>
        <v>0</v>
      </c>
      <c r="CU598" s="1215"/>
      <c r="CV598" s="1215"/>
      <c r="CW598" s="1215"/>
      <c r="CX598" s="1215"/>
      <c r="CY598" s="1215">
        <f t="shared" si="14"/>
        <v>0</v>
      </c>
      <c r="CZ598" s="1215"/>
      <c r="DA598" s="1215"/>
      <c r="DB598" s="1215"/>
      <c r="DC598" s="1215"/>
      <c r="DD598" s="1215">
        <f t="shared" si="15"/>
        <v>0</v>
      </c>
      <c r="DE598" s="1215"/>
      <c r="DF598" s="1215"/>
      <c r="DG598" s="1215"/>
      <c r="DH598" s="121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1">
        <f t="shared" si="0"/>
        <v>0</v>
      </c>
      <c r="AS599" s="1532"/>
      <c r="AT599" s="1141">
        <f t="shared" si="1"/>
        <v>0</v>
      </c>
      <c r="AU599" s="1143"/>
      <c r="AV599" s="1531">
        <f t="shared" si="2"/>
        <v>0</v>
      </c>
      <c r="AW599" s="1532"/>
      <c r="AX599" s="1141">
        <f t="shared" si="3"/>
        <v>0</v>
      </c>
      <c r="AY599" s="1143"/>
      <c r="AZ599" s="58"/>
      <c r="BA599" s="1141">
        <f t="shared" si="4"/>
        <v>0</v>
      </c>
      <c r="BB599" s="1142"/>
      <c r="BC599" s="1142"/>
      <c r="BD599" s="1142"/>
      <c r="BE599" s="1143"/>
      <c r="BF599" s="1207">
        <f t="shared" si="5"/>
        <v>0</v>
      </c>
      <c r="BG599" s="1207"/>
      <c r="BH599" s="1207"/>
      <c r="BI599" s="1207"/>
      <c r="BJ599" s="1207"/>
      <c r="BK599" s="1207">
        <f t="shared" si="6"/>
        <v>0</v>
      </c>
      <c r="BL599" s="1207"/>
      <c r="BM599" s="1207"/>
      <c r="BN599" s="1207"/>
      <c r="BO599" s="1207"/>
      <c r="BP599" s="1207">
        <f t="shared" si="7"/>
        <v>0</v>
      </c>
      <c r="BQ599" s="1207"/>
      <c r="BR599" s="1207"/>
      <c r="BS599" s="1207"/>
      <c r="BT599" s="1207"/>
      <c r="BU599" s="1207">
        <f t="shared" si="8"/>
        <v>0</v>
      </c>
      <c r="BV599" s="1207"/>
      <c r="BW599" s="1207"/>
      <c r="BX599" s="1207"/>
      <c r="BY599" s="1207"/>
      <c r="BZ599" s="1207">
        <f t="shared" si="9"/>
        <v>0</v>
      </c>
      <c r="CA599" s="1207"/>
      <c r="CB599" s="1207"/>
      <c r="CC599" s="1207"/>
      <c r="CD599" s="1207"/>
      <c r="CE599" s="1215">
        <f t="shared" si="10"/>
        <v>0</v>
      </c>
      <c r="CF599" s="1215"/>
      <c r="CG599" s="1215"/>
      <c r="CH599" s="1215"/>
      <c r="CI599" s="1215"/>
      <c r="CJ599" s="1215">
        <f t="shared" si="11"/>
        <v>0</v>
      </c>
      <c r="CK599" s="1215"/>
      <c r="CL599" s="1215"/>
      <c r="CM599" s="1215"/>
      <c r="CN599" s="1215"/>
      <c r="CO599" s="1215">
        <f t="shared" si="12"/>
        <v>0</v>
      </c>
      <c r="CP599" s="1215"/>
      <c r="CQ599" s="1215"/>
      <c r="CR599" s="1215"/>
      <c r="CS599" s="1215"/>
      <c r="CT599" s="1215">
        <f t="shared" si="13"/>
        <v>0</v>
      </c>
      <c r="CU599" s="1215"/>
      <c r="CV599" s="1215"/>
      <c r="CW599" s="1215"/>
      <c r="CX599" s="1215"/>
      <c r="CY599" s="1215">
        <f t="shared" si="14"/>
        <v>0</v>
      </c>
      <c r="CZ599" s="1215"/>
      <c r="DA599" s="1215"/>
      <c r="DB599" s="1215"/>
      <c r="DC599" s="1215"/>
      <c r="DD599" s="1215">
        <f t="shared" si="15"/>
        <v>0</v>
      </c>
      <c r="DE599" s="1215"/>
      <c r="DF599" s="1215"/>
      <c r="DG599" s="1215"/>
      <c r="DH599" s="1215"/>
    </row>
    <row r="600" spans="1:112" ht="12.75">
      <c r="A600" s="87" t="s">
        <v>386</v>
      </c>
      <c r="B600" s="12" t="s">
        <v>509</v>
      </c>
      <c r="G600" s="1107">
        <f>C555</f>
        <v>0</v>
      </c>
      <c r="H600" s="1107"/>
      <c r="I600" s="1107"/>
      <c r="J600" s="1107"/>
      <c r="K600" s="1107"/>
      <c r="L600" s="1107"/>
      <c r="M600" s="1107"/>
      <c r="N600" s="1107"/>
      <c r="O600" s="1107"/>
      <c r="P600" s="1107"/>
      <c r="Q600" s="1107"/>
      <c r="R600" s="1107"/>
      <c r="T600" s="87" t="s">
        <v>387</v>
      </c>
      <c r="U600" s="12" t="s">
        <v>509</v>
      </c>
      <c r="Z600" s="1107">
        <f>C556</f>
        <v>0</v>
      </c>
      <c r="AA600" s="1107"/>
      <c r="AB600" s="1107"/>
      <c r="AC600" s="1107"/>
      <c r="AD600" s="1107"/>
      <c r="AE600" s="1107"/>
      <c r="AF600" s="1107"/>
      <c r="AG600" s="1107"/>
      <c r="AH600" s="1107"/>
      <c r="AI600" s="1107"/>
      <c r="AJ600" s="1107"/>
      <c r="AK600" s="1107"/>
      <c r="AM600" s="58"/>
      <c r="AN600" s="58"/>
      <c r="AO600" s="58"/>
      <c r="AP600" s="58"/>
      <c r="AQ600" s="58"/>
      <c r="AR600" s="1531">
        <f t="shared" si="0"/>
        <v>0</v>
      </c>
      <c r="AS600" s="1532"/>
      <c r="AT600" s="1141">
        <f t="shared" si="1"/>
        <v>0</v>
      </c>
      <c r="AU600" s="1143"/>
      <c r="AV600" s="1531">
        <f t="shared" si="2"/>
        <v>0</v>
      </c>
      <c r="AW600" s="1532"/>
      <c r="AX600" s="1141">
        <f t="shared" si="3"/>
        <v>0</v>
      </c>
      <c r="AY600" s="1143"/>
      <c r="AZ600" s="58"/>
      <c r="BA600" s="1141">
        <f t="shared" si="4"/>
        <v>0</v>
      </c>
      <c r="BB600" s="1142"/>
      <c r="BC600" s="1142"/>
      <c r="BD600" s="1142"/>
      <c r="BE600" s="1143"/>
      <c r="BF600" s="1207">
        <f t="shared" si="5"/>
        <v>0</v>
      </c>
      <c r="BG600" s="1207"/>
      <c r="BH600" s="1207"/>
      <c r="BI600" s="1207"/>
      <c r="BJ600" s="1207"/>
      <c r="BK600" s="1207">
        <f t="shared" si="6"/>
        <v>0</v>
      </c>
      <c r="BL600" s="1207"/>
      <c r="BM600" s="1207"/>
      <c r="BN600" s="1207"/>
      <c r="BO600" s="1207"/>
      <c r="BP600" s="1207">
        <f t="shared" si="7"/>
        <v>0</v>
      </c>
      <c r="BQ600" s="1207"/>
      <c r="BR600" s="1207"/>
      <c r="BS600" s="1207"/>
      <c r="BT600" s="1207"/>
      <c r="BU600" s="1207">
        <f t="shared" si="8"/>
        <v>0</v>
      </c>
      <c r="BV600" s="1207"/>
      <c r="BW600" s="1207"/>
      <c r="BX600" s="1207"/>
      <c r="BY600" s="1207"/>
      <c r="BZ600" s="1207">
        <f t="shared" si="9"/>
        <v>0</v>
      </c>
      <c r="CA600" s="1207"/>
      <c r="CB600" s="1207"/>
      <c r="CC600" s="1207"/>
      <c r="CD600" s="1207"/>
      <c r="CE600" s="1215">
        <f t="shared" si="10"/>
        <v>0</v>
      </c>
      <c r="CF600" s="1215"/>
      <c r="CG600" s="1215"/>
      <c r="CH600" s="1215"/>
      <c r="CI600" s="1215"/>
      <c r="CJ600" s="1215">
        <f t="shared" si="11"/>
        <v>0</v>
      </c>
      <c r="CK600" s="1215"/>
      <c r="CL600" s="1215"/>
      <c r="CM600" s="1215"/>
      <c r="CN600" s="1215"/>
      <c r="CO600" s="1215">
        <f t="shared" si="12"/>
        <v>0</v>
      </c>
      <c r="CP600" s="1215"/>
      <c r="CQ600" s="1215"/>
      <c r="CR600" s="1215"/>
      <c r="CS600" s="1215"/>
      <c r="CT600" s="1215">
        <f t="shared" si="13"/>
        <v>0</v>
      </c>
      <c r="CU600" s="1215"/>
      <c r="CV600" s="1215"/>
      <c r="CW600" s="1215"/>
      <c r="CX600" s="1215"/>
      <c r="CY600" s="1215">
        <f t="shared" si="14"/>
        <v>0</v>
      </c>
      <c r="CZ600" s="1215"/>
      <c r="DA600" s="1215"/>
      <c r="DB600" s="1215"/>
      <c r="DC600" s="1215"/>
      <c r="DD600" s="1215">
        <f t="shared" si="15"/>
        <v>0</v>
      </c>
      <c r="DE600" s="1215"/>
      <c r="DF600" s="1215"/>
      <c r="DG600" s="1215"/>
      <c r="DH600" s="1215"/>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31">
        <f t="shared" si="0"/>
        <v>0</v>
      </c>
      <c r="AS601" s="1532"/>
      <c r="AT601" s="1141">
        <f t="shared" si="1"/>
        <v>0</v>
      </c>
      <c r="AU601" s="1143"/>
      <c r="AV601" s="1531">
        <f t="shared" si="2"/>
        <v>0</v>
      </c>
      <c r="AW601" s="1532"/>
      <c r="AX601" s="1141">
        <f t="shared" si="3"/>
        <v>0</v>
      </c>
      <c r="AY601" s="1143"/>
      <c r="AZ601" s="58"/>
      <c r="BA601" s="1141">
        <f t="shared" si="4"/>
        <v>0</v>
      </c>
      <c r="BB601" s="1142"/>
      <c r="BC601" s="1142"/>
      <c r="BD601" s="1142"/>
      <c r="BE601" s="1143"/>
      <c r="BF601" s="1207">
        <f t="shared" si="5"/>
        <v>0</v>
      </c>
      <c r="BG601" s="1207"/>
      <c r="BH601" s="1207"/>
      <c r="BI601" s="1207"/>
      <c r="BJ601" s="1207"/>
      <c r="BK601" s="1207">
        <f t="shared" si="6"/>
        <v>0</v>
      </c>
      <c r="BL601" s="1207"/>
      <c r="BM601" s="1207"/>
      <c r="BN601" s="1207"/>
      <c r="BO601" s="1207"/>
      <c r="BP601" s="1207">
        <f t="shared" si="7"/>
        <v>0</v>
      </c>
      <c r="BQ601" s="1207"/>
      <c r="BR601" s="1207"/>
      <c r="BS601" s="1207"/>
      <c r="BT601" s="1207"/>
      <c r="BU601" s="1207">
        <f t="shared" si="8"/>
        <v>0</v>
      </c>
      <c r="BV601" s="1207"/>
      <c r="BW601" s="1207"/>
      <c r="BX601" s="1207"/>
      <c r="BY601" s="1207"/>
      <c r="BZ601" s="1207">
        <f t="shared" si="9"/>
        <v>0</v>
      </c>
      <c r="CA601" s="1207"/>
      <c r="CB601" s="1207"/>
      <c r="CC601" s="1207"/>
      <c r="CD601" s="1207"/>
      <c r="CE601" s="1215">
        <f t="shared" si="10"/>
        <v>0</v>
      </c>
      <c r="CF601" s="1215"/>
      <c r="CG601" s="1215"/>
      <c r="CH601" s="1215"/>
      <c r="CI601" s="1215"/>
      <c r="CJ601" s="1215">
        <f t="shared" si="11"/>
        <v>0</v>
      </c>
      <c r="CK601" s="1215"/>
      <c r="CL601" s="1215"/>
      <c r="CM601" s="1215"/>
      <c r="CN601" s="1215"/>
      <c r="CO601" s="1215">
        <f t="shared" si="12"/>
        <v>0</v>
      </c>
      <c r="CP601" s="1215"/>
      <c r="CQ601" s="1215"/>
      <c r="CR601" s="1215"/>
      <c r="CS601" s="1215"/>
      <c r="CT601" s="1215">
        <f t="shared" si="13"/>
        <v>0</v>
      </c>
      <c r="CU601" s="1215"/>
      <c r="CV601" s="1215"/>
      <c r="CW601" s="1215"/>
      <c r="CX601" s="1215"/>
      <c r="CY601" s="1215">
        <f t="shared" si="14"/>
        <v>0</v>
      </c>
      <c r="CZ601" s="1215"/>
      <c r="DA601" s="1215"/>
      <c r="DB601" s="1215"/>
      <c r="DC601" s="1215"/>
      <c r="DD601" s="1215">
        <f t="shared" si="15"/>
        <v>0</v>
      </c>
      <c r="DE601" s="1215"/>
      <c r="DF601" s="1215"/>
      <c r="DG601" s="1215"/>
      <c r="DH601" s="1215"/>
    </row>
    <row r="602" spans="1:112" ht="12.75">
      <c r="B602" s="12" t="s">
        <v>630</v>
      </c>
      <c r="G602" s="1105"/>
      <c r="H602" s="1105"/>
      <c r="I602" s="1105"/>
      <c r="J602" s="1105"/>
      <c r="K602" s="1105"/>
      <c r="L602" s="1105"/>
      <c r="M602" s="1105"/>
      <c r="N602" s="1105"/>
      <c r="O602" s="1105"/>
      <c r="P602" s="1105"/>
      <c r="Q602" s="1105"/>
      <c r="R602" s="1105"/>
      <c r="U602" s="12" t="s">
        <v>630</v>
      </c>
      <c r="Z602" s="1127"/>
      <c r="AA602" s="1127"/>
      <c r="AB602" s="1127"/>
      <c r="AC602" s="1127"/>
      <c r="AD602" s="1127"/>
      <c r="AE602" s="1127"/>
      <c r="AF602" s="1127"/>
      <c r="AG602" s="1127"/>
      <c r="AH602" s="1127"/>
      <c r="AI602" s="1127"/>
      <c r="AJ602" s="1127"/>
      <c r="AK602" s="1127"/>
      <c r="AM602" s="58"/>
      <c r="AN602" s="58"/>
      <c r="AO602" s="58"/>
      <c r="AP602" s="58"/>
      <c r="AQ602" s="58"/>
      <c r="AR602" s="1531">
        <f t="shared" si="0"/>
        <v>0</v>
      </c>
      <c r="AS602" s="1532"/>
      <c r="AT602" s="1141">
        <f t="shared" si="1"/>
        <v>0</v>
      </c>
      <c r="AU602" s="1143"/>
      <c r="AV602" s="1531">
        <f t="shared" si="2"/>
        <v>0</v>
      </c>
      <c r="AW602" s="1532"/>
      <c r="AX602" s="1141">
        <f t="shared" si="3"/>
        <v>0</v>
      </c>
      <c r="AY602" s="1143"/>
      <c r="AZ602" s="58"/>
      <c r="BA602" s="1141">
        <f t="shared" si="4"/>
        <v>0</v>
      </c>
      <c r="BB602" s="1142"/>
      <c r="BC602" s="1142"/>
      <c r="BD602" s="1142"/>
      <c r="BE602" s="1143"/>
      <c r="BF602" s="1207">
        <f t="shared" si="5"/>
        <v>0</v>
      </c>
      <c r="BG602" s="1207"/>
      <c r="BH602" s="1207"/>
      <c r="BI602" s="1207"/>
      <c r="BJ602" s="1207"/>
      <c r="BK602" s="1207">
        <f t="shared" si="6"/>
        <v>0</v>
      </c>
      <c r="BL602" s="1207"/>
      <c r="BM602" s="1207"/>
      <c r="BN602" s="1207"/>
      <c r="BO602" s="1207"/>
      <c r="BP602" s="1207">
        <f t="shared" si="7"/>
        <v>0</v>
      </c>
      <c r="BQ602" s="1207"/>
      <c r="BR602" s="1207"/>
      <c r="BS602" s="1207"/>
      <c r="BT602" s="1207"/>
      <c r="BU602" s="1207">
        <f t="shared" si="8"/>
        <v>0</v>
      </c>
      <c r="BV602" s="1207"/>
      <c r="BW602" s="1207"/>
      <c r="BX602" s="1207"/>
      <c r="BY602" s="1207"/>
      <c r="BZ602" s="1207">
        <f t="shared" si="9"/>
        <v>0</v>
      </c>
      <c r="CA602" s="1207"/>
      <c r="CB602" s="1207"/>
      <c r="CC602" s="1207"/>
      <c r="CD602" s="1207"/>
      <c r="CE602" s="1215">
        <f t="shared" si="10"/>
        <v>0</v>
      </c>
      <c r="CF602" s="1215"/>
      <c r="CG602" s="1215"/>
      <c r="CH602" s="1215"/>
      <c r="CI602" s="1215"/>
      <c r="CJ602" s="1215">
        <f t="shared" si="11"/>
        <v>0</v>
      </c>
      <c r="CK602" s="1215"/>
      <c r="CL602" s="1215"/>
      <c r="CM602" s="1215"/>
      <c r="CN602" s="1215"/>
      <c r="CO602" s="1215">
        <f t="shared" si="12"/>
        <v>0</v>
      </c>
      <c r="CP602" s="1215"/>
      <c r="CQ602" s="1215"/>
      <c r="CR602" s="1215"/>
      <c r="CS602" s="1215"/>
      <c r="CT602" s="1215">
        <f t="shared" si="13"/>
        <v>0</v>
      </c>
      <c r="CU602" s="1215"/>
      <c r="CV602" s="1215"/>
      <c r="CW602" s="1215"/>
      <c r="CX602" s="1215"/>
      <c r="CY602" s="1215">
        <f t="shared" si="14"/>
        <v>0</v>
      </c>
      <c r="CZ602" s="1215"/>
      <c r="DA602" s="1215"/>
      <c r="DB602" s="1215"/>
      <c r="DC602" s="1215"/>
      <c r="DD602" s="1215">
        <f t="shared" si="15"/>
        <v>0</v>
      </c>
      <c r="DE602" s="1215"/>
      <c r="DF602" s="1215"/>
      <c r="DG602" s="1215"/>
      <c r="DH602" s="1215"/>
    </row>
    <row r="603" spans="1:112" ht="12.75">
      <c r="B603" s="12" t="s">
        <v>19</v>
      </c>
      <c r="G603" s="1105"/>
      <c r="H603" s="1105"/>
      <c r="I603" s="1105"/>
      <c r="J603" s="1105"/>
      <c r="K603" s="1105"/>
      <c r="L603" s="1105"/>
      <c r="M603" s="1105"/>
      <c r="N603" s="1105"/>
      <c r="O603" s="1105"/>
      <c r="P603" s="1105"/>
      <c r="Q603" s="1105"/>
      <c r="R603" s="1105"/>
      <c r="U603" s="12" t="s">
        <v>19</v>
      </c>
      <c r="Z603" s="1127"/>
      <c r="AA603" s="1127"/>
      <c r="AB603" s="1127"/>
      <c r="AC603" s="1127"/>
      <c r="AD603" s="1127"/>
      <c r="AE603" s="1127"/>
      <c r="AF603" s="1127"/>
      <c r="AG603" s="1127"/>
      <c r="AH603" s="1127"/>
      <c r="AI603" s="1127"/>
      <c r="AJ603" s="1127"/>
      <c r="AK603" s="1127"/>
      <c r="AM603" s="58"/>
      <c r="AN603" s="58"/>
      <c r="AO603" s="58"/>
      <c r="AP603" s="58"/>
      <c r="AQ603" s="58"/>
      <c r="AR603" s="1531">
        <f t="shared" si="0"/>
        <v>0</v>
      </c>
      <c r="AS603" s="1532"/>
      <c r="AT603" s="1141">
        <f t="shared" si="1"/>
        <v>0</v>
      </c>
      <c r="AU603" s="1143"/>
      <c r="AV603" s="1531">
        <f t="shared" si="2"/>
        <v>0</v>
      </c>
      <c r="AW603" s="1532"/>
      <c r="AX603" s="1141">
        <f t="shared" si="3"/>
        <v>0</v>
      </c>
      <c r="AY603" s="1143"/>
      <c r="AZ603" s="58"/>
      <c r="BA603" s="1141">
        <f t="shared" si="4"/>
        <v>0</v>
      </c>
      <c r="BB603" s="1142"/>
      <c r="BC603" s="1142"/>
      <c r="BD603" s="1142"/>
      <c r="BE603" s="1143"/>
      <c r="BF603" s="1207">
        <f t="shared" si="5"/>
        <v>0</v>
      </c>
      <c r="BG603" s="1207"/>
      <c r="BH603" s="1207"/>
      <c r="BI603" s="1207"/>
      <c r="BJ603" s="1207"/>
      <c r="BK603" s="1207">
        <f t="shared" si="6"/>
        <v>0</v>
      </c>
      <c r="BL603" s="1207"/>
      <c r="BM603" s="1207"/>
      <c r="BN603" s="1207"/>
      <c r="BO603" s="1207"/>
      <c r="BP603" s="1207">
        <f t="shared" si="7"/>
        <v>0</v>
      </c>
      <c r="BQ603" s="1207"/>
      <c r="BR603" s="1207"/>
      <c r="BS603" s="1207"/>
      <c r="BT603" s="1207"/>
      <c r="BU603" s="1207">
        <f t="shared" si="8"/>
        <v>0</v>
      </c>
      <c r="BV603" s="1207"/>
      <c r="BW603" s="1207"/>
      <c r="BX603" s="1207"/>
      <c r="BY603" s="1207"/>
      <c r="BZ603" s="1207">
        <f t="shared" si="9"/>
        <v>0</v>
      </c>
      <c r="CA603" s="1207"/>
      <c r="CB603" s="1207"/>
      <c r="CC603" s="1207"/>
      <c r="CD603" s="1207"/>
      <c r="CE603" s="1215">
        <f t="shared" si="10"/>
        <v>0</v>
      </c>
      <c r="CF603" s="1215"/>
      <c r="CG603" s="1215"/>
      <c r="CH603" s="1215"/>
      <c r="CI603" s="1215"/>
      <c r="CJ603" s="1215">
        <f t="shared" si="11"/>
        <v>0</v>
      </c>
      <c r="CK603" s="1215"/>
      <c r="CL603" s="1215"/>
      <c r="CM603" s="1215"/>
      <c r="CN603" s="1215"/>
      <c r="CO603" s="1215">
        <f t="shared" si="12"/>
        <v>0</v>
      </c>
      <c r="CP603" s="1215"/>
      <c r="CQ603" s="1215"/>
      <c r="CR603" s="1215"/>
      <c r="CS603" s="1215"/>
      <c r="CT603" s="1215">
        <f t="shared" si="13"/>
        <v>0</v>
      </c>
      <c r="CU603" s="1215"/>
      <c r="CV603" s="1215"/>
      <c r="CW603" s="1215"/>
      <c r="CX603" s="1215"/>
      <c r="CY603" s="1215">
        <f t="shared" si="14"/>
        <v>0</v>
      </c>
      <c r="CZ603" s="1215"/>
      <c r="DA603" s="1215"/>
      <c r="DB603" s="1215"/>
      <c r="DC603" s="1215"/>
      <c r="DD603" s="1215">
        <f t="shared" si="15"/>
        <v>0</v>
      </c>
      <c r="DE603" s="1215"/>
      <c r="DF603" s="1215"/>
      <c r="DG603" s="1215"/>
      <c r="DH603" s="1215"/>
    </row>
    <row r="604" spans="1:112" ht="12.75">
      <c r="B604" s="12" t="s">
        <v>338</v>
      </c>
      <c r="G604" s="1109"/>
      <c r="H604" s="1109"/>
      <c r="I604" s="1109"/>
      <c r="J604" s="1109"/>
      <c r="K604" s="1109"/>
      <c r="L604" s="1109"/>
      <c r="O604" s="140" t="s">
        <v>220</v>
      </c>
      <c r="P604" s="1110"/>
      <c r="Q604" s="1110"/>
      <c r="R604" s="1110"/>
      <c r="U604" s="12" t="s">
        <v>338</v>
      </c>
      <c r="Z604" s="1109"/>
      <c r="AA604" s="1109"/>
      <c r="AB604" s="1109"/>
      <c r="AC604" s="1109"/>
      <c r="AD604" s="1109"/>
      <c r="AE604" s="1109"/>
      <c r="AH604" s="140" t="s">
        <v>220</v>
      </c>
      <c r="AI604" s="1110"/>
      <c r="AJ604" s="1110"/>
      <c r="AK604" s="1110"/>
      <c r="AM604" s="58"/>
      <c r="AN604" s="58"/>
      <c r="AO604" s="58"/>
      <c r="AP604" s="58"/>
      <c r="AQ604" s="58"/>
      <c r="AR604" s="1531">
        <f t="shared" si="0"/>
        <v>0</v>
      </c>
      <c r="AS604" s="1532"/>
      <c r="AT604" s="1141">
        <f t="shared" si="1"/>
        <v>0</v>
      </c>
      <c r="AU604" s="1143"/>
      <c r="AV604" s="1531">
        <f t="shared" si="2"/>
        <v>0</v>
      </c>
      <c r="AW604" s="1532"/>
      <c r="AX604" s="1141">
        <f t="shared" si="3"/>
        <v>0</v>
      </c>
      <c r="AY604" s="1143"/>
      <c r="AZ604" s="58"/>
      <c r="BA604" s="1141">
        <f t="shared" si="4"/>
        <v>0</v>
      </c>
      <c r="BB604" s="1142"/>
      <c r="BC604" s="1142"/>
      <c r="BD604" s="1142"/>
      <c r="BE604" s="1143"/>
      <c r="BF604" s="1207">
        <f t="shared" si="5"/>
        <v>0</v>
      </c>
      <c r="BG604" s="1207"/>
      <c r="BH604" s="1207"/>
      <c r="BI604" s="1207"/>
      <c r="BJ604" s="1207"/>
      <c r="BK604" s="1207">
        <f t="shared" si="6"/>
        <v>0</v>
      </c>
      <c r="BL604" s="1207"/>
      <c r="BM604" s="1207"/>
      <c r="BN604" s="1207"/>
      <c r="BO604" s="1207"/>
      <c r="BP604" s="1207">
        <f t="shared" si="7"/>
        <v>0</v>
      </c>
      <c r="BQ604" s="1207"/>
      <c r="BR604" s="1207"/>
      <c r="BS604" s="1207"/>
      <c r="BT604" s="1207"/>
      <c r="BU604" s="1207">
        <f t="shared" si="8"/>
        <v>0</v>
      </c>
      <c r="BV604" s="1207"/>
      <c r="BW604" s="1207"/>
      <c r="BX604" s="1207"/>
      <c r="BY604" s="1207"/>
      <c r="BZ604" s="1207">
        <f t="shared" si="9"/>
        <v>0</v>
      </c>
      <c r="CA604" s="1207"/>
      <c r="CB604" s="1207"/>
      <c r="CC604" s="1207"/>
      <c r="CD604" s="1207"/>
      <c r="CE604" s="1215">
        <f t="shared" si="10"/>
        <v>0</v>
      </c>
      <c r="CF604" s="1215"/>
      <c r="CG604" s="1215"/>
      <c r="CH604" s="1215"/>
      <c r="CI604" s="1215"/>
      <c r="CJ604" s="1215">
        <f t="shared" si="11"/>
        <v>0</v>
      </c>
      <c r="CK604" s="1215"/>
      <c r="CL604" s="1215"/>
      <c r="CM604" s="1215"/>
      <c r="CN604" s="1215"/>
      <c r="CO604" s="1215">
        <f t="shared" si="12"/>
        <v>0</v>
      </c>
      <c r="CP604" s="1215"/>
      <c r="CQ604" s="1215"/>
      <c r="CR604" s="1215"/>
      <c r="CS604" s="1215"/>
      <c r="CT604" s="1215">
        <f t="shared" si="13"/>
        <v>0</v>
      </c>
      <c r="CU604" s="1215"/>
      <c r="CV604" s="1215"/>
      <c r="CW604" s="1215"/>
      <c r="CX604" s="1215"/>
      <c r="CY604" s="1215">
        <f t="shared" si="14"/>
        <v>0</v>
      </c>
      <c r="CZ604" s="1215"/>
      <c r="DA604" s="1215"/>
      <c r="DB604" s="1215"/>
      <c r="DC604" s="1215"/>
      <c r="DD604" s="1215">
        <f t="shared" si="15"/>
        <v>0</v>
      </c>
      <c r="DE604" s="1215"/>
      <c r="DF604" s="1215"/>
      <c r="DG604" s="1215"/>
      <c r="DH604" s="1215"/>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31">
        <f t="shared" si="0"/>
        <v>0</v>
      </c>
      <c r="AS605" s="1532"/>
      <c r="AT605" s="1141">
        <f t="shared" si="1"/>
        <v>0</v>
      </c>
      <c r="AU605" s="1143"/>
      <c r="AV605" s="1531">
        <f t="shared" si="2"/>
        <v>0</v>
      </c>
      <c r="AW605" s="1532"/>
      <c r="AX605" s="1141">
        <f t="shared" si="3"/>
        <v>0</v>
      </c>
      <c r="AY605" s="1143"/>
      <c r="AZ605" s="58"/>
      <c r="BA605" s="1141">
        <f t="shared" si="4"/>
        <v>0</v>
      </c>
      <c r="BB605" s="1142"/>
      <c r="BC605" s="1142"/>
      <c r="BD605" s="1142"/>
      <c r="BE605" s="1143"/>
      <c r="BF605" s="1207">
        <f t="shared" si="5"/>
        <v>0</v>
      </c>
      <c r="BG605" s="1207"/>
      <c r="BH605" s="1207"/>
      <c r="BI605" s="1207"/>
      <c r="BJ605" s="1207"/>
      <c r="BK605" s="1207">
        <f t="shared" si="6"/>
        <v>0</v>
      </c>
      <c r="BL605" s="1207"/>
      <c r="BM605" s="1207"/>
      <c r="BN605" s="1207"/>
      <c r="BO605" s="1207"/>
      <c r="BP605" s="1207">
        <f t="shared" si="7"/>
        <v>0</v>
      </c>
      <c r="BQ605" s="1207"/>
      <c r="BR605" s="1207"/>
      <c r="BS605" s="1207"/>
      <c r="BT605" s="1207"/>
      <c r="BU605" s="1207">
        <f t="shared" si="8"/>
        <v>0</v>
      </c>
      <c r="BV605" s="1207"/>
      <c r="BW605" s="1207"/>
      <c r="BX605" s="1207"/>
      <c r="BY605" s="1207"/>
      <c r="BZ605" s="1207">
        <f t="shared" si="9"/>
        <v>0</v>
      </c>
      <c r="CA605" s="1207"/>
      <c r="CB605" s="1207"/>
      <c r="CC605" s="1207"/>
      <c r="CD605" s="1207"/>
      <c r="CE605" s="1215">
        <f t="shared" si="10"/>
        <v>0</v>
      </c>
      <c r="CF605" s="1215"/>
      <c r="CG605" s="1215"/>
      <c r="CH605" s="1215"/>
      <c r="CI605" s="1215"/>
      <c r="CJ605" s="1215">
        <f t="shared" si="11"/>
        <v>0</v>
      </c>
      <c r="CK605" s="1215"/>
      <c r="CL605" s="1215"/>
      <c r="CM605" s="1215"/>
      <c r="CN605" s="1215"/>
      <c r="CO605" s="1215">
        <f t="shared" si="12"/>
        <v>0</v>
      </c>
      <c r="CP605" s="1215"/>
      <c r="CQ605" s="1215"/>
      <c r="CR605" s="1215"/>
      <c r="CS605" s="1215"/>
      <c r="CT605" s="1215">
        <f t="shared" si="13"/>
        <v>0</v>
      </c>
      <c r="CU605" s="1215"/>
      <c r="CV605" s="1215"/>
      <c r="CW605" s="1215"/>
      <c r="CX605" s="1215"/>
      <c r="CY605" s="1215">
        <f t="shared" si="14"/>
        <v>0</v>
      </c>
      <c r="CZ605" s="1215"/>
      <c r="DA605" s="1215"/>
      <c r="DB605" s="1215"/>
      <c r="DC605" s="1215"/>
      <c r="DD605" s="1215">
        <f t="shared" si="15"/>
        <v>0</v>
      </c>
      <c r="DE605" s="1215"/>
      <c r="DF605" s="1215"/>
      <c r="DG605" s="1215"/>
      <c r="DH605" s="1215"/>
    </row>
    <row r="606" spans="1:112" ht="12.75">
      <c r="B606" s="12" t="s">
        <v>22</v>
      </c>
      <c r="N606" s="1106" t="s">
        <v>722</v>
      </c>
      <c r="O606" s="1106"/>
      <c r="U606" s="12" t="s">
        <v>22</v>
      </c>
      <c r="AG606" s="1106" t="s">
        <v>722</v>
      </c>
      <c r="AH606" s="1106"/>
      <c r="AM606" s="58"/>
      <c r="AN606" s="58"/>
      <c r="AO606" s="58"/>
      <c r="AP606" s="58"/>
      <c r="AQ606" s="58"/>
      <c r="AR606" s="1531">
        <f t="shared" si="0"/>
        <v>0</v>
      </c>
      <c r="AS606" s="1532"/>
      <c r="AT606" s="1141">
        <f t="shared" si="1"/>
        <v>0</v>
      </c>
      <c r="AU606" s="1143"/>
      <c r="AV606" s="1531">
        <f t="shared" si="2"/>
        <v>0</v>
      </c>
      <c r="AW606" s="1532"/>
      <c r="AX606" s="1141">
        <f t="shared" si="3"/>
        <v>0</v>
      </c>
      <c r="AY606" s="1143"/>
      <c r="AZ606" s="58"/>
      <c r="BA606" s="1141">
        <f t="shared" si="4"/>
        <v>0</v>
      </c>
      <c r="BB606" s="1142"/>
      <c r="BC606" s="1142"/>
      <c r="BD606" s="1142"/>
      <c r="BE606" s="1143"/>
      <c r="BF606" s="1207">
        <f t="shared" si="5"/>
        <v>0</v>
      </c>
      <c r="BG606" s="1207"/>
      <c r="BH606" s="1207"/>
      <c r="BI606" s="1207"/>
      <c r="BJ606" s="1207"/>
      <c r="BK606" s="1207">
        <f t="shared" si="6"/>
        <v>0</v>
      </c>
      <c r="BL606" s="1207"/>
      <c r="BM606" s="1207"/>
      <c r="BN606" s="1207"/>
      <c r="BO606" s="1207"/>
      <c r="BP606" s="1207">
        <f t="shared" si="7"/>
        <v>0</v>
      </c>
      <c r="BQ606" s="1207"/>
      <c r="BR606" s="1207"/>
      <c r="BS606" s="1207"/>
      <c r="BT606" s="1207"/>
      <c r="BU606" s="1207">
        <f t="shared" si="8"/>
        <v>0</v>
      </c>
      <c r="BV606" s="1207"/>
      <c r="BW606" s="1207"/>
      <c r="BX606" s="1207"/>
      <c r="BY606" s="1207"/>
      <c r="BZ606" s="1207">
        <f t="shared" si="9"/>
        <v>0</v>
      </c>
      <c r="CA606" s="1207"/>
      <c r="CB606" s="1207"/>
      <c r="CC606" s="1207"/>
      <c r="CD606" s="1207"/>
      <c r="CE606" s="1215">
        <f t="shared" si="10"/>
        <v>0</v>
      </c>
      <c r="CF606" s="1215"/>
      <c r="CG606" s="1215"/>
      <c r="CH606" s="1215"/>
      <c r="CI606" s="1215"/>
      <c r="CJ606" s="1215">
        <f t="shared" si="11"/>
        <v>0</v>
      </c>
      <c r="CK606" s="1215"/>
      <c r="CL606" s="1215"/>
      <c r="CM606" s="1215"/>
      <c r="CN606" s="1215"/>
      <c r="CO606" s="1215">
        <f t="shared" si="12"/>
        <v>0</v>
      </c>
      <c r="CP606" s="1215"/>
      <c r="CQ606" s="1215"/>
      <c r="CR606" s="1215"/>
      <c r="CS606" s="1215"/>
      <c r="CT606" s="1215">
        <f t="shared" si="13"/>
        <v>0</v>
      </c>
      <c r="CU606" s="1215"/>
      <c r="CV606" s="1215"/>
      <c r="CW606" s="1215"/>
      <c r="CX606" s="1215"/>
      <c r="CY606" s="1215">
        <f t="shared" si="14"/>
        <v>0</v>
      </c>
      <c r="CZ606" s="1215"/>
      <c r="DA606" s="1215"/>
      <c r="DB606" s="1215"/>
      <c r="DC606" s="1215"/>
      <c r="DD606" s="1215">
        <f t="shared" si="15"/>
        <v>0</v>
      </c>
      <c r="DE606" s="1215"/>
      <c r="DF606" s="1215"/>
      <c r="DG606" s="1215"/>
      <c r="DH606" s="1215"/>
    </row>
    <row r="607" spans="1:112" ht="12.75">
      <c r="AM607" s="58"/>
      <c r="AN607" s="58"/>
      <c r="AO607" s="58"/>
      <c r="AP607" s="58"/>
      <c r="AQ607" s="58"/>
      <c r="AR607" s="1531">
        <f t="shared" si="0"/>
        <v>0</v>
      </c>
      <c r="AS607" s="1532"/>
      <c r="AT607" s="1141">
        <f t="shared" si="1"/>
        <v>0</v>
      </c>
      <c r="AU607" s="1143"/>
      <c r="AV607" s="1531">
        <f t="shared" si="2"/>
        <v>0</v>
      </c>
      <c r="AW607" s="1532"/>
      <c r="AX607" s="1141">
        <f t="shared" si="3"/>
        <v>0</v>
      </c>
      <c r="AY607" s="1143"/>
      <c r="AZ607" s="58"/>
      <c r="BA607" s="1141">
        <f t="shared" si="4"/>
        <v>0</v>
      </c>
      <c r="BB607" s="1142"/>
      <c r="BC607" s="1142"/>
      <c r="BD607" s="1142"/>
      <c r="BE607" s="1143"/>
      <c r="BF607" s="1207">
        <f t="shared" si="5"/>
        <v>0</v>
      </c>
      <c r="BG607" s="1207"/>
      <c r="BH607" s="1207"/>
      <c r="BI607" s="1207"/>
      <c r="BJ607" s="1207"/>
      <c r="BK607" s="1207">
        <f t="shared" si="6"/>
        <v>0</v>
      </c>
      <c r="BL607" s="1207"/>
      <c r="BM607" s="1207"/>
      <c r="BN607" s="1207"/>
      <c r="BO607" s="1207"/>
      <c r="BP607" s="1207">
        <f t="shared" si="7"/>
        <v>0</v>
      </c>
      <c r="BQ607" s="1207"/>
      <c r="BR607" s="1207"/>
      <c r="BS607" s="1207"/>
      <c r="BT607" s="1207"/>
      <c r="BU607" s="1207">
        <f t="shared" si="8"/>
        <v>0</v>
      </c>
      <c r="BV607" s="1207"/>
      <c r="BW607" s="1207"/>
      <c r="BX607" s="1207"/>
      <c r="BY607" s="1207"/>
      <c r="BZ607" s="1207">
        <f t="shared" si="9"/>
        <v>0</v>
      </c>
      <c r="CA607" s="1207"/>
      <c r="CB607" s="1207"/>
      <c r="CC607" s="1207"/>
      <c r="CD607" s="1207"/>
      <c r="CE607" s="1215">
        <f t="shared" si="10"/>
        <v>0</v>
      </c>
      <c r="CF607" s="1215"/>
      <c r="CG607" s="1215"/>
      <c r="CH607" s="1215"/>
      <c r="CI607" s="1215"/>
      <c r="CJ607" s="1215">
        <f t="shared" si="11"/>
        <v>0</v>
      </c>
      <c r="CK607" s="1215"/>
      <c r="CL607" s="1215"/>
      <c r="CM607" s="1215"/>
      <c r="CN607" s="1215"/>
      <c r="CO607" s="1215">
        <f t="shared" si="12"/>
        <v>0</v>
      </c>
      <c r="CP607" s="1215"/>
      <c r="CQ607" s="1215"/>
      <c r="CR607" s="1215"/>
      <c r="CS607" s="1215"/>
      <c r="CT607" s="1215">
        <f t="shared" si="13"/>
        <v>0</v>
      </c>
      <c r="CU607" s="1215"/>
      <c r="CV607" s="1215"/>
      <c r="CW607" s="1215"/>
      <c r="CX607" s="1215"/>
      <c r="CY607" s="1215">
        <f t="shared" si="14"/>
        <v>0</v>
      </c>
      <c r="CZ607" s="1215"/>
      <c r="DA607" s="1215"/>
      <c r="DB607" s="1215"/>
      <c r="DC607" s="1215"/>
      <c r="DD607" s="1215">
        <f t="shared" si="15"/>
        <v>0</v>
      </c>
      <c r="DE607" s="1215"/>
      <c r="DF607" s="1215"/>
      <c r="DG607" s="1215"/>
      <c r="DH607" s="1215"/>
    </row>
    <row r="608" spans="1:112" ht="12.75">
      <c r="A608" s="1120" t="s">
        <v>590</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31">
        <f t="shared" si="0"/>
        <v>0</v>
      </c>
      <c r="AS608" s="1532"/>
      <c r="AT608" s="1141">
        <f t="shared" si="1"/>
        <v>0</v>
      </c>
      <c r="AU608" s="1143"/>
      <c r="AV608" s="1531">
        <f t="shared" si="2"/>
        <v>0</v>
      </c>
      <c r="AW608" s="1532"/>
      <c r="AX608" s="1141">
        <f t="shared" si="3"/>
        <v>0</v>
      </c>
      <c r="AY608" s="1143"/>
      <c r="AZ608" s="58"/>
      <c r="BA608" s="1141">
        <f t="shared" si="4"/>
        <v>0</v>
      </c>
      <c r="BB608" s="1142"/>
      <c r="BC608" s="1142"/>
      <c r="BD608" s="1142"/>
      <c r="BE608" s="1143"/>
      <c r="BF608" s="1207">
        <f t="shared" si="5"/>
        <v>0</v>
      </c>
      <c r="BG608" s="1207"/>
      <c r="BH608" s="1207"/>
      <c r="BI608" s="1207"/>
      <c r="BJ608" s="1207"/>
      <c r="BK608" s="1207">
        <f t="shared" si="6"/>
        <v>0</v>
      </c>
      <c r="BL608" s="1207"/>
      <c r="BM608" s="1207"/>
      <c r="BN608" s="1207"/>
      <c r="BO608" s="1207"/>
      <c r="BP608" s="1207">
        <f t="shared" si="7"/>
        <v>0</v>
      </c>
      <c r="BQ608" s="1207"/>
      <c r="BR608" s="1207"/>
      <c r="BS608" s="1207"/>
      <c r="BT608" s="1207"/>
      <c r="BU608" s="1207">
        <f t="shared" si="8"/>
        <v>0</v>
      </c>
      <c r="BV608" s="1207"/>
      <c r="BW608" s="1207"/>
      <c r="BX608" s="1207"/>
      <c r="BY608" s="1207"/>
      <c r="BZ608" s="1207">
        <f t="shared" si="9"/>
        <v>0</v>
      </c>
      <c r="CA608" s="1207"/>
      <c r="CB608" s="1207"/>
      <c r="CC608" s="1207"/>
      <c r="CD608" s="1207"/>
      <c r="CE608" s="1215">
        <f t="shared" si="10"/>
        <v>0</v>
      </c>
      <c r="CF608" s="1215"/>
      <c r="CG608" s="1215"/>
      <c r="CH608" s="1215"/>
      <c r="CI608" s="1215"/>
      <c r="CJ608" s="1215">
        <f t="shared" si="11"/>
        <v>0</v>
      </c>
      <c r="CK608" s="1215"/>
      <c r="CL608" s="1215"/>
      <c r="CM608" s="1215"/>
      <c r="CN608" s="1215"/>
      <c r="CO608" s="1215">
        <f t="shared" si="12"/>
        <v>0</v>
      </c>
      <c r="CP608" s="1215"/>
      <c r="CQ608" s="1215"/>
      <c r="CR608" s="1215"/>
      <c r="CS608" s="1215"/>
      <c r="CT608" s="1215">
        <f t="shared" si="13"/>
        <v>0</v>
      </c>
      <c r="CU608" s="1215"/>
      <c r="CV608" s="1215"/>
      <c r="CW608" s="1215"/>
      <c r="CX608" s="1215"/>
      <c r="CY608" s="1215">
        <f t="shared" si="14"/>
        <v>0</v>
      </c>
      <c r="CZ608" s="1215"/>
      <c r="DA608" s="1215"/>
      <c r="DB608" s="1215"/>
      <c r="DC608" s="1215"/>
      <c r="DD608" s="1215">
        <f t="shared" si="15"/>
        <v>0</v>
      </c>
      <c r="DE608" s="1215"/>
      <c r="DF608" s="1215"/>
      <c r="DG608" s="1215"/>
      <c r="DH608" s="1215"/>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31">
        <f t="shared" si="0"/>
        <v>0</v>
      </c>
      <c r="AS609" s="1532"/>
      <c r="AT609" s="1141">
        <f t="shared" si="1"/>
        <v>0</v>
      </c>
      <c r="AU609" s="1143"/>
      <c r="AV609" s="1531">
        <f t="shared" si="2"/>
        <v>0</v>
      </c>
      <c r="AW609" s="1532"/>
      <c r="AX609" s="1141">
        <f t="shared" si="3"/>
        <v>0</v>
      </c>
      <c r="AY609" s="1143"/>
      <c r="AZ609" s="58"/>
      <c r="BA609" s="1141">
        <f t="shared" si="4"/>
        <v>0</v>
      </c>
      <c r="BB609" s="1142"/>
      <c r="BC609" s="1142"/>
      <c r="BD609" s="1142"/>
      <c r="BE609" s="1143"/>
      <c r="BF609" s="1207">
        <f t="shared" si="5"/>
        <v>0</v>
      </c>
      <c r="BG609" s="1207"/>
      <c r="BH609" s="1207"/>
      <c r="BI609" s="1207"/>
      <c r="BJ609" s="1207"/>
      <c r="BK609" s="1207">
        <f t="shared" si="6"/>
        <v>0</v>
      </c>
      <c r="BL609" s="1207"/>
      <c r="BM609" s="1207"/>
      <c r="BN609" s="1207"/>
      <c r="BO609" s="1207"/>
      <c r="BP609" s="1207">
        <f t="shared" si="7"/>
        <v>0</v>
      </c>
      <c r="BQ609" s="1207"/>
      <c r="BR609" s="1207"/>
      <c r="BS609" s="1207"/>
      <c r="BT609" s="1207"/>
      <c r="BU609" s="1207">
        <f t="shared" si="8"/>
        <v>0</v>
      </c>
      <c r="BV609" s="1207"/>
      <c r="BW609" s="1207"/>
      <c r="BX609" s="1207"/>
      <c r="BY609" s="1207"/>
      <c r="BZ609" s="1207">
        <f t="shared" si="9"/>
        <v>0</v>
      </c>
      <c r="CA609" s="1207"/>
      <c r="CB609" s="1207"/>
      <c r="CC609" s="1207"/>
      <c r="CD609" s="1207"/>
      <c r="CE609" s="1215">
        <f t="shared" si="10"/>
        <v>0</v>
      </c>
      <c r="CF609" s="1215"/>
      <c r="CG609" s="1215"/>
      <c r="CH609" s="1215"/>
      <c r="CI609" s="1215"/>
      <c r="CJ609" s="1215">
        <f t="shared" si="11"/>
        <v>0</v>
      </c>
      <c r="CK609" s="1215"/>
      <c r="CL609" s="1215"/>
      <c r="CM609" s="1215"/>
      <c r="CN609" s="1215"/>
      <c r="CO609" s="1215">
        <f t="shared" si="12"/>
        <v>0</v>
      </c>
      <c r="CP609" s="1215"/>
      <c r="CQ609" s="1215"/>
      <c r="CR609" s="1215"/>
      <c r="CS609" s="1215"/>
      <c r="CT609" s="1215">
        <f t="shared" si="13"/>
        <v>0</v>
      </c>
      <c r="CU609" s="1215"/>
      <c r="CV609" s="1215"/>
      <c r="CW609" s="1215"/>
      <c r="CX609" s="1215"/>
      <c r="CY609" s="1215">
        <f t="shared" si="14"/>
        <v>0</v>
      </c>
      <c r="CZ609" s="1215"/>
      <c r="DA609" s="1215"/>
      <c r="DB609" s="1215"/>
      <c r="DC609" s="1215"/>
      <c r="DD609" s="1215">
        <f t="shared" si="15"/>
        <v>0</v>
      </c>
      <c r="DE609" s="1215"/>
      <c r="DF609" s="1215"/>
      <c r="DG609" s="1215"/>
      <c r="DH609" s="1215"/>
    </row>
    <row r="610" spans="1:112" ht="13.5" thickTop="1">
      <c r="A610" s="25"/>
      <c r="B610" s="25"/>
      <c r="C610" s="25"/>
      <c r="D610" s="25"/>
      <c r="E610" s="25"/>
      <c r="F610" s="25"/>
      <c r="G610" s="3"/>
      <c r="H610" s="25"/>
      <c r="AM610" s="58"/>
      <c r="AN610" s="58"/>
      <c r="AO610" s="58"/>
      <c r="AP610" s="58"/>
      <c r="AQ610" s="58"/>
      <c r="AR610" s="1531">
        <f t="shared" si="0"/>
        <v>0</v>
      </c>
      <c r="AS610" s="1532"/>
      <c r="AT610" s="1141">
        <f t="shared" si="1"/>
        <v>0</v>
      </c>
      <c r="AU610" s="1143"/>
      <c r="AV610" s="1531">
        <f t="shared" si="2"/>
        <v>0</v>
      </c>
      <c r="AW610" s="1532"/>
      <c r="AX610" s="1141">
        <f t="shared" si="3"/>
        <v>0</v>
      </c>
      <c r="AY610" s="1143"/>
      <c r="AZ610" s="58"/>
      <c r="BA610" s="1141">
        <f t="shared" si="4"/>
        <v>0</v>
      </c>
      <c r="BB610" s="1142"/>
      <c r="BC610" s="1142"/>
      <c r="BD610" s="1142"/>
      <c r="BE610" s="1143"/>
      <c r="BF610" s="1207">
        <f t="shared" si="5"/>
        <v>0</v>
      </c>
      <c r="BG610" s="1207"/>
      <c r="BH610" s="1207"/>
      <c r="BI610" s="1207"/>
      <c r="BJ610" s="1207"/>
      <c r="BK610" s="1207">
        <f t="shared" si="6"/>
        <v>0</v>
      </c>
      <c r="BL610" s="1207"/>
      <c r="BM610" s="1207"/>
      <c r="BN610" s="1207"/>
      <c r="BO610" s="1207"/>
      <c r="BP610" s="1207">
        <f t="shared" si="7"/>
        <v>0</v>
      </c>
      <c r="BQ610" s="1207"/>
      <c r="BR610" s="1207"/>
      <c r="BS610" s="1207"/>
      <c r="BT610" s="1207"/>
      <c r="BU610" s="1207">
        <f t="shared" si="8"/>
        <v>0</v>
      </c>
      <c r="BV610" s="1207"/>
      <c r="BW610" s="1207"/>
      <c r="BX610" s="1207"/>
      <c r="BY610" s="1207"/>
      <c r="BZ610" s="1207">
        <f t="shared" si="9"/>
        <v>0</v>
      </c>
      <c r="CA610" s="1207"/>
      <c r="CB610" s="1207"/>
      <c r="CC610" s="1207"/>
      <c r="CD610" s="1207"/>
      <c r="CE610" s="1215">
        <f t="shared" si="10"/>
        <v>0</v>
      </c>
      <c r="CF610" s="1215"/>
      <c r="CG610" s="1215"/>
      <c r="CH610" s="1215"/>
      <c r="CI610" s="1215"/>
      <c r="CJ610" s="1215">
        <f t="shared" si="11"/>
        <v>0</v>
      </c>
      <c r="CK610" s="1215"/>
      <c r="CL610" s="1215"/>
      <c r="CM610" s="1215"/>
      <c r="CN610" s="1215"/>
      <c r="CO610" s="1215">
        <f t="shared" si="12"/>
        <v>0</v>
      </c>
      <c r="CP610" s="1215"/>
      <c r="CQ610" s="1215"/>
      <c r="CR610" s="1215"/>
      <c r="CS610" s="1215"/>
      <c r="CT610" s="1215">
        <f t="shared" si="13"/>
        <v>0</v>
      </c>
      <c r="CU610" s="1215"/>
      <c r="CV610" s="1215"/>
      <c r="CW610" s="1215"/>
      <c r="CX610" s="1215"/>
      <c r="CY610" s="1215">
        <f t="shared" si="14"/>
        <v>0</v>
      </c>
      <c r="CZ610" s="1215"/>
      <c r="DA610" s="1215"/>
      <c r="DB610" s="1215"/>
      <c r="DC610" s="1215"/>
      <c r="DD610" s="1215">
        <f t="shared" si="15"/>
        <v>0</v>
      </c>
      <c r="DE610" s="1215"/>
      <c r="DF610" s="1215"/>
      <c r="DG610" s="1215"/>
      <c r="DH610" s="1215"/>
    </row>
    <row r="611" spans="1:112" ht="12.75">
      <c r="A611" s="50" t="s">
        <v>341</v>
      </c>
      <c r="B611" s="50"/>
      <c r="C611" s="50" t="s">
        <v>23</v>
      </c>
      <c r="AM611" s="58"/>
      <c r="AN611" s="58"/>
      <c r="AO611" s="58"/>
      <c r="AP611" s="58"/>
      <c r="AQ611" s="58"/>
      <c r="AR611" s="1531">
        <f t="shared" si="0"/>
        <v>0</v>
      </c>
      <c r="AS611" s="1532"/>
      <c r="AT611" s="1141">
        <f t="shared" si="1"/>
        <v>0</v>
      </c>
      <c r="AU611" s="1143"/>
      <c r="AV611" s="1531">
        <f t="shared" si="2"/>
        <v>0</v>
      </c>
      <c r="AW611" s="1532"/>
      <c r="AX611" s="1141">
        <f t="shared" si="3"/>
        <v>0</v>
      </c>
      <c r="AY611" s="1143"/>
      <c r="AZ611" s="58"/>
      <c r="BA611" s="1141">
        <f t="shared" si="4"/>
        <v>0</v>
      </c>
      <c r="BB611" s="1142"/>
      <c r="BC611" s="1142"/>
      <c r="BD611" s="1142"/>
      <c r="BE611" s="1143"/>
      <c r="BF611" s="1207">
        <f t="shared" si="5"/>
        <v>0</v>
      </c>
      <c r="BG611" s="1207"/>
      <c r="BH611" s="1207"/>
      <c r="BI611" s="1207"/>
      <c r="BJ611" s="1207"/>
      <c r="BK611" s="1207">
        <f t="shared" si="6"/>
        <v>0</v>
      </c>
      <c r="BL611" s="1207"/>
      <c r="BM611" s="1207"/>
      <c r="BN611" s="1207"/>
      <c r="BO611" s="1207"/>
      <c r="BP611" s="1207">
        <f t="shared" si="7"/>
        <v>0</v>
      </c>
      <c r="BQ611" s="1207"/>
      <c r="BR611" s="1207"/>
      <c r="BS611" s="1207"/>
      <c r="BT611" s="1207"/>
      <c r="BU611" s="1207">
        <f t="shared" si="8"/>
        <v>0</v>
      </c>
      <c r="BV611" s="1207"/>
      <c r="BW611" s="1207"/>
      <c r="BX611" s="1207"/>
      <c r="BY611" s="1207"/>
      <c r="BZ611" s="1207">
        <f t="shared" si="9"/>
        <v>0</v>
      </c>
      <c r="CA611" s="1207"/>
      <c r="CB611" s="1207"/>
      <c r="CC611" s="1207"/>
      <c r="CD611" s="1207"/>
      <c r="CE611" s="1215">
        <f t="shared" si="10"/>
        <v>0</v>
      </c>
      <c r="CF611" s="1215"/>
      <c r="CG611" s="1215"/>
      <c r="CH611" s="1215"/>
      <c r="CI611" s="1215"/>
      <c r="CJ611" s="1215">
        <f t="shared" si="11"/>
        <v>0</v>
      </c>
      <c r="CK611" s="1215"/>
      <c r="CL611" s="1215"/>
      <c r="CM611" s="1215"/>
      <c r="CN611" s="1215"/>
      <c r="CO611" s="1215">
        <f t="shared" si="12"/>
        <v>0</v>
      </c>
      <c r="CP611" s="1215"/>
      <c r="CQ611" s="1215"/>
      <c r="CR611" s="1215"/>
      <c r="CS611" s="1215"/>
      <c r="CT611" s="1215">
        <f t="shared" si="13"/>
        <v>0</v>
      </c>
      <c r="CU611" s="1215"/>
      <c r="CV611" s="1215"/>
      <c r="CW611" s="1215"/>
      <c r="CX611" s="1215"/>
      <c r="CY611" s="1215">
        <f t="shared" si="14"/>
        <v>0</v>
      </c>
      <c r="CZ611" s="1215"/>
      <c r="DA611" s="1215"/>
      <c r="DB611" s="1215"/>
      <c r="DC611" s="1215"/>
      <c r="DD611" s="1215">
        <f t="shared" si="15"/>
        <v>0</v>
      </c>
      <c r="DE611" s="1215"/>
      <c r="DF611" s="1215"/>
      <c r="DG611" s="1215"/>
      <c r="DH611" s="1215"/>
    </row>
    <row r="612" spans="1:112" ht="12.75">
      <c r="A612" s="50"/>
      <c r="B612" s="50"/>
      <c r="C612" s="50"/>
      <c r="AM612" s="58"/>
      <c r="AN612" s="58"/>
      <c r="AO612" s="58"/>
      <c r="AP612" s="58"/>
      <c r="AQ612" s="58"/>
      <c r="AR612" s="1531">
        <f t="shared" si="0"/>
        <v>0</v>
      </c>
      <c r="AS612" s="1532"/>
      <c r="AT612" s="1141">
        <f t="shared" si="1"/>
        <v>0</v>
      </c>
      <c r="AU612" s="1143"/>
      <c r="AV612" s="1531">
        <f t="shared" si="2"/>
        <v>0</v>
      </c>
      <c r="AW612" s="1532"/>
      <c r="AX612" s="1141">
        <f t="shared" si="3"/>
        <v>0</v>
      </c>
      <c r="AY612" s="1143"/>
      <c r="AZ612" s="58"/>
      <c r="BA612" s="1141">
        <f t="shared" si="4"/>
        <v>0</v>
      </c>
      <c r="BB612" s="1142"/>
      <c r="BC612" s="1142"/>
      <c r="BD612" s="1142"/>
      <c r="BE612" s="1143"/>
      <c r="BF612" s="1207">
        <f t="shared" si="5"/>
        <v>0</v>
      </c>
      <c r="BG612" s="1207"/>
      <c r="BH612" s="1207"/>
      <c r="BI612" s="1207"/>
      <c r="BJ612" s="1207"/>
      <c r="BK612" s="1207">
        <f t="shared" si="6"/>
        <v>0</v>
      </c>
      <c r="BL612" s="1207"/>
      <c r="BM612" s="1207"/>
      <c r="BN612" s="1207"/>
      <c r="BO612" s="1207"/>
      <c r="BP612" s="1207">
        <f t="shared" si="7"/>
        <v>0</v>
      </c>
      <c r="BQ612" s="1207"/>
      <c r="BR612" s="1207"/>
      <c r="BS612" s="1207"/>
      <c r="BT612" s="1207"/>
      <c r="BU612" s="1207">
        <f t="shared" si="8"/>
        <v>0</v>
      </c>
      <c r="BV612" s="1207"/>
      <c r="BW612" s="1207"/>
      <c r="BX612" s="1207"/>
      <c r="BY612" s="1207"/>
      <c r="BZ612" s="1207">
        <f t="shared" si="9"/>
        <v>0</v>
      </c>
      <c r="CA612" s="1207"/>
      <c r="CB612" s="1207"/>
      <c r="CC612" s="1207"/>
      <c r="CD612" s="1207"/>
      <c r="CE612" s="1215">
        <f t="shared" si="10"/>
        <v>0</v>
      </c>
      <c r="CF612" s="1215"/>
      <c r="CG612" s="1215"/>
      <c r="CH612" s="1215"/>
      <c r="CI612" s="1215"/>
      <c r="CJ612" s="1215">
        <f t="shared" si="11"/>
        <v>0</v>
      </c>
      <c r="CK612" s="1215"/>
      <c r="CL612" s="1215"/>
      <c r="CM612" s="1215"/>
      <c r="CN612" s="1215"/>
      <c r="CO612" s="1215">
        <f t="shared" si="12"/>
        <v>0</v>
      </c>
      <c r="CP612" s="1215"/>
      <c r="CQ612" s="1215"/>
      <c r="CR612" s="1215"/>
      <c r="CS612" s="1215"/>
      <c r="CT612" s="1215">
        <f t="shared" si="13"/>
        <v>0</v>
      </c>
      <c r="CU612" s="1215"/>
      <c r="CV612" s="1215"/>
      <c r="CW612" s="1215"/>
      <c r="CX612" s="1215"/>
      <c r="CY612" s="1215">
        <f t="shared" si="14"/>
        <v>0</v>
      </c>
      <c r="CZ612" s="1215"/>
      <c r="DA612" s="1215"/>
      <c r="DB612" s="1215"/>
      <c r="DC612" s="1215"/>
      <c r="DD612" s="1215">
        <f t="shared" si="15"/>
        <v>0</v>
      </c>
      <c r="DE612" s="1215"/>
      <c r="DF612" s="1215"/>
      <c r="DG612" s="1215"/>
      <c r="DH612" s="121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1">
        <f t="shared" si="0"/>
        <v>0</v>
      </c>
      <c r="AS613" s="1532"/>
      <c r="AT613" s="1141">
        <f t="shared" si="1"/>
        <v>0</v>
      </c>
      <c r="AU613" s="1143"/>
      <c r="AV613" s="1531">
        <f t="shared" si="2"/>
        <v>0</v>
      </c>
      <c r="AW613" s="1532"/>
      <c r="AX613" s="1141">
        <f t="shared" si="3"/>
        <v>0</v>
      </c>
      <c r="AY613" s="1143"/>
      <c r="AZ613" s="58"/>
      <c r="BA613" s="1141">
        <f t="shared" si="4"/>
        <v>0</v>
      </c>
      <c r="BB613" s="1142"/>
      <c r="BC613" s="1142"/>
      <c r="BD613" s="1142"/>
      <c r="BE613" s="1143"/>
      <c r="BF613" s="1207">
        <f t="shared" si="5"/>
        <v>0</v>
      </c>
      <c r="BG613" s="1207"/>
      <c r="BH613" s="1207"/>
      <c r="BI613" s="1207"/>
      <c r="BJ613" s="1207"/>
      <c r="BK613" s="1207">
        <f t="shared" si="6"/>
        <v>0</v>
      </c>
      <c r="BL613" s="1207"/>
      <c r="BM613" s="1207"/>
      <c r="BN613" s="1207"/>
      <c r="BO613" s="1207"/>
      <c r="BP613" s="1207">
        <f t="shared" si="7"/>
        <v>0</v>
      </c>
      <c r="BQ613" s="1207"/>
      <c r="BR613" s="1207"/>
      <c r="BS613" s="1207"/>
      <c r="BT613" s="1207"/>
      <c r="BU613" s="1207">
        <f t="shared" si="8"/>
        <v>0</v>
      </c>
      <c r="BV613" s="1207"/>
      <c r="BW613" s="1207"/>
      <c r="BX613" s="1207"/>
      <c r="BY613" s="1207"/>
      <c r="BZ613" s="1207">
        <f t="shared" si="9"/>
        <v>0</v>
      </c>
      <c r="CA613" s="1207"/>
      <c r="CB613" s="1207"/>
      <c r="CC613" s="1207"/>
      <c r="CD613" s="1207"/>
      <c r="CE613" s="1215">
        <f t="shared" si="10"/>
        <v>0</v>
      </c>
      <c r="CF613" s="1215"/>
      <c r="CG613" s="1215"/>
      <c r="CH613" s="1215"/>
      <c r="CI613" s="1215"/>
      <c r="CJ613" s="1215">
        <f t="shared" si="11"/>
        <v>0</v>
      </c>
      <c r="CK613" s="1215"/>
      <c r="CL613" s="1215"/>
      <c r="CM613" s="1215"/>
      <c r="CN613" s="1215"/>
      <c r="CO613" s="1215">
        <f t="shared" si="12"/>
        <v>0</v>
      </c>
      <c r="CP613" s="1215"/>
      <c r="CQ613" s="1215"/>
      <c r="CR613" s="1215"/>
      <c r="CS613" s="1215"/>
      <c r="CT613" s="1215">
        <f t="shared" si="13"/>
        <v>0</v>
      </c>
      <c r="CU613" s="1215"/>
      <c r="CV613" s="1215"/>
      <c r="CW613" s="1215"/>
      <c r="CX613" s="1215"/>
      <c r="CY613" s="1215">
        <f t="shared" si="14"/>
        <v>0</v>
      </c>
      <c r="CZ613" s="1215"/>
      <c r="DA613" s="1215"/>
      <c r="DB613" s="1215"/>
      <c r="DC613" s="1215"/>
      <c r="DD613" s="1215">
        <f t="shared" si="15"/>
        <v>0</v>
      </c>
      <c r="DE613" s="1215"/>
      <c r="DF613" s="1215"/>
      <c r="DG613" s="1215"/>
      <c r="DH613" s="121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1">
        <f>SUM(AT589:AU613)</f>
        <v>16</v>
      </c>
      <c r="AU614" s="1532"/>
      <c r="AV614" s="58"/>
      <c r="AW614" s="58"/>
      <c r="AX614" s="1531">
        <f>SUM(AX589:AY613)</f>
        <v>49</v>
      </c>
      <c r="AY614" s="1532"/>
      <c r="AZ614" s="58"/>
      <c r="BA614" s="1531">
        <f>SUM(BA589:BE613)</f>
        <v>18</v>
      </c>
      <c r="BB614" s="1541"/>
      <c r="BC614" s="1541"/>
      <c r="BD614" s="1541"/>
      <c r="BE614" s="1532"/>
      <c r="BF614" s="1220">
        <f>SUM(BF589:BJ613)</f>
        <v>26</v>
      </c>
      <c r="BG614" s="1220"/>
      <c r="BH614" s="1220"/>
      <c r="BI614" s="1220"/>
      <c r="BJ614" s="1220"/>
      <c r="BK614" s="1220">
        <f>SUM(BK589:BO613)</f>
        <v>22</v>
      </c>
      <c r="BL614" s="1220"/>
      <c r="BM614" s="1220"/>
      <c r="BN614" s="1220"/>
      <c r="BO614" s="1220"/>
      <c r="BP614" s="1220">
        <f>SUM(BP589:BT613)</f>
        <v>22</v>
      </c>
      <c r="BQ614" s="1220"/>
      <c r="BR614" s="1220"/>
      <c r="BS614" s="1220"/>
      <c r="BT614" s="1220"/>
      <c r="BU614" s="1220">
        <f>SUM(BU589:BY613)</f>
        <v>0</v>
      </c>
      <c r="BV614" s="1220"/>
      <c r="BW614" s="1220"/>
      <c r="BX614" s="1220"/>
      <c r="BY614" s="1220"/>
      <c r="BZ614" s="1220">
        <f>SUM(BZ589:CD613)</f>
        <v>0</v>
      </c>
      <c r="CA614" s="1220"/>
      <c r="CB614" s="1220"/>
      <c r="CC614" s="1220"/>
      <c r="CD614" s="1220"/>
      <c r="CE614" s="1220">
        <f>SUM(CE589:CI613)</f>
        <v>18</v>
      </c>
      <c r="CF614" s="1220"/>
      <c r="CG614" s="1220"/>
      <c r="CH614" s="1220"/>
      <c r="CI614" s="1220"/>
      <c r="CJ614" s="1220">
        <f>SUM(CJ589:CN613)</f>
        <v>23</v>
      </c>
      <c r="CK614" s="1220"/>
      <c r="CL614" s="1220"/>
      <c r="CM614" s="1220"/>
      <c r="CN614" s="1220"/>
      <c r="CO614" s="1220">
        <f>SUM(CO589:CS613)</f>
        <v>5</v>
      </c>
      <c r="CP614" s="1220"/>
      <c r="CQ614" s="1220"/>
      <c r="CR614" s="1220"/>
      <c r="CS614" s="1220"/>
      <c r="CT614" s="1220">
        <f>SUM(CT589:CX613)</f>
        <v>3</v>
      </c>
      <c r="CU614" s="1220"/>
      <c r="CV614" s="1220"/>
      <c r="CW614" s="1220"/>
      <c r="CX614" s="1220"/>
      <c r="CY614" s="1220">
        <f>SUM(CY589:DC613)</f>
        <v>0</v>
      </c>
      <c r="CZ614" s="1220"/>
      <c r="DA614" s="1220"/>
      <c r="DB614" s="1220"/>
      <c r="DC614" s="1220"/>
      <c r="DD614" s="1220">
        <f>SUM(DD589:DH613)</f>
        <v>0</v>
      </c>
      <c r="DE614" s="1220"/>
      <c r="DF614" s="1220"/>
      <c r="DG614" s="1220"/>
      <c r="DH614" s="1220"/>
    </row>
    <row r="615" spans="1:112" ht="12.75">
      <c r="B615" s="1444" t="s">
        <v>497</v>
      </c>
      <c r="C615" s="1445"/>
      <c r="D615" s="1445"/>
      <c r="E615" s="1445"/>
      <c r="F615" s="1445"/>
      <c r="G615" s="1445"/>
      <c r="H615" s="1445"/>
      <c r="I615" s="1445"/>
      <c r="J615" s="1445"/>
      <c r="K615" s="1445"/>
      <c r="L615" s="1445"/>
      <c r="M615" s="1445"/>
      <c r="N615" s="1445"/>
      <c r="O615" s="1446"/>
      <c r="P615" s="1453" t="s">
        <v>346</v>
      </c>
      <c r="Q615" s="1454"/>
      <c r="R615" s="1455"/>
      <c r="S615" s="1547" t="s">
        <v>498</v>
      </c>
      <c r="T615" s="1548"/>
      <c r="U615" s="1549"/>
      <c r="V615" s="1443" t="s">
        <v>18</v>
      </c>
      <c r="W615" s="1443"/>
      <c r="X615" s="1443"/>
      <c r="Y615" s="1443"/>
      <c r="Z615" s="1443"/>
      <c r="AA615" s="1443"/>
      <c r="AB615" s="1443" t="s">
        <v>17</v>
      </c>
      <c r="AC615" s="1443"/>
      <c r="AD615" s="1443"/>
      <c r="AE615" s="1443"/>
      <c r="AF615" s="1443"/>
      <c r="AG615" s="1443" t="s">
        <v>499</v>
      </c>
      <c r="AH615" s="1443"/>
      <c r="AI615" s="1443"/>
      <c r="AJ615" s="1443"/>
      <c r="AK615" s="14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7"/>
      <c r="C616" s="1448"/>
      <c r="D616" s="1448"/>
      <c r="E616" s="1448"/>
      <c r="F616" s="1448"/>
      <c r="G616" s="1448"/>
      <c r="H616" s="1448"/>
      <c r="I616" s="1448"/>
      <c r="J616" s="1448"/>
      <c r="K616" s="1448"/>
      <c r="L616" s="1448"/>
      <c r="M616" s="1448"/>
      <c r="N616" s="1448"/>
      <c r="O616" s="1449"/>
      <c r="P616" s="1456"/>
      <c r="Q616" s="1457"/>
      <c r="R616" s="1458"/>
      <c r="S616" s="1550"/>
      <c r="T616" s="1551"/>
      <c r="U616" s="1552"/>
      <c r="V616" s="1443"/>
      <c r="W616" s="1443"/>
      <c r="X616" s="1443"/>
      <c r="Y616" s="1443"/>
      <c r="Z616" s="1443"/>
      <c r="AA616" s="1443"/>
      <c r="AB616" s="1443"/>
      <c r="AC616" s="1443"/>
      <c r="AD616" s="1443"/>
      <c r="AE616" s="1443"/>
      <c r="AF616" s="1443"/>
      <c r="AG616" s="1443"/>
      <c r="AH616" s="1443"/>
      <c r="AI616" s="1443"/>
      <c r="AJ616" s="1443"/>
      <c r="AK616" s="14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0"/>
      <c r="C617" s="1451"/>
      <c r="D617" s="1451"/>
      <c r="E617" s="1451"/>
      <c r="F617" s="1451"/>
      <c r="G617" s="1451"/>
      <c r="H617" s="1451"/>
      <c r="I617" s="1451"/>
      <c r="J617" s="1451"/>
      <c r="K617" s="1451"/>
      <c r="L617" s="1451"/>
      <c r="M617" s="1451"/>
      <c r="N617" s="1451"/>
      <c r="O617" s="1452"/>
      <c r="P617" s="1459"/>
      <c r="Q617" s="1460"/>
      <c r="R617" s="1461"/>
      <c r="S617" s="1553"/>
      <c r="T617" s="1554"/>
      <c r="U617" s="1555"/>
      <c r="V617" s="1443"/>
      <c r="W617" s="1443"/>
      <c r="X617" s="1443"/>
      <c r="Y617" s="1443"/>
      <c r="Z617" s="1443"/>
      <c r="AA617" s="1443"/>
      <c r="AB617" s="1443"/>
      <c r="AC617" s="1443"/>
      <c r="AD617" s="1443"/>
      <c r="AE617" s="1443"/>
      <c r="AF617" s="1443"/>
      <c r="AG617" s="1443"/>
      <c r="AH617" s="1443"/>
      <c r="AI617" s="1443"/>
      <c r="AJ617" s="1443"/>
      <c r="AK617" s="1443"/>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07">
        <f>IF(J754="1 Bedroom",O754,0)</f>
        <v>1</v>
      </c>
      <c r="BG617" s="1207"/>
      <c r="BH617" s="1207"/>
      <c r="BI617" s="1207"/>
      <c r="BJ617" s="1207"/>
      <c r="BK617" s="1207">
        <f>IF(J754="2 Bedrooms",O754,0)</f>
        <v>0</v>
      </c>
      <c r="BL617" s="1207"/>
      <c r="BM617" s="1207"/>
      <c r="BN617" s="1207"/>
      <c r="BO617" s="1207"/>
      <c r="BP617" s="1207">
        <f>IF(J754="3 Bedrooms",O754,0)</f>
        <v>0</v>
      </c>
      <c r="BQ617" s="1207"/>
      <c r="BR617" s="1207"/>
      <c r="BS617" s="1207"/>
      <c r="BT617" s="1207"/>
      <c r="BU617" s="1207">
        <f>IF(J754="4 Bedrooms",O754,0)</f>
        <v>0</v>
      </c>
      <c r="BV617" s="1207"/>
      <c r="BW617" s="1207"/>
      <c r="BX617" s="1207"/>
      <c r="BY617" s="1207"/>
      <c r="BZ617" s="1207">
        <f>IF(J754="5 Bedrooms",O754,0)</f>
        <v>0</v>
      </c>
      <c r="CA617" s="1207"/>
      <c r="CB617" s="1207"/>
      <c r="CC617" s="1207"/>
      <c r="CD617" s="1207"/>
      <c r="CE617" s="58"/>
      <c r="CF617" s="58"/>
      <c r="CG617" s="58"/>
      <c r="CH617" s="58"/>
      <c r="CI617" s="58"/>
      <c r="CJ617" s="58"/>
      <c r="CK617" s="58"/>
      <c r="CL617" s="58"/>
      <c r="CM617" s="58"/>
      <c r="CN617" s="58"/>
      <c r="CO617" s="58"/>
      <c r="CP617" s="58"/>
      <c r="CQ617" s="58"/>
      <c r="CR617" s="58"/>
    </row>
    <row r="618" spans="1:112" ht="12.75" customHeight="1">
      <c r="B618" s="83" t="s">
        <v>119</v>
      </c>
      <c r="C618" s="1132" t="s">
        <v>1790</v>
      </c>
      <c r="D618" s="1441"/>
      <c r="E618" s="1441"/>
      <c r="F618" s="1441"/>
      <c r="G618" s="1441"/>
      <c r="H618" s="1441"/>
      <c r="I618" s="1441"/>
      <c r="J618" s="1441"/>
      <c r="K618" s="1441"/>
      <c r="L618" s="1441"/>
      <c r="M618" s="1441"/>
      <c r="N618" s="1441"/>
      <c r="O618" s="1442"/>
      <c r="P618" s="1231">
        <f>12*30</f>
        <v>360</v>
      </c>
      <c r="Q618" s="1232"/>
      <c r="R618" s="1233"/>
      <c r="S618" s="1228">
        <v>0.04</v>
      </c>
      <c r="T618" s="1229"/>
      <c r="U618" s="1230"/>
      <c r="V618" s="1231"/>
      <c r="W618" s="1232"/>
      <c r="X618" s="1232"/>
      <c r="Y618" s="1232"/>
      <c r="Z618" s="1232"/>
      <c r="AA618" s="1233"/>
      <c r="AB618" s="1235">
        <v>312065</v>
      </c>
      <c r="AC618" s="1235"/>
      <c r="AD618" s="1235"/>
      <c r="AE618" s="1235"/>
      <c r="AF618" s="1235"/>
      <c r="AG618" s="1235">
        <v>5447135</v>
      </c>
      <c r="AH618" s="1235"/>
      <c r="AI618" s="1235"/>
      <c r="AJ618" s="1235"/>
      <c r="AK618" s="1235"/>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07">
        <f>IF(J755="1 Bedroom",O755,0)</f>
        <v>0</v>
      </c>
      <c r="BG618" s="1207"/>
      <c r="BH618" s="1207"/>
      <c r="BI618" s="1207"/>
      <c r="BJ618" s="1207"/>
      <c r="BK618" s="1207">
        <f>IF(J755="2 Bedrooms",O755,0)</f>
        <v>1</v>
      </c>
      <c r="BL618" s="1207"/>
      <c r="BM618" s="1207"/>
      <c r="BN618" s="1207"/>
      <c r="BO618" s="1207"/>
      <c r="BP618" s="1207">
        <f>IF(J755="3 Bedrooms",O755,0)</f>
        <v>0</v>
      </c>
      <c r="BQ618" s="1207"/>
      <c r="BR618" s="1207"/>
      <c r="BS618" s="1207"/>
      <c r="BT618" s="1207"/>
      <c r="BU618" s="1207">
        <f>IF(J755="4 Bedrooms",O755,0)</f>
        <v>0</v>
      </c>
      <c r="BV618" s="1207"/>
      <c r="BW618" s="1207"/>
      <c r="BX618" s="1207"/>
      <c r="BY618" s="1207"/>
      <c r="BZ618" s="1207">
        <f>IF(J755="5 Bedrooms",O755,0)</f>
        <v>0</v>
      </c>
      <c r="CA618" s="1207"/>
      <c r="CB618" s="1207"/>
      <c r="CC618" s="1207"/>
      <c r="CD618" s="1207"/>
      <c r="CE618" s="58"/>
      <c r="CF618" s="58"/>
      <c r="CG618" s="58"/>
      <c r="CH618" s="58"/>
      <c r="CI618" s="58"/>
      <c r="CJ618" s="58"/>
      <c r="CK618" s="58"/>
      <c r="CL618" s="58"/>
      <c r="CM618" s="58"/>
      <c r="CN618" s="58"/>
      <c r="CO618" s="58"/>
      <c r="CP618" s="58"/>
      <c r="CQ618" s="58"/>
      <c r="CR618" s="58"/>
    </row>
    <row r="619" spans="1:112" ht="12.75">
      <c r="B619" s="84" t="s">
        <v>120</v>
      </c>
      <c r="C619" s="1132" t="s">
        <v>1705</v>
      </c>
      <c r="D619" s="1132"/>
      <c r="E619" s="1132"/>
      <c r="F619" s="1132"/>
      <c r="G619" s="1132"/>
      <c r="H619" s="1132"/>
      <c r="I619" s="1132"/>
      <c r="J619" s="1132"/>
      <c r="K619" s="1132"/>
      <c r="L619" s="1132"/>
      <c r="M619" s="1132"/>
      <c r="N619" s="1132"/>
      <c r="O619" s="1435"/>
      <c r="P619" s="1231">
        <f>12*55</f>
        <v>660</v>
      </c>
      <c r="Q619" s="1232"/>
      <c r="R619" s="1233"/>
      <c r="S619" s="1228">
        <v>0.03</v>
      </c>
      <c r="T619" s="1229"/>
      <c r="U619" s="1230"/>
      <c r="V619" s="1231" t="s">
        <v>503</v>
      </c>
      <c r="W619" s="1232"/>
      <c r="X619" s="1232"/>
      <c r="Y619" s="1232"/>
      <c r="Z619" s="1232"/>
      <c r="AA619" s="1233"/>
      <c r="AB619" s="1235">
        <v>0</v>
      </c>
      <c r="AC619" s="1235"/>
      <c r="AD619" s="1235"/>
      <c r="AE619" s="1235"/>
      <c r="AF619" s="1235"/>
      <c r="AG619" s="1235">
        <v>7000000</v>
      </c>
      <c r="AH619" s="1235"/>
      <c r="AI619" s="1235"/>
      <c r="AJ619" s="1235"/>
      <c r="AK619" s="1235"/>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07">
        <f>IF(J756="1 Bedroom",O756,0)</f>
        <v>0</v>
      </c>
      <c r="BG619" s="1207"/>
      <c r="BH619" s="1207"/>
      <c r="BI619" s="1207"/>
      <c r="BJ619" s="1207"/>
      <c r="BK619" s="1207">
        <f>IF(J756="2 Bedrooms",O756,0)</f>
        <v>0</v>
      </c>
      <c r="BL619" s="1207"/>
      <c r="BM619" s="1207"/>
      <c r="BN619" s="1207"/>
      <c r="BO619" s="1207"/>
      <c r="BP619" s="1207">
        <f>IF(J756="3 Bedrooms",O756,0)</f>
        <v>0</v>
      </c>
      <c r="BQ619" s="1207"/>
      <c r="BR619" s="1207"/>
      <c r="BS619" s="1207"/>
      <c r="BT619" s="1207"/>
      <c r="BU619" s="1207">
        <f>IF(J756="4 Bedrooms",O756,0)</f>
        <v>0</v>
      </c>
      <c r="BV619" s="1207"/>
      <c r="BW619" s="1207"/>
      <c r="BX619" s="1207"/>
      <c r="BY619" s="1207"/>
      <c r="BZ619" s="1207">
        <f>IF(J756="5 Bedrooms",O756,0)</f>
        <v>0</v>
      </c>
      <c r="CA619" s="1207"/>
      <c r="CB619" s="1207"/>
      <c r="CC619" s="1207"/>
      <c r="CD619" s="1207"/>
      <c r="CE619" s="58"/>
      <c r="CF619" s="58"/>
      <c r="CG619" s="58"/>
      <c r="CH619" s="58"/>
      <c r="CI619" s="58"/>
      <c r="CJ619" s="58"/>
      <c r="CK619" s="58"/>
      <c r="CL619" s="58"/>
      <c r="CM619" s="58"/>
      <c r="CN619" s="58"/>
      <c r="CO619" s="58"/>
      <c r="CP619" s="58"/>
      <c r="CQ619" s="58"/>
      <c r="CR619" s="58"/>
    </row>
    <row r="620" spans="1:112" ht="12.75">
      <c r="B620" s="84" t="s">
        <v>126</v>
      </c>
      <c r="C620" s="1132" t="s">
        <v>1773</v>
      </c>
      <c r="D620" s="1132"/>
      <c r="E620" s="1132"/>
      <c r="F620" s="1132"/>
      <c r="G620" s="1132"/>
      <c r="H620" s="1132"/>
      <c r="I620" s="1132"/>
      <c r="J620" s="1132"/>
      <c r="K620" s="1132"/>
      <c r="L620" s="1132"/>
      <c r="M620" s="1132"/>
      <c r="N620" s="1132"/>
      <c r="O620" s="1435"/>
      <c r="P620" s="1434">
        <v>660</v>
      </c>
      <c r="Q620" s="1232"/>
      <c r="R620" s="1233"/>
      <c r="S620" s="1437">
        <v>4.1999999999999997E-3</v>
      </c>
      <c r="T620" s="1229"/>
      <c r="U620" s="1230"/>
      <c r="V620" s="1434" t="s">
        <v>503</v>
      </c>
      <c r="W620" s="1232"/>
      <c r="X620" s="1232"/>
      <c r="Y620" s="1232"/>
      <c r="Z620" s="1232"/>
      <c r="AA620" s="1233"/>
      <c r="AB620" s="1235"/>
      <c r="AC620" s="1235"/>
      <c r="AD620" s="1235"/>
      <c r="AE620" s="1235"/>
      <c r="AF620" s="1235"/>
      <c r="AG620" s="1235">
        <v>15943197</v>
      </c>
      <c r="AH620" s="1235"/>
      <c r="AI620" s="1235"/>
      <c r="AJ620" s="1235"/>
      <c r="AK620" s="1235"/>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07">
        <f>IF(J757="1 Bedroom",O757,0)</f>
        <v>0</v>
      </c>
      <c r="BG620" s="1207"/>
      <c r="BH620" s="1207"/>
      <c r="BI620" s="1207"/>
      <c r="BJ620" s="1207"/>
      <c r="BK620" s="1207">
        <f>IF(J757="2 Bedrooms",O757,0)</f>
        <v>0</v>
      </c>
      <c r="BL620" s="1207"/>
      <c r="BM620" s="1207"/>
      <c r="BN620" s="1207"/>
      <c r="BO620" s="1207"/>
      <c r="BP620" s="1207">
        <f>IF(J757="3 Bedrooms",O757,0)</f>
        <v>0</v>
      </c>
      <c r="BQ620" s="1207"/>
      <c r="BR620" s="1207"/>
      <c r="BS620" s="1207"/>
      <c r="BT620" s="1207"/>
      <c r="BU620" s="1207">
        <f>IF(J757="4 Bedrooms",O757,0)</f>
        <v>0</v>
      </c>
      <c r="BV620" s="1207"/>
      <c r="BW620" s="1207"/>
      <c r="BX620" s="1207"/>
      <c r="BY620" s="1207"/>
      <c r="BZ620" s="1207">
        <f>IF(J757="5 Bedrooms",O757,0)</f>
        <v>0</v>
      </c>
      <c r="CA620" s="1207"/>
      <c r="CB620" s="1207"/>
      <c r="CC620" s="1207"/>
      <c r="CD620" s="1207"/>
      <c r="CE620" s="58"/>
      <c r="CF620" s="58"/>
      <c r="CG620" s="58"/>
      <c r="CH620" s="58"/>
      <c r="CI620" s="58"/>
      <c r="CJ620" s="58"/>
      <c r="CK620" s="58"/>
      <c r="CL620" s="58"/>
      <c r="CM620" s="58"/>
      <c r="CN620" s="58"/>
      <c r="CO620" s="58"/>
      <c r="CP620" s="58"/>
      <c r="CQ620" s="58"/>
      <c r="CR620" s="58"/>
    </row>
    <row r="621" spans="1:112" ht="12.75">
      <c r="B621" s="84" t="s">
        <v>631</v>
      </c>
      <c r="C621" s="1132" t="s">
        <v>1774</v>
      </c>
      <c r="D621" s="1132"/>
      <c r="E621" s="1132"/>
      <c r="F621" s="1132"/>
      <c r="G621" s="1132"/>
      <c r="H621" s="1132"/>
      <c r="I621" s="1132"/>
      <c r="J621" s="1132"/>
      <c r="K621" s="1132"/>
      <c r="L621" s="1132"/>
      <c r="M621" s="1132"/>
      <c r="N621" s="1132"/>
      <c r="O621" s="1435"/>
      <c r="P621" s="1231">
        <v>660</v>
      </c>
      <c r="Q621" s="1232"/>
      <c r="R621" s="1233"/>
      <c r="S621" s="1228">
        <v>0</v>
      </c>
      <c r="T621" s="1229"/>
      <c r="U621" s="1230"/>
      <c r="V621" s="1434"/>
      <c r="W621" s="1232"/>
      <c r="X621" s="1232"/>
      <c r="Y621" s="1232"/>
      <c r="Z621" s="1232"/>
      <c r="AA621" s="1233"/>
      <c r="AB621" s="1235">
        <f>AG621*S621</f>
        <v>0</v>
      </c>
      <c r="AC621" s="1235"/>
      <c r="AD621" s="1235"/>
      <c r="AE621" s="1235"/>
      <c r="AF621" s="1235"/>
      <c r="AG621" s="1235">
        <v>1000000</v>
      </c>
      <c r="AH621" s="1235"/>
      <c r="AI621" s="1235"/>
      <c r="AJ621" s="1235"/>
      <c r="AK621" s="1235"/>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1</v>
      </c>
      <c r="BG621" s="1145"/>
      <c r="BH621" s="1145"/>
      <c r="BI621" s="1145"/>
      <c r="BJ621" s="1146"/>
      <c r="BK621" s="1144">
        <f>SUM(BK617:BO620)</f>
        <v>1</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2.75">
      <c r="B622" s="84" t="s">
        <v>841</v>
      </c>
      <c r="C622" s="1132" t="s">
        <v>1775</v>
      </c>
      <c r="D622" s="1132"/>
      <c r="E622" s="1132"/>
      <c r="F622" s="1132"/>
      <c r="G622" s="1132"/>
      <c r="H622" s="1132"/>
      <c r="I622" s="1132"/>
      <c r="J622" s="1132"/>
      <c r="K622" s="1132"/>
      <c r="L622" s="1132"/>
      <c r="M622" s="1132"/>
      <c r="N622" s="1132"/>
      <c r="O622" s="1435"/>
      <c r="P622" s="1434" t="s">
        <v>266</v>
      </c>
      <c r="Q622" s="1232"/>
      <c r="R622" s="1233"/>
      <c r="S622" s="1228">
        <v>0</v>
      </c>
      <c r="T622" s="1229"/>
      <c r="U622" s="1230"/>
      <c r="V622" s="1231"/>
      <c r="W622" s="1232"/>
      <c r="X622" s="1232"/>
      <c r="Y622" s="1232"/>
      <c r="Z622" s="1232"/>
      <c r="AA622" s="1233"/>
      <c r="AB622" s="1235"/>
      <c r="AC622" s="1235"/>
      <c r="AD622" s="1235"/>
      <c r="AE622" s="1235"/>
      <c r="AF622" s="1235"/>
      <c r="AG622" s="1235">
        <v>2803413</v>
      </c>
      <c r="AH622" s="1235"/>
      <c r="AI622" s="1235"/>
      <c r="AJ622" s="1235"/>
      <c r="AK622" s="123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32" t="str">
        <f>C551</f>
        <v>GP Equity</v>
      </c>
      <c r="D623" s="1132"/>
      <c r="E623" s="1132"/>
      <c r="F623" s="1132"/>
      <c r="G623" s="1132"/>
      <c r="H623" s="1132"/>
      <c r="I623" s="1132"/>
      <c r="J623" s="1132"/>
      <c r="K623" s="1132"/>
      <c r="L623" s="1132"/>
      <c r="M623" s="1132"/>
      <c r="N623" s="1132"/>
      <c r="O623" s="1435"/>
      <c r="P623" s="1231"/>
      <c r="Q623" s="1232"/>
      <c r="R623" s="1233"/>
      <c r="S623" s="1228"/>
      <c r="T623" s="1229"/>
      <c r="U623" s="1230"/>
      <c r="V623" s="1231"/>
      <c r="W623" s="1232"/>
      <c r="X623" s="1232"/>
      <c r="Y623" s="1232"/>
      <c r="Z623" s="1232"/>
      <c r="AA623" s="1233"/>
      <c r="AB623" s="1235"/>
      <c r="AC623" s="1235"/>
      <c r="AD623" s="1235"/>
      <c r="AE623" s="1235"/>
      <c r="AF623" s="1235"/>
      <c r="AG623" s="1235">
        <v>100</v>
      </c>
      <c r="AH623" s="1235"/>
      <c r="AI623" s="1235"/>
      <c r="AJ623" s="1235"/>
      <c r="AK623" s="1235"/>
      <c r="AL623" s="58"/>
      <c r="AM623" s="61"/>
      <c r="AN623" s="61"/>
      <c r="AO623" s="61"/>
      <c r="AP623" s="61"/>
      <c r="AQ623" s="61"/>
      <c r="AR623" s="61"/>
      <c r="AS623" s="61"/>
      <c r="AT623" s="61"/>
      <c r="AU623" s="61"/>
      <c r="AV623" s="61"/>
      <c r="AW623" s="61"/>
      <c r="AX623" s="61"/>
      <c r="AY623" s="61"/>
      <c r="AZ623" s="61"/>
      <c r="BA623" s="1141">
        <f t="shared" ref="BA623:BA632" si="16">IF(J768="SRO/Studio",O768,0)</f>
        <v>0</v>
      </c>
      <c r="BB623" s="1142"/>
      <c r="BC623" s="1142"/>
      <c r="BD623" s="1142"/>
      <c r="BE623" s="1143"/>
      <c r="BF623" s="1207">
        <f t="shared" ref="BF623:BF632" si="17">IF(J768="1 Bedroom",O768,0)</f>
        <v>0</v>
      </c>
      <c r="BG623" s="1207"/>
      <c r="BH623" s="1207"/>
      <c r="BI623" s="1207"/>
      <c r="BJ623" s="1207"/>
      <c r="BK623" s="1207">
        <f t="shared" ref="BK623:BK632" si="18">IF(J768="2 Bedrooms",O768,0)</f>
        <v>0</v>
      </c>
      <c r="BL623" s="1207"/>
      <c r="BM623" s="1207"/>
      <c r="BN623" s="1207"/>
      <c r="BO623" s="1207"/>
      <c r="BP623" s="1207">
        <f t="shared" ref="BP623:BP632" si="19">IF(J768="3 Bedrooms",O768,0)</f>
        <v>0</v>
      </c>
      <c r="BQ623" s="1207"/>
      <c r="BR623" s="1207"/>
      <c r="BS623" s="1207"/>
      <c r="BT623" s="1207"/>
      <c r="BU623" s="1207">
        <f t="shared" ref="BU623:BU632" si="20">IF(J768="4 Bedrooms",O768,0)</f>
        <v>0</v>
      </c>
      <c r="BV623" s="1207"/>
      <c r="BW623" s="1207"/>
      <c r="BX623" s="1207"/>
      <c r="BY623" s="1207"/>
      <c r="BZ623" s="1207">
        <f t="shared" ref="BZ623:BZ632" si="21">IF(J768="5 Bedrooms",O768,0)</f>
        <v>0</v>
      </c>
      <c r="CA623" s="1207"/>
      <c r="CB623" s="1207"/>
      <c r="CC623" s="1207"/>
      <c r="CD623" s="1207"/>
      <c r="CE623" s="58"/>
      <c r="CF623" s="58"/>
      <c r="CG623" s="58"/>
      <c r="CH623" s="58"/>
      <c r="CI623" s="58"/>
      <c r="CJ623" s="58"/>
      <c r="CK623" s="58"/>
      <c r="CL623" s="58"/>
      <c r="CM623" s="58"/>
      <c r="CN623" s="58"/>
      <c r="CO623" s="58"/>
      <c r="CP623" s="58"/>
      <c r="CQ623" s="58"/>
      <c r="CR623" s="58"/>
    </row>
    <row r="624" spans="1:112" ht="12.75">
      <c r="B624" s="84" t="s">
        <v>500</v>
      </c>
      <c r="C624" s="1132" t="s">
        <v>266</v>
      </c>
      <c r="D624" s="1132"/>
      <c r="E624" s="1132"/>
      <c r="F624" s="1132"/>
      <c r="G624" s="1132"/>
      <c r="H624" s="1132"/>
      <c r="I624" s="1132"/>
      <c r="J624" s="1132"/>
      <c r="K624" s="1132"/>
      <c r="L624" s="1132"/>
      <c r="M624" s="1132"/>
      <c r="N624" s="1132"/>
      <c r="O624" s="1435"/>
      <c r="P624" s="1434" t="s">
        <v>266</v>
      </c>
      <c r="Q624" s="1232"/>
      <c r="R624" s="1233"/>
      <c r="S624" s="1437" t="s">
        <v>266</v>
      </c>
      <c r="T624" s="1229"/>
      <c r="U624" s="1230"/>
      <c r="V624" s="1231"/>
      <c r="W624" s="1232"/>
      <c r="X624" s="1232"/>
      <c r="Y624" s="1232"/>
      <c r="Z624" s="1232"/>
      <c r="AA624" s="1233"/>
      <c r="AB624" s="1235"/>
      <c r="AC624" s="1235"/>
      <c r="AD624" s="1235"/>
      <c r="AE624" s="1235"/>
      <c r="AF624" s="1235"/>
      <c r="AG624" s="1415">
        <v>0</v>
      </c>
      <c r="AH624" s="1235"/>
      <c r="AI624" s="1235"/>
      <c r="AJ624" s="1235"/>
      <c r="AK624" s="1235"/>
      <c r="AL624" s="58"/>
      <c r="AM624" s="61"/>
      <c r="AN624" s="61"/>
      <c r="AO624" s="61"/>
      <c r="AP624" s="61"/>
      <c r="AQ624" s="61"/>
      <c r="AR624" s="61"/>
      <c r="AS624" s="61"/>
      <c r="AT624" s="61"/>
      <c r="AU624" s="61"/>
      <c r="AV624" s="61"/>
      <c r="AW624" s="61"/>
      <c r="AX624" s="61"/>
      <c r="AY624" s="61"/>
      <c r="AZ624" s="61"/>
      <c r="BA624" s="1141">
        <f t="shared" si="16"/>
        <v>0</v>
      </c>
      <c r="BB624" s="1142"/>
      <c r="BC624" s="1142"/>
      <c r="BD624" s="1142"/>
      <c r="BE624" s="1143"/>
      <c r="BF624" s="1207">
        <f t="shared" si="17"/>
        <v>0</v>
      </c>
      <c r="BG624" s="1207"/>
      <c r="BH624" s="1207"/>
      <c r="BI624" s="1207"/>
      <c r="BJ624" s="1207"/>
      <c r="BK624" s="1207">
        <f t="shared" si="18"/>
        <v>0</v>
      </c>
      <c r="BL624" s="1207"/>
      <c r="BM624" s="1207"/>
      <c r="BN624" s="1207"/>
      <c r="BO624" s="1207"/>
      <c r="BP624" s="1207">
        <f t="shared" si="19"/>
        <v>0</v>
      </c>
      <c r="BQ624" s="1207"/>
      <c r="BR624" s="1207"/>
      <c r="BS624" s="1207"/>
      <c r="BT624" s="1207"/>
      <c r="BU624" s="1207">
        <f t="shared" si="20"/>
        <v>0</v>
      </c>
      <c r="BV624" s="1207"/>
      <c r="BW624" s="1207"/>
      <c r="BX624" s="1207"/>
      <c r="BY624" s="1207"/>
      <c r="BZ624" s="1207">
        <f t="shared" si="21"/>
        <v>0</v>
      </c>
      <c r="CA624" s="1207"/>
      <c r="CB624" s="1207"/>
      <c r="CC624" s="1207"/>
      <c r="CD624" s="1207"/>
      <c r="CE624" s="58"/>
      <c r="CF624" s="58"/>
      <c r="CG624" s="58"/>
      <c r="CH624" s="58"/>
      <c r="CI624" s="58"/>
      <c r="CJ624" s="58"/>
      <c r="CK624" s="58"/>
      <c r="CL624" s="58"/>
      <c r="CM624" s="58"/>
      <c r="CN624" s="58"/>
      <c r="CO624" s="58"/>
      <c r="CP624" s="58"/>
      <c r="CQ624" s="58"/>
      <c r="CR624" s="58"/>
    </row>
    <row r="625" spans="1:96" ht="12.75">
      <c r="B625" s="84" t="s">
        <v>501</v>
      </c>
      <c r="C625" s="1436"/>
      <c r="D625" s="1110"/>
      <c r="E625" s="1110"/>
      <c r="F625" s="1110"/>
      <c r="G625" s="1110"/>
      <c r="H625" s="1110"/>
      <c r="I625" s="1110"/>
      <c r="J625" s="1110"/>
      <c r="K625" s="1110"/>
      <c r="L625" s="1110"/>
      <c r="M625" s="1110"/>
      <c r="N625" s="1110"/>
      <c r="O625" s="1234"/>
      <c r="P625" s="1231"/>
      <c r="Q625" s="1232"/>
      <c r="R625" s="1233"/>
      <c r="S625" s="1228"/>
      <c r="T625" s="1229"/>
      <c r="U625" s="1230"/>
      <c r="V625" s="1231"/>
      <c r="W625" s="1232"/>
      <c r="X625" s="1232"/>
      <c r="Y625" s="1232"/>
      <c r="Z625" s="1232"/>
      <c r="AA625" s="1233"/>
      <c r="AB625" s="1235"/>
      <c r="AC625" s="1235"/>
      <c r="AD625" s="1235"/>
      <c r="AE625" s="1235"/>
      <c r="AF625" s="1235"/>
      <c r="AG625" s="1235"/>
      <c r="AH625" s="1235"/>
      <c r="AI625" s="1235"/>
      <c r="AJ625" s="1235"/>
      <c r="AK625" s="1235"/>
      <c r="AL625" s="58"/>
      <c r="AM625" s="61"/>
      <c r="AN625" s="61"/>
      <c r="AO625" s="61"/>
      <c r="AP625" s="61"/>
      <c r="AQ625" s="61"/>
      <c r="AR625" s="61"/>
      <c r="AS625" s="61"/>
      <c r="AT625" s="61"/>
      <c r="AU625" s="61"/>
      <c r="AV625" s="61"/>
      <c r="AW625" s="61"/>
      <c r="AX625" s="61"/>
      <c r="AY625" s="61"/>
      <c r="AZ625" s="61"/>
      <c r="BA625" s="1141">
        <f t="shared" si="16"/>
        <v>0</v>
      </c>
      <c r="BB625" s="1142"/>
      <c r="BC625" s="1142"/>
      <c r="BD625" s="1142"/>
      <c r="BE625" s="1143"/>
      <c r="BF625" s="1207">
        <f t="shared" si="17"/>
        <v>0</v>
      </c>
      <c r="BG625" s="1207"/>
      <c r="BH625" s="1207"/>
      <c r="BI625" s="1207"/>
      <c r="BJ625" s="1207"/>
      <c r="BK625" s="1207">
        <f t="shared" si="18"/>
        <v>0</v>
      </c>
      <c r="BL625" s="1207"/>
      <c r="BM625" s="1207"/>
      <c r="BN625" s="1207"/>
      <c r="BO625" s="1207"/>
      <c r="BP625" s="1207">
        <f t="shared" si="19"/>
        <v>0</v>
      </c>
      <c r="BQ625" s="1207"/>
      <c r="BR625" s="1207"/>
      <c r="BS625" s="1207"/>
      <c r="BT625" s="1207"/>
      <c r="BU625" s="1207">
        <f t="shared" si="20"/>
        <v>0</v>
      </c>
      <c r="BV625" s="1207"/>
      <c r="BW625" s="1207"/>
      <c r="BX625" s="1207"/>
      <c r="BY625" s="1207"/>
      <c r="BZ625" s="1207">
        <f t="shared" si="21"/>
        <v>0</v>
      </c>
      <c r="CA625" s="1207"/>
      <c r="CB625" s="1207"/>
      <c r="CC625" s="1207"/>
      <c r="CD625" s="1207"/>
      <c r="CE625" s="58"/>
      <c r="CF625" s="58"/>
      <c r="CG625" s="58"/>
      <c r="CH625" s="58"/>
      <c r="CI625" s="58"/>
      <c r="CJ625" s="58"/>
      <c r="CK625" s="58"/>
      <c r="CL625" s="58"/>
      <c r="CM625" s="58"/>
      <c r="CN625" s="58"/>
      <c r="CO625" s="58"/>
      <c r="CP625" s="58"/>
      <c r="CQ625" s="58"/>
      <c r="CR625" s="58"/>
    </row>
    <row r="626" spans="1:96" ht="12.75">
      <c r="B626" s="84" t="s">
        <v>507</v>
      </c>
      <c r="C626" s="1110"/>
      <c r="D626" s="1110"/>
      <c r="E626" s="1110"/>
      <c r="F626" s="1110"/>
      <c r="G626" s="1110"/>
      <c r="H626" s="1110"/>
      <c r="I626" s="1110"/>
      <c r="J626" s="1110"/>
      <c r="K626" s="1110"/>
      <c r="L626" s="1110"/>
      <c r="M626" s="1110"/>
      <c r="N626" s="1110"/>
      <c r="O626" s="1234"/>
      <c r="P626" s="1231"/>
      <c r="Q626" s="1232"/>
      <c r="R626" s="1233"/>
      <c r="S626" s="1228"/>
      <c r="T626" s="1229"/>
      <c r="U626" s="1230"/>
      <c r="V626" s="1231"/>
      <c r="W626" s="1232"/>
      <c r="X626" s="1232"/>
      <c r="Y626" s="1232"/>
      <c r="Z626" s="1232"/>
      <c r="AA626" s="1233"/>
      <c r="AB626" s="1235"/>
      <c r="AC626" s="1235"/>
      <c r="AD626" s="1235"/>
      <c r="AE626" s="1235"/>
      <c r="AF626" s="1235"/>
      <c r="AG626" s="1235"/>
      <c r="AH626" s="1235"/>
      <c r="AI626" s="1235"/>
      <c r="AJ626" s="1235"/>
      <c r="AK626" s="1235"/>
      <c r="AL626" s="58"/>
      <c r="AM626" s="58"/>
      <c r="AN626" s="58"/>
      <c r="AO626" s="58"/>
      <c r="AP626" s="58"/>
      <c r="AQ626" s="58"/>
      <c r="AR626" s="58"/>
      <c r="AS626" s="58"/>
      <c r="AT626" s="58"/>
      <c r="AU626" s="58"/>
      <c r="AV626" s="58"/>
      <c r="AW626" s="58"/>
      <c r="AX626" s="58"/>
      <c r="AY626" s="58"/>
      <c r="AZ626" s="58"/>
      <c r="BA626" s="1141">
        <f t="shared" si="16"/>
        <v>0</v>
      </c>
      <c r="BB626" s="1142"/>
      <c r="BC626" s="1142"/>
      <c r="BD626" s="1142"/>
      <c r="BE626" s="1143"/>
      <c r="BF626" s="1207">
        <f t="shared" si="17"/>
        <v>0</v>
      </c>
      <c r="BG626" s="1207"/>
      <c r="BH626" s="1207"/>
      <c r="BI626" s="1207"/>
      <c r="BJ626" s="1207"/>
      <c r="BK626" s="1207">
        <f t="shared" si="18"/>
        <v>0</v>
      </c>
      <c r="BL626" s="1207"/>
      <c r="BM626" s="1207"/>
      <c r="BN626" s="1207"/>
      <c r="BO626" s="1207"/>
      <c r="BP626" s="1207">
        <f t="shared" si="19"/>
        <v>0</v>
      </c>
      <c r="BQ626" s="1207"/>
      <c r="BR626" s="1207"/>
      <c r="BS626" s="1207"/>
      <c r="BT626" s="1207"/>
      <c r="BU626" s="1207">
        <f t="shared" si="20"/>
        <v>0</v>
      </c>
      <c r="BV626" s="1207"/>
      <c r="BW626" s="1207"/>
      <c r="BX626" s="1207"/>
      <c r="BY626" s="1207"/>
      <c r="BZ626" s="1207">
        <f t="shared" si="21"/>
        <v>0</v>
      </c>
      <c r="CA626" s="1207"/>
      <c r="CB626" s="1207"/>
      <c r="CC626" s="1207"/>
      <c r="CD626" s="1207"/>
      <c r="CE626" s="58"/>
      <c r="CF626" s="58"/>
      <c r="CG626" s="58"/>
      <c r="CH626" s="58"/>
      <c r="CI626" s="58"/>
      <c r="CJ626" s="58"/>
      <c r="CK626" s="58"/>
      <c r="CL626" s="58"/>
      <c r="CM626" s="58"/>
      <c r="CN626" s="58"/>
      <c r="CO626" s="58"/>
      <c r="CP626" s="58"/>
      <c r="CQ626" s="58"/>
      <c r="CR626" s="58"/>
    </row>
    <row r="627" spans="1:96" ht="12.75">
      <c r="B627" s="84" t="s">
        <v>696</v>
      </c>
      <c r="C627" s="1110"/>
      <c r="D627" s="1110"/>
      <c r="E627" s="1110"/>
      <c r="F627" s="1110"/>
      <c r="G627" s="1110"/>
      <c r="H627" s="1110"/>
      <c r="I627" s="1110"/>
      <c r="J627" s="1110"/>
      <c r="K627" s="1110"/>
      <c r="L627" s="1110"/>
      <c r="M627" s="1110"/>
      <c r="N627" s="1110"/>
      <c r="O627" s="1234"/>
      <c r="P627" s="1231"/>
      <c r="Q627" s="1232"/>
      <c r="R627" s="1233"/>
      <c r="S627" s="1228"/>
      <c r="T627" s="1229"/>
      <c r="U627" s="1230"/>
      <c r="V627" s="1231"/>
      <c r="W627" s="1232"/>
      <c r="X627" s="1232"/>
      <c r="Y627" s="1232"/>
      <c r="Z627" s="1232"/>
      <c r="AA627" s="1233"/>
      <c r="AB627" s="1235"/>
      <c r="AC627" s="1235"/>
      <c r="AD627" s="1235"/>
      <c r="AE627" s="1235"/>
      <c r="AF627" s="1235"/>
      <c r="AG627" s="1235"/>
      <c r="AH627" s="1235"/>
      <c r="AI627" s="1235"/>
      <c r="AJ627" s="1235"/>
      <c r="AK627" s="1235"/>
      <c r="AL627" s="58"/>
      <c r="AM627" s="58"/>
      <c r="AN627" s="58"/>
      <c r="AO627" s="58"/>
      <c r="AP627" s="58"/>
      <c r="AQ627" s="58"/>
      <c r="AR627" s="58"/>
      <c r="AS627" s="58"/>
      <c r="AT627" s="58"/>
      <c r="AU627" s="58"/>
      <c r="AV627" s="58"/>
      <c r="AW627" s="58"/>
      <c r="AX627" s="58"/>
      <c r="AY627" s="58"/>
      <c r="AZ627" s="58"/>
      <c r="BA627" s="1141">
        <f t="shared" si="16"/>
        <v>0</v>
      </c>
      <c r="BB627" s="1142"/>
      <c r="BC627" s="1142"/>
      <c r="BD627" s="1142"/>
      <c r="BE627" s="1143"/>
      <c r="BF627" s="1207">
        <f t="shared" si="17"/>
        <v>0</v>
      </c>
      <c r="BG627" s="1207"/>
      <c r="BH627" s="1207"/>
      <c r="BI627" s="1207"/>
      <c r="BJ627" s="1207"/>
      <c r="BK627" s="1207">
        <f t="shared" si="18"/>
        <v>0</v>
      </c>
      <c r="BL627" s="1207"/>
      <c r="BM627" s="1207"/>
      <c r="BN627" s="1207"/>
      <c r="BO627" s="1207"/>
      <c r="BP627" s="1207">
        <f t="shared" si="19"/>
        <v>0</v>
      </c>
      <c r="BQ627" s="1207"/>
      <c r="BR627" s="1207"/>
      <c r="BS627" s="1207"/>
      <c r="BT627" s="1207"/>
      <c r="BU627" s="1207">
        <f t="shared" si="20"/>
        <v>0</v>
      </c>
      <c r="BV627" s="1207"/>
      <c r="BW627" s="1207"/>
      <c r="BX627" s="1207"/>
      <c r="BY627" s="1207"/>
      <c r="BZ627" s="1207">
        <f t="shared" si="21"/>
        <v>0</v>
      </c>
      <c r="CA627" s="1207"/>
      <c r="CB627" s="1207"/>
      <c r="CC627" s="1207"/>
      <c r="CD627" s="1207"/>
      <c r="CE627" s="58"/>
      <c r="CF627" s="58"/>
      <c r="CG627" s="58"/>
      <c r="CH627" s="58"/>
      <c r="CI627" s="58"/>
      <c r="CJ627" s="58"/>
      <c r="CK627" s="58"/>
      <c r="CL627" s="58"/>
      <c r="CM627" s="58"/>
      <c r="CN627" s="58"/>
      <c r="CO627" s="58"/>
      <c r="CP627" s="58"/>
      <c r="CQ627" s="58"/>
      <c r="CR627" s="58"/>
    </row>
    <row r="628" spans="1:96" ht="12.75">
      <c r="B628" s="84" t="s">
        <v>386</v>
      </c>
      <c r="C628" s="1110"/>
      <c r="D628" s="1110"/>
      <c r="E628" s="1110"/>
      <c r="F628" s="1110"/>
      <c r="G628" s="1110"/>
      <c r="H628" s="1110"/>
      <c r="I628" s="1110"/>
      <c r="J628" s="1110"/>
      <c r="K628" s="1110"/>
      <c r="L628" s="1110"/>
      <c r="M628" s="1110"/>
      <c r="N628" s="1110"/>
      <c r="O628" s="1234"/>
      <c r="P628" s="1231"/>
      <c r="Q628" s="1232"/>
      <c r="R628" s="1233"/>
      <c r="S628" s="1228"/>
      <c r="T628" s="1229"/>
      <c r="U628" s="1230"/>
      <c r="V628" s="1231"/>
      <c r="W628" s="1232"/>
      <c r="X628" s="1232"/>
      <c r="Y628" s="1232"/>
      <c r="Z628" s="1232"/>
      <c r="AA628" s="1233"/>
      <c r="AB628" s="1235"/>
      <c r="AC628" s="1235"/>
      <c r="AD628" s="1235"/>
      <c r="AE628" s="1235"/>
      <c r="AF628" s="1235"/>
      <c r="AG628" s="1235"/>
      <c r="AH628" s="1235"/>
      <c r="AI628" s="1235"/>
      <c r="AJ628" s="1235"/>
      <c r="AK628" s="1235"/>
      <c r="AL628" s="58"/>
      <c r="AM628" s="58"/>
      <c r="AN628" s="58"/>
      <c r="AO628" s="58"/>
      <c r="AP628" s="58"/>
      <c r="AQ628" s="58"/>
      <c r="AR628" s="58"/>
      <c r="AS628" s="58"/>
      <c r="AT628" s="58"/>
      <c r="AU628" s="58"/>
      <c r="AV628" s="58"/>
      <c r="AW628" s="58"/>
      <c r="AX628" s="58"/>
      <c r="AY628" s="58"/>
      <c r="AZ628" s="58"/>
      <c r="BA628" s="1141">
        <f t="shared" si="16"/>
        <v>0</v>
      </c>
      <c r="BB628" s="1142"/>
      <c r="BC628" s="1142"/>
      <c r="BD628" s="1142"/>
      <c r="BE628" s="1143"/>
      <c r="BF628" s="1207">
        <f t="shared" si="17"/>
        <v>0</v>
      </c>
      <c r="BG628" s="1207"/>
      <c r="BH628" s="1207"/>
      <c r="BI628" s="1207"/>
      <c r="BJ628" s="1207"/>
      <c r="BK628" s="1207">
        <f t="shared" si="18"/>
        <v>0</v>
      </c>
      <c r="BL628" s="1207"/>
      <c r="BM628" s="1207"/>
      <c r="BN628" s="1207"/>
      <c r="BO628" s="1207"/>
      <c r="BP628" s="1207">
        <f t="shared" si="19"/>
        <v>0</v>
      </c>
      <c r="BQ628" s="1207"/>
      <c r="BR628" s="1207"/>
      <c r="BS628" s="1207"/>
      <c r="BT628" s="1207"/>
      <c r="BU628" s="1207">
        <f t="shared" si="20"/>
        <v>0</v>
      </c>
      <c r="BV628" s="1207"/>
      <c r="BW628" s="1207"/>
      <c r="BX628" s="1207"/>
      <c r="BY628" s="1207"/>
      <c r="BZ628" s="1207">
        <f t="shared" si="21"/>
        <v>0</v>
      </c>
      <c r="CA628" s="1207"/>
      <c r="CB628" s="1207"/>
      <c r="CC628" s="1207"/>
      <c r="CD628" s="1207"/>
      <c r="CE628" s="58"/>
      <c r="CF628" s="58"/>
      <c r="CG628" s="58"/>
      <c r="CH628" s="58"/>
      <c r="CI628" s="58"/>
      <c r="CJ628" s="58"/>
      <c r="CK628" s="58"/>
      <c r="CL628" s="58"/>
      <c r="CM628" s="58"/>
      <c r="CN628" s="58"/>
      <c r="CO628" s="58"/>
      <c r="CP628" s="58"/>
      <c r="CQ628" s="58"/>
      <c r="CR628" s="58"/>
    </row>
    <row r="629" spans="1:96" ht="12.75" customHeight="1">
      <c r="B629" s="84" t="s">
        <v>387</v>
      </c>
      <c r="C629" s="1132"/>
      <c r="D629" s="1110"/>
      <c r="E629" s="1110"/>
      <c r="F629" s="1110"/>
      <c r="G629" s="1110"/>
      <c r="H629" s="1110"/>
      <c r="I629" s="1110"/>
      <c r="J629" s="1110"/>
      <c r="K629" s="1110"/>
      <c r="L629" s="1110"/>
      <c r="M629" s="1110"/>
      <c r="N629" s="1110"/>
      <c r="O629" s="1234"/>
      <c r="P629" s="1231"/>
      <c r="Q629" s="1232"/>
      <c r="R629" s="1233"/>
      <c r="S629" s="1228"/>
      <c r="T629" s="1229"/>
      <c r="U629" s="1230"/>
      <c r="V629" s="1231"/>
      <c r="W629" s="1232"/>
      <c r="X629" s="1232"/>
      <c r="Y629" s="1232"/>
      <c r="Z629" s="1232"/>
      <c r="AA629" s="1233"/>
      <c r="AB629" s="1235"/>
      <c r="AC629" s="1235"/>
      <c r="AD629" s="1235"/>
      <c r="AE629" s="1235"/>
      <c r="AF629" s="1235"/>
      <c r="AG629" s="1235"/>
      <c r="AH629" s="1235"/>
      <c r="AI629" s="1235"/>
      <c r="AJ629" s="1235"/>
      <c r="AK629" s="1235"/>
      <c r="AL629" s="58"/>
      <c r="AM629" s="61"/>
      <c r="AN629" s="61"/>
      <c r="AO629" s="61"/>
      <c r="AP629" s="61"/>
      <c r="AQ629" s="61"/>
      <c r="AR629" s="61"/>
      <c r="AS629" s="61"/>
      <c r="AT629" s="61"/>
      <c r="AU629" s="61"/>
      <c r="AV629" s="61"/>
      <c r="AW629" s="61"/>
      <c r="AX629" s="61"/>
      <c r="AY629" s="61"/>
      <c r="AZ629" s="61"/>
      <c r="BA629" s="1141">
        <f t="shared" si="16"/>
        <v>0</v>
      </c>
      <c r="BB629" s="1142"/>
      <c r="BC629" s="1142"/>
      <c r="BD629" s="1142"/>
      <c r="BE629" s="1143"/>
      <c r="BF629" s="1207">
        <f t="shared" si="17"/>
        <v>0</v>
      </c>
      <c r="BG629" s="1207"/>
      <c r="BH629" s="1207"/>
      <c r="BI629" s="1207"/>
      <c r="BJ629" s="1207"/>
      <c r="BK629" s="1207">
        <f t="shared" si="18"/>
        <v>0</v>
      </c>
      <c r="BL629" s="1207"/>
      <c r="BM629" s="1207"/>
      <c r="BN629" s="1207"/>
      <c r="BO629" s="1207"/>
      <c r="BP629" s="1207">
        <f t="shared" si="19"/>
        <v>0</v>
      </c>
      <c r="BQ629" s="1207"/>
      <c r="BR629" s="1207"/>
      <c r="BS629" s="1207"/>
      <c r="BT629" s="1207"/>
      <c r="BU629" s="1207">
        <f t="shared" si="20"/>
        <v>0</v>
      </c>
      <c r="BV629" s="1207"/>
      <c r="BW629" s="1207"/>
      <c r="BX629" s="1207"/>
      <c r="BY629" s="1207"/>
      <c r="BZ629" s="1207">
        <f t="shared" si="21"/>
        <v>0</v>
      </c>
      <c r="CA629" s="1207"/>
      <c r="CB629" s="1207"/>
      <c r="CC629" s="1207"/>
      <c r="CD629" s="1207"/>
      <c r="CE629" s="58"/>
      <c r="CF629" s="58"/>
      <c r="CG629" s="58"/>
      <c r="CH629" s="58"/>
      <c r="CI629" s="58"/>
      <c r="CJ629" s="58"/>
      <c r="CK629" s="58"/>
      <c r="CL629" s="58"/>
      <c r="CM629" s="58"/>
      <c r="CN629" s="58"/>
      <c r="CO629" s="58"/>
      <c r="CP629" s="58"/>
      <c r="CQ629" s="58"/>
      <c r="CR629" s="58"/>
    </row>
    <row r="630" spans="1:96" ht="12.75" customHeight="1">
      <c r="B630" s="1140" t="s">
        <v>135</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216">
        <f>SUM(AG618:AJ629)</f>
        <v>32193845</v>
      </c>
      <c r="AH630" s="1217"/>
      <c r="AI630" s="1217"/>
      <c r="AJ630" s="1217"/>
      <c r="AK630" s="1218"/>
      <c r="AM630" s="61"/>
      <c r="AN630" s="61"/>
      <c r="AO630" s="61"/>
      <c r="AP630" s="61"/>
      <c r="AQ630" s="61"/>
      <c r="AR630" s="61"/>
      <c r="AS630" s="61"/>
      <c r="AT630" s="61"/>
      <c r="AU630" s="61"/>
      <c r="AV630" s="61"/>
      <c r="AW630" s="61"/>
      <c r="AX630" s="61"/>
      <c r="AY630" s="61"/>
      <c r="AZ630" s="61"/>
      <c r="BA630" s="1141">
        <f t="shared" si="16"/>
        <v>0</v>
      </c>
      <c r="BB630" s="1142"/>
      <c r="BC630" s="1142"/>
      <c r="BD630" s="1142"/>
      <c r="BE630" s="1143"/>
      <c r="BF630" s="1207">
        <f t="shared" si="17"/>
        <v>0</v>
      </c>
      <c r="BG630" s="1207"/>
      <c r="BH630" s="1207"/>
      <c r="BI630" s="1207"/>
      <c r="BJ630" s="1207"/>
      <c r="BK630" s="1207">
        <f t="shared" si="18"/>
        <v>0</v>
      </c>
      <c r="BL630" s="1207"/>
      <c r="BM630" s="1207"/>
      <c r="BN630" s="1207"/>
      <c r="BO630" s="1207"/>
      <c r="BP630" s="1207">
        <f t="shared" si="19"/>
        <v>0</v>
      </c>
      <c r="BQ630" s="1207"/>
      <c r="BR630" s="1207"/>
      <c r="BS630" s="1207"/>
      <c r="BT630" s="1207"/>
      <c r="BU630" s="1207">
        <f t="shared" si="20"/>
        <v>0</v>
      </c>
      <c r="BV630" s="1207"/>
      <c r="BW630" s="1207"/>
      <c r="BX630" s="1207"/>
      <c r="BY630" s="1207"/>
      <c r="BZ630" s="1207">
        <f t="shared" si="21"/>
        <v>0</v>
      </c>
      <c r="CA630" s="1207"/>
      <c r="CB630" s="1207"/>
      <c r="CC630" s="1207"/>
      <c r="CD630" s="1207"/>
      <c r="CE630" s="58"/>
      <c r="CF630" s="58"/>
      <c r="CG630" s="58"/>
      <c r="CH630" s="58"/>
      <c r="CI630" s="58"/>
      <c r="CJ630" s="58"/>
      <c r="CK630" s="58"/>
      <c r="CL630" s="58"/>
      <c r="CM630" s="58"/>
      <c r="CN630" s="58"/>
      <c r="CO630" s="58"/>
      <c r="CP630" s="58"/>
      <c r="CQ630" s="58"/>
      <c r="CR630" s="58"/>
    </row>
    <row r="631" spans="1:96" ht="12.75">
      <c r="B631" s="1140" t="s">
        <v>283</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9">
        <v>15397770</v>
      </c>
      <c r="AH631" s="1150"/>
      <c r="AI631" s="1150"/>
      <c r="AJ631" s="1150"/>
      <c r="AK631" s="1151"/>
      <c r="AM631" s="61"/>
      <c r="AN631" s="61"/>
      <c r="AO631" s="61"/>
      <c r="AP631" s="61"/>
      <c r="AQ631" s="61"/>
      <c r="AR631" s="61"/>
      <c r="AS631" s="61"/>
      <c r="AT631" s="61"/>
      <c r="AU631" s="61"/>
      <c r="AV631" s="61"/>
      <c r="AW631" s="61"/>
      <c r="AX631" s="61"/>
      <c r="AY631" s="61"/>
      <c r="AZ631" s="61"/>
      <c r="BA631" s="1141">
        <f t="shared" si="16"/>
        <v>0</v>
      </c>
      <c r="BB631" s="1142"/>
      <c r="BC631" s="1142"/>
      <c r="BD631" s="1142"/>
      <c r="BE631" s="1143"/>
      <c r="BF631" s="1207">
        <f t="shared" si="17"/>
        <v>0</v>
      </c>
      <c r="BG631" s="1207"/>
      <c r="BH631" s="1207"/>
      <c r="BI631" s="1207"/>
      <c r="BJ631" s="1207"/>
      <c r="BK631" s="1207">
        <f t="shared" si="18"/>
        <v>0</v>
      </c>
      <c r="BL631" s="1207"/>
      <c r="BM631" s="1207"/>
      <c r="BN631" s="1207"/>
      <c r="BO631" s="1207"/>
      <c r="BP631" s="1207">
        <f t="shared" si="19"/>
        <v>0</v>
      </c>
      <c r="BQ631" s="1207"/>
      <c r="BR631" s="1207"/>
      <c r="BS631" s="1207"/>
      <c r="BT631" s="1207"/>
      <c r="BU631" s="1207">
        <f t="shared" si="20"/>
        <v>0</v>
      </c>
      <c r="BV631" s="1207"/>
      <c r="BW631" s="1207"/>
      <c r="BX631" s="1207"/>
      <c r="BY631" s="1207"/>
      <c r="BZ631" s="1207">
        <f t="shared" si="21"/>
        <v>0</v>
      </c>
      <c r="CA631" s="1207"/>
      <c r="CB631" s="1207"/>
      <c r="CC631" s="1207"/>
      <c r="CD631" s="1207"/>
      <c r="CE631" s="58"/>
      <c r="CF631" s="58"/>
      <c r="CG631" s="58"/>
      <c r="CH631" s="58"/>
      <c r="CI631" s="58"/>
      <c r="CJ631" s="58"/>
      <c r="CK631" s="58"/>
      <c r="CL631" s="58"/>
      <c r="CM631" s="58"/>
      <c r="CN631" s="58"/>
      <c r="CO631" s="58"/>
      <c r="CP631" s="58"/>
      <c r="CQ631" s="58"/>
      <c r="CR631" s="58"/>
    </row>
    <row r="632" spans="1:96" ht="12.75">
      <c r="B632" s="1140" t="s">
        <v>284</v>
      </c>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c r="AA632" s="1140"/>
      <c r="AB632" s="1140"/>
      <c r="AC632" s="1140"/>
      <c r="AD632" s="1140"/>
      <c r="AE632" s="1140"/>
      <c r="AF632" s="1140"/>
      <c r="AG632" s="1216">
        <f>AG630+AG631</f>
        <v>47591615</v>
      </c>
      <c r="AH632" s="1217"/>
      <c r="AI632" s="1217"/>
      <c r="AJ632" s="1217"/>
      <c r="AK632" s="1218"/>
      <c r="AM632" s="61"/>
      <c r="AN632" s="61"/>
      <c r="AO632" s="61"/>
      <c r="AP632" s="61"/>
      <c r="AQ632" s="61"/>
      <c r="AR632" s="61"/>
      <c r="AS632" s="61"/>
      <c r="AT632" s="61"/>
      <c r="AU632" s="61"/>
      <c r="AV632" s="61"/>
      <c r="AW632" s="61"/>
      <c r="AX632" s="61"/>
      <c r="AY632" s="61"/>
      <c r="AZ632" s="61"/>
      <c r="BA632" s="1141">
        <f t="shared" si="16"/>
        <v>0</v>
      </c>
      <c r="BB632" s="1142"/>
      <c r="BC632" s="1142"/>
      <c r="BD632" s="1142"/>
      <c r="BE632" s="1143"/>
      <c r="BF632" s="1207">
        <f t="shared" si="17"/>
        <v>0</v>
      </c>
      <c r="BG632" s="1207"/>
      <c r="BH632" s="1207"/>
      <c r="BI632" s="1207"/>
      <c r="BJ632" s="1207"/>
      <c r="BK632" s="1207">
        <f t="shared" si="18"/>
        <v>0</v>
      </c>
      <c r="BL632" s="1207"/>
      <c r="BM632" s="1207"/>
      <c r="BN632" s="1207"/>
      <c r="BO632" s="1207"/>
      <c r="BP632" s="1207">
        <f t="shared" si="19"/>
        <v>0</v>
      </c>
      <c r="BQ632" s="1207"/>
      <c r="BR632" s="1207"/>
      <c r="BS632" s="1207"/>
      <c r="BT632" s="1207"/>
      <c r="BU632" s="1207">
        <f t="shared" si="20"/>
        <v>0</v>
      </c>
      <c r="BV632" s="1207"/>
      <c r="BW632" s="1207"/>
      <c r="BX632" s="1207"/>
      <c r="BY632" s="1207"/>
      <c r="BZ632" s="1207">
        <f t="shared" si="21"/>
        <v>0</v>
      </c>
      <c r="CA632" s="1207"/>
      <c r="CB632" s="1207"/>
      <c r="CC632" s="1207"/>
      <c r="CD632" s="120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2.75">
      <c r="A634" s="87" t="s">
        <v>119</v>
      </c>
      <c r="B634" s="12" t="s">
        <v>509</v>
      </c>
      <c r="G634" s="1107" t="str">
        <f>C618</f>
        <v>Citibank</v>
      </c>
      <c r="H634" s="1107"/>
      <c r="I634" s="1107"/>
      <c r="J634" s="1107"/>
      <c r="K634" s="1107"/>
      <c r="L634" s="1107"/>
      <c r="M634" s="1107"/>
      <c r="N634" s="1107"/>
      <c r="O634" s="1107"/>
      <c r="P634" s="1107"/>
      <c r="Q634" s="1107"/>
      <c r="R634" s="1107"/>
      <c r="S634" s="14"/>
      <c r="T634" s="87" t="s">
        <v>120</v>
      </c>
      <c r="U634" s="12" t="s">
        <v>509</v>
      </c>
      <c r="Z634" s="1107" t="str">
        <f>C619</f>
        <v>Los Angeles County Development Authority</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3" t="s">
        <v>1791</v>
      </c>
      <c r="H635" s="1105"/>
      <c r="I635" s="1105"/>
      <c r="J635" s="1105"/>
      <c r="K635" s="1105"/>
      <c r="L635" s="1105"/>
      <c r="M635" s="1105"/>
      <c r="N635" s="1105"/>
      <c r="O635" s="1105"/>
      <c r="P635" s="1105"/>
      <c r="Q635" s="1105"/>
      <c r="R635" s="1105"/>
      <c r="S635" s="14"/>
      <c r="T635" s="35"/>
      <c r="U635" s="12" t="s">
        <v>92</v>
      </c>
      <c r="Z635" s="1103" t="s">
        <v>1737</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4">
        <f>BA614+BA621+BA633</f>
        <v>18</v>
      </c>
      <c r="BB635" s="1145"/>
      <c r="BC635" s="1145"/>
      <c r="BD635" s="1145"/>
      <c r="BE635" s="1146"/>
      <c r="BF635" s="1144">
        <f>BF614+BF621+BF633</f>
        <v>27</v>
      </c>
      <c r="BG635" s="1145"/>
      <c r="BH635" s="1145"/>
      <c r="BI635" s="1145"/>
      <c r="BJ635" s="1146"/>
      <c r="BK635" s="1144">
        <f>BK614+BK621+BK633</f>
        <v>23</v>
      </c>
      <c r="BL635" s="1145"/>
      <c r="BM635" s="1145"/>
      <c r="BN635" s="1145"/>
      <c r="BO635" s="1146"/>
      <c r="BP635" s="1144">
        <f>BP614+BP621+BP633</f>
        <v>22</v>
      </c>
      <c r="BQ635" s="1145"/>
      <c r="BR635" s="1145"/>
      <c r="BS635" s="1145"/>
      <c r="BT635" s="1146"/>
      <c r="BU635" s="1144">
        <f>BU614+BU621+BU633</f>
        <v>0</v>
      </c>
      <c r="BV635" s="1145"/>
      <c r="BW635" s="1145"/>
      <c r="BX635" s="1145"/>
      <c r="BY635" s="1146"/>
      <c r="BZ635" s="1531">
        <f>BZ633+BZ621+BZ614</f>
        <v>0</v>
      </c>
      <c r="CA635" s="1541"/>
      <c r="CB635" s="1541"/>
      <c r="CC635" s="1541"/>
      <c r="CD635" s="1532"/>
      <c r="CE635" s="58"/>
      <c r="CF635" s="58"/>
      <c r="CG635" s="58"/>
      <c r="CH635" s="58"/>
      <c r="CI635" s="58"/>
      <c r="CJ635" s="58"/>
      <c r="CK635" s="58"/>
      <c r="CL635" s="58"/>
      <c r="CM635" s="58"/>
      <c r="CN635" s="58"/>
      <c r="CO635" s="58"/>
      <c r="CP635" s="58"/>
      <c r="CQ635" s="58"/>
      <c r="CR635" s="58"/>
    </row>
    <row r="636" spans="1:96" ht="12.75">
      <c r="A636" s="35"/>
      <c r="B636" s="12" t="s">
        <v>630</v>
      </c>
      <c r="G636" s="1103" t="s">
        <v>540</v>
      </c>
      <c r="H636" s="1105"/>
      <c r="I636" s="1105"/>
      <c r="J636" s="1105"/>
      <c r="K636" s="1105"/>
      <c r="L636" s="1105"/>
      <c r="M636" s="1105"/>
      <c r="N636" s="1105"/>
      <c r="O636" s="1105"/>
      <c r="P636" s="1105"/>
      <c r="Q636" s="1105"/>
      <c r="R636" s="1105"/>
      <c r="S636" s="88"/>
      <c r="T636" s="35"/>
      <c r="U636" s="12" t="s">
        <v>630</v>
      </c>
      <c r="Z636" s="1132" t="s">
        <v>1707</v>
      </c>
      <c r="AA636" s="1127"/>
      <c r="AB636" s="1127"/>
      <c r="AC636" s="1127"/>
      <c r="AD636" s="1127"/>
      <c r="AE636" s="1127"/>
      <c r="AF636" s="1127"/>
      <c r="AG636" s="1127"/>
      <c r="AH636" s="1127"/>
      <c r="AI636" s="1127"/>
      <c r="AJ636" s="1127"/>
      <c r="AK636" s="112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3" t="s">
        <v>1792</v>
      </c>
      <c r="H637" s="1105"/>
      <c r="I637" s="1105"/>
      <c r="J637" s="1105"/>
      <c r="K637" s="1105"/>
      <c r="L637" s="1105"/>
      <c r="M637" s="1105"/>
      <c r="N637" s="1105"/>
      <c r="O637" s="1105"/>
      <c r="P637" s="1105"/>
      <c r="Q637" s="1105"/>
      <c r="R637" s="1105"/>
      <c r="S637" s="14"/>
      <c r="T637" s="35"/>
      <c r="U637" s="12" t="s">
        <v>19</v>
      </c>
      <c r="Z637" s="1132" t="s">
        <v>1738</v>
      </c>
      <c r="AA637" s="1127"/>
      <c r="AB637" s="1127"/>
      <c r="AC637" s="1127"/>
      <c r="AD637" s="1127"/>
      <c r="AE637" s="1127"/>
      <c r="AF637" s="1127"/>
      <c r="AG637" s="1127"/>
      <c r="AH637" s="1127"/>
      <c r="AI637" s="1127"/>
      <c r="AJ637" s="1127"/>
      <c r="AK637" s="112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8" t="s">
        <v>1793</v>
      </c>
      <c r="H638" s="1108"/>
      <c r="I638" s="1108"/>
      <c r="J638" s="1108"/>
      <c r="K638" s="1108"/>
      <c r="L638" s="1108"/>
      <c r="O638" s="140" t="s">
        <v>220</v>
      </c>
      <c r="P638" s="1110"/>
      <c r="Q638" s="1110"/>
      <c r="R638" s="1110"/>
      <c r="S638" s="16"/>
      <c r="T638" s="35"/>
      <c r="U638" s="12" t="s">
        <v>338</v>
      </c>
      <c r="Z638" s="1108" t="s">
        <v>1739</v>
      </c>
      <c r="AA638" s="1109"/>
      <c r="AB638" s="1109"/>
      <c r="AC638" s="1109"/>
      <c r="AD638" s="1109"/>
      <c r="AE638" s="1109"/>
      <c r="AH638" s="140" t="s">
        <v>220</v>
      </c>
      <c r="AI638" s="1110"/>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3" t="s">
        <v>1750</v>
      </c>
      <c r="I639" s="1105"/>
      <c r="J639" s="1105"/>
      <c r="K639" s="1105"/>
      <c r="L639" s="1105"/>
      <c r="M639" s="1105"/>
      <c r="N639" s="1105"/>
      <c r="O639" s="1105"/>
      <c r="P639" s="1105"/>
      <c r="Q639" s="1105"/>
      <c r="R639" s="1105"/>
      <c r="S639" s="14"/>
      <c r="T639" s="35"/>
      <c r="U639" s="12" t="s">
        <v>20</v>
      </c>
      <c r="AA639" s="1103" t="s">
        <v>1751</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591</v>
      </c>
      <c r="O640" s="1106"/>
      <c r="T640" s="35"/>
      <c r="U640" s="12" t="s">
        <v>22</v>
      </c>
      <c r="AG640" s="1106" t="s">
        <v>591</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7" t="str">
        <f>C620</f>
        <v>HCD-AHSC</v>
      </c>
      <c r="H642" s="1107"/>
      <c r="I642" s="1107"/>
      <c r="J642" s="1107"/>
      <c r="K642" s="1107"/>
      <c r="L642" s="1107"/>
      <c r="M642" s="1107"/>
      <c r="N642" s="1107"/>
      <c r="O642" s="1107"/>
      <c r="P642" s="1107"/>
      <c r="Q642" s="1107"/>
      <c r="R642" s="1107"/>
      <c r="T642" s="87" t="s">
        <v>631</v>
      </c>
      <c r="U642" s="12" t="s">
        <v>509</v>
      </c>
      <c r="Z642" s="1107" t="str">
        <f>C621</f>
        <v>CIT Bank-AHP loan</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3" t="s">
        <v>1797</v>
      </c>
      <c r="H643" s="1105"/>
      <c r="I643" s="1105"/>
      <c r="J643" s="1105"/>
      <c r="K643" s="1105"/>
      <c r="L643" s="1105"/>
      <c r="M643" s="1105"/>
      <c r="N643" s="1105"/>
      <c r="O643" s="1105"/>
      <c r="P643" s="1105"/>
      <c r="Q643" s="1105"/>
      <c r="R643" s="1105"/>
      <c r="T643" s="35"/>
      <c r="U643" s="12" t="s">
        <v>92</v>
      </c>
      <c r="Z643" s="1103" t="s">
        <v>1740</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32" t="s">
        <v>1753</v>
      </c>
      <c r="H644" s="1127"/>
      <c r="I644" s="1127"/>
      <c r="J644" s="1127"/>
      <c r="K644" s="1127"/>
      <c r="L644" s="1127"/>
      <c r="M644" s="1127"/>
      <c r="N644" s="1127"/>
      <c r="O644" s="1127"/>
      <c r="P644" s="1127"/>
      <c r="Q644" s="1127"/>
      <c r="R644" s="1127"/>
      <c r="T644" s="35"/>
      <c r="U644" s="12" t="s">
        <v>630</v>
      </c>
      <c r="Z644" s="1132" t="s">
        <v>1747</v>
      </c>
      <c r="AA644" s="1127"/>
      <c r="AB644" s="1127"/>
      <c r="AC644" s="1127"/>
      <c r="AD644" s="1127"/>
      <c r="AE644" s="1127"/>
      <c r="AF644" s="1127"/>
      <c r="AG644" s="1127"/>
      <c r="AH644" s="1127"/>
      <c r="AI644" s="1127"/>
      <c r="AJ644" s="1127"/>
      <c r="AK644" s="112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2" t="s">
        <v>1754</v>
      </c>
      <c r="H645" s="1127"/>
      <c r="I645" s="1127"/>
      <c r="J645" s="1127"/>
      <c r="K645" s="1127"/>
      <c r="L645" s="1127"/>
      <c r="M645" s="1127"/>
      <c r="N645" s="1127"/>
      <c r="O645" s="1127"/>
      <c r="P645" s="1127"/>
      <c r="Q645" s="1127"/>
      <c r="R645" s="1127"/>
      <c r="T645" s="35"/>
      <c r="U645" s="12" t="s">
        <v>19</v>
      </c>
      <c r="Z645" s="1132" t="s">
        <v>1742</v>
      </c>
      <c r="AA645" s="1127"/>
      <c r="AB645" s="1127"/>
      <c r="AC645" s="1127"/>
      <c r="AD645" s="1127"/>
      <c r="AE645" s="1127"/>
      <c r="AF645" s="1127"/>
      <c r="AG645" s="1127"/>
      <c r="AH645" s="1127"/>
      <c r="AI645" s="1127"/>
      <c r="AJ645" s="1127"/>
      <c r="AK645" s="1127"/>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8" t="s">
        <v>1755</v>
      </c>
      <c r="H646" s="1109"/>
      <c r="I646" s="1109"/>
      <c r="J646" s="1109"/>
      <c r="K646" s="1109"/>
      <c r="L646" s="1109"/>
      <c r="O646" s="140" t="s">
        <v>220</v>
      </c>
      <c r="P646" s="1110"/>
      <c r="Q646" s="1110"/>
      <c r="R646" s="1110"/>
      <c r="T646" s="35"/>
      <c r="U646" s="12" t="s">
        <v>338</v>
      </c>
      <c r="Z646" s="1108" t="s">
        <v>1798</v>
      </c>
      <c r="AA646" s="1109"/>
      <c r="AB646" s="1109"/>
      <c r="AC646" s="1109"/>
      <c r="AD646" s="1109"/>
      <c r="AE646" s="1109"/>
      <c r="AH646" s="140" t="s">
        <v>220</v>
      </c>
      <c r="AI646" s="1110"/>
      <c r="AJ646" s="1110"/>
      <c r="AK646" s="111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3" t="s">
        <v>1751</v>
      </c>
      <c r="I647" s="1105"/>
      <c r="J647" s="1105"/>
      <c r="K647" s="1105"/>
      <c r="L647" s="1105"/>
      <c r="M647" s="1105"/>
      <c r="N647" s="1105"/>
      <c r="O647" s="1105"/>
      <c r="P647" s="1105"/>
      <c r="Q647" s="1105"/>
      <c r="R647" s="1105"/>
      <c r="T647" s="35"/>
      <c r="U647" s="12" t="s">
        <v>20</v>
      </c>
      <c r="AA647" s="1103" t="s">
        <v>1751</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591</v>
      </c>
      <c r="O648" s="1106"/>
      <c r="T648" s="35"/>
      <c r="U648" s="12" t="s">
        <v>22</v>
      </c>
      <c r="AG648" s="1106" t="s">
        <v>591</v>
      </c>
      <c r="AH648" s="110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7" t="str">
        <f>C622</f>
        <v>GP Capital Contribution</v>
      </c>
      <c r="H650" s="1107"/>
      <c r="I650" s="1107"/>
      <c r="J650" s="1107"/>
      <c r="K650" s="1107"/>
      <c r="L650" s="1107"/>
      <c r="M650" s="1107"/>
      <c r="N650" s="1107"/>
      <c r="O650" s="1107"/>
      <c r="P650" s="1107"/>
      <c r="Q650" s="1107"/>
      <c r="R650" s="1107"/>
      <c r="T650" s="87" t="s">
        <v>634</v>
      </c>
      <c r="U650" s="12" t="s">
        <v>509</v>
      </c>
      <c r="Z650" s="1107" t="str">
        <f>C623</f>
        <v>GP Equity</v>
      </c>
      <c r="AA650" s="1107"/>
      <c r="AB650" s="1107"/>
      <c r="AC650" s="1107"/>
      <c r="AD650" s="1107"/>
      <c r="AE650" s="1107"/>
      <c r="AF650" s="1107"/>
      <c r="AG650" s="1107"/>
      <c r="AH650" s="1107"/>
      <c r="AI650" s="1107"/>
      <c r="AJ650" s="1107"/>
      <c r="AK650" s="1107"/>
      <c r="AM650" s="58"/>
      <c r="AN650" s="463">
        <f t="shared" si="22"/>
        <v>2112</v>
      </c>
      <c r="AO650" s="58"/>
      <c r="AP650" s="58"/>
      <c r="AQ650" s="58"/>
      <c r="AR650" s="58"/>
      <c r="AS650" s="399"/>
      <c r="AT650" s="473">
        <f t="shared" ref="AT650:AT674" si="23">G709</f>
        <v>18</v>
      </c>
      <c r="AU650" s="477">
        <f>AT650/$AT$675</f>
        <v>0.20454545454545456</v>
      </c>
      <c r="AV650" s="478">
        <f t="shared" ref="AV650:AV674" si="24">IF(AU650=0," ",AU650*AD709)</f>
        <v>6.1363636363636363E-2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3" t="s">
        <v>1745</v>
      </c>
      <c r="H651" s="1105"/>
      <c r="I651" s="1105"/>
      <c r="J651" s="1105"/>
      <c r="K651" s="1105"/>
      <c r="L651" s="1105"/>
      <c r="M651" s="1105"/>
      <c r="N651" s="1105"/>
      <c r="O651" s="1105"/>
      <c r="P651" s="1105"/>
      <c r="Q651" s="1105"/>
      <c r="R651" s="1105"/>
      <c r="T651" s="35"/>
      <c r="U651" s="12" t="s">
        <v>92</v>
      </c>
      <c r="Z651" s="1103" t="s">
        <v>1745</v>
      </c>
      <c r="AA651" s="1105"/>
      <c r="AB651" s="1105"/>
      <c r="AC651" s="1105"/>
      <c r="AD651" s="1105"/>
      <c r="AE651" s="1105"/>
      <c r="AF651" s="1105"/>
      <c r="AG651" s="1105"/>
      <c r="AH651" s="1105"/>
      <c r="AI651" s="1105"/>
      <c r="AJ651" s="1105"/>
      <c r="AK651" s="1105"/>
      <c r="AM651" s="58"/>
      <c r="AN651" s="463">
        <f t="shared" si="22"/>
        <v>2534</v>
      </c>
      <c r="AO651" s="58"/>
      <c r="AP651" s="58"/>
      <c r="AQ651" s="58"/>
      <c r="AR651" s="58"/>
      <c r="AS651" s="399"/>
      <c r="AT651" s="474">
        <f t="shared" si="23"/>
        <v>23</v>
      </c>
      <c r="AU651" s="477">
        <f t="shared" ref="AU651:AU674" si="25">AT651/$AT$675</f>
        <v>0.26136363636363635</v>
      </c>
      <c r="AV651" s="478">
        <f t="shared" si="24"/>
        <v>7.8409090909090901E-2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3" t="s">
        <v>1746</v>
      </c>
      <c r="H652" s="1105"/>
      <c r="I652" s="1105"/>
      <c r="J652" s="1105"/>
      <c r="K652" s="1105"/>
      <c r="L652" s="1105"/>
      <c r="M652" s="1105"/>
      <c r="N652" s="1105"/>
      <c r="O652" s="1105"/>
      <c r="P652" s="1105"/>
      <c r="Q652" s="1105"/>
      <c r="R652" s="1105"/>
      <c r="T652" s="35"/>
      <c r="U652" s="12" t="s">
        <v>630</v>
      </c>
      <c r="Z652" s="1132" t="s">
        <v>1746</v>
      </c>
      <c r="AA652" s="1127"/>
      <c r="AB652" s="1127"/>
      <c r="AC652" s="1127"/>
      <c r="AD652" s="1127"/>
      <c r="AE652" s="1127"/>
      <c r="AF652" s="1127"/>
      <c r="AG652" s="1127"/>
      <c r="AH652" s="1127"/>
      <c r="AI652" s="1127"/>
      <c r="AJ652" s="1127"/>
      <c r="AK652" s="1127"/>
      <c r="AM652" s="58"/>
      <c r="AN652" s="463">
        <f t="shared" si="22"/>
        <v>2928</v>
      </c>
      <c r="AO652" s="58"/>
      <c r="AP652" s="58"/>
      <c r="AQ652" s="58"/>
      <c r="AR652" s="58"/>
      <c r="AS652" s="399"/>
      <c r="AT652" s="474">
        <f t="shared" si="23"/>
        <v>5</v>
      </c>
      <c r="AU652" s="477">
        <f t="shared" si="25"/>
        <v>5.6818181818181816E-2</v>
      </c>
      <c r="AV652" s="478">
        <f t="shared" si="24"/>
        <v>1.7045454545454544E-2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3" t="s">
        <v>1643</v>
      </c>
      <c r="H653" s="1105"/>
      <c r="I653" s="1105"/>
      <c r="J653" s="1105"/>
      <c r="K653" s="1105"/>
      <c r="L653" s="1105"/>
      <c r="M653" s="1105"/>
      <c r="N653" s="1105"/>
      <c r="O653" s="1105"/>
      <c r="P653" s="1105"/>
      <c r="Q653" s="1105"/>
      <c r="R653" s="1105"/>
      <c r="T653" s="35"/>
      <c r="U653" s="12" t="s">
        <v>19</v>
      </c>
      <c r="Z653" s="1132" t="s">
        <v>1643</v>
      </c>
      <c r="AA653" s="1127"/>
      <c r="AB653" s="1127"/>
      <c r="AC653" s="1127"/>
      <c r="AD653" s="1127"/>
      <c r="AE653" s="1127"/>
      <c r="AF653" s="1127"/>
      <c r="AG653" s="1127"/>
      <c r="AH653" s="1127"/>
      <c r="AI653" s="1127"/>
      <c r="AJ653" s="1127"/>
      <c r="AK653" s="1127"/>
      <c r="AM653" s="58"/>
      <c r="AN653" s="463">
        <f t="shared" si="22"/>
        <v>2112</v>
      </c>
      <c r="AO653" s="58"/>
      <c r="AP653" s="58"/>
      <c r="AQ653" s="58"/>
      <c r="AR653" s="58"/>
      <c r="AS653" s="399"/>
      <c r="AT653" s="474">
        <f t="shared" si="23"/>
        <v>3</v>
      </c>
      <c r="AU653" s="477">
        <f t="shared" si="25"/>
        <v>3.4090909090909088E-2</v>
      </c>
      <c r="AV653" s="478">
        <f t="shared" si="24"/>
        <v>1.0227272727272725E-2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8" t="s">
        <v>1650</v>
      </c>
      <c r="H654" s="1109"/>
      <c r="I654" s="1109"/>
      <c r="J654" s="1109"/>
      <c r="K654" s="1109"/>
      <c r="L654" s="1109"/>
      <c r="O654" s="140" t="s">
        <v>220</v>
      </c>
      <c r="P654" s="1110"/>
      <c r="Q654" s="1110"/>
      <c r="R654" s="1110"/>
      <c r="T654" s="35"/>
      <c r="U654" s="12" t="s">
        <v>338</v>
      </c>
      <c r="Z654" s="1108" t="s">
        <v>1650</v>
      </c>
      <c r="AA654" s="1109"/>
      <c r="AB654" s="1109"/>
      <c r="AC654" s="1109"/>
      <c r="AD654" s="1109"/>
      <c r="AE654" s="1109"/>
      <c r="AH654" s="140" t="s">
        <v>220</v>
      </c>
      <c r="AI654" s="1110"/>
      <c r="AJ654" s="1110"/>
      <c r="AK654" s="1110"/>
      <c r="AM654" s="58"/>
      <c r="AN654" s="463">
        <f t="shared" si="22"/>
        <v>2534</v>
      </c>
      <c r="AO654" s="58"/>
      <c r="AP654" s="58"/>
      <c r="AQ654" s="58"/>
      <c r="AR654" s="58"/>
      <c r="AS654" s="399"/>
      <c r="AT654" s="474">
        <f t="shared" si="23"/>
        <v>3</v>
      </c>
      <c r="AU654" s="477">
        <f t="shared" si="25"/>
        <v>3.4090909090909088E-2</v>
      </c>
      <c r="AV654" s="478">
        <f t="shared" si="24"/>
        <v>1.7045454545454544E-2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3" t="s">
        <v>1748</v>
      </c>
      <c r="I655" s="1105"/>
      <c r="J655" s="1105"/>
      <c r="K655" s="1105"/>
      <c r="L655" s="1105"/>
      <c r="M655" s="1105"/>
      <c r="N655" s="1105"/>
      <c r="O655" s="1105"/>
      <c r="P655" s="1105"/>
      <c r="Q655" s="1105"/>
      <c r="R655" s="1105"/>
      <c r="T655" s="35"/>
      <c r="U655" s="12" t="s">
        <v>20</v>
      </c>
      <c r="AA655" s="1103" t="s">
        <v>1748</v>
      </c>
      <c r="AB655" s="1105"/>
      <c r="AC655" s="1105"/>
      <c r="AD655" s="1105"/>
      <c r="AE655" s="1105"/>
      <c r="AF655" s="1105"/>
      <c r="AG655" s="1105"/>
      <c r="AH655" s="1105"/>
      <c r="AI655" s="1105"/>
      <c r="AJ655" s="1105"/>
      <c r="AK655" s="1105"/>
      <c r="AM655" s="58"/>
      <c r="AN655" s="463">
        <f t="shared" si="22"/>
        <v>2928</v>
      </c>
      <c r="AO655" s="58"/>
      <c r="AP655" s="58"/>
      <c r="AQ655" s="58"/>
      <c r="AR655" s="58"/>
      <c r="AS655" s="399"/>
      <c r="AT655" s="474">
        <f t="shared" si="23"/>
        <v>7</v>
      </c>
      <c r="AU655" s="477">
        <f t="shared" si="25"/>
        <v>7.9545454545454544E-2</v>
      </c>
      <c r="AV655" s="478">
        <f t="shared" si="24"/>
        <v>3.9772727272727272E-2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591</v>
      </c>
      <c r="O656" s="1106"/>
      <c r="T656" s="35"/>
      <c r="U656" s="12" t="s">
        <v>22</v>
      </c>
      <c r="AG656" s="1106" t="s">
        <v>591</v>
      </c>
      <c r="AH656" s="1106"/>
      <c r="AM656" s="58"/>
      <c r="AN656" s="463">
        <f t="shared" si="22"/>
        <v>2534</v>
      </c>
      <c r="AO656" s="58"/>
      <c r="AP656" s="58"/>
      <c r="AQ656" s="58"/>
      <c r="AR656" s="58"/>
      <c r="AS656" s="399"/>
      <c r="AT656" s="474">
        <f t="shared" si="23"/>
        <v>6</v>
      </c>
      <c r="AU656" s="477">
        <f t="shared" si="25"/>
        <v>6.8181818181818177E-2</v>
      </c>
      <c r="AV656" s="478">
        <f t="shared" si="24"/>
        <v>3.4090909090909088E-2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2928</v>
      </c>
      <c r="AO657" s="58"/>
      <c r="AP657" s="58"/>
      <c r="AQ657" s="58"/>
      <c r="AR657" s="58"/>
      <c r="AS657" s="399"/>
      <c r="AT657" s="474">
        <f t="shared" si="23"/>
        <v>10</v>
      </c>
      <c r="AU657" s="477">
        <f t="shared" si="25"/>
        <v>0.11363636363636363</v>
      </c>
      <c r="AV657" s="478">
        <f t="shared" si="24"/>
        <v>6.8181818181818177E-2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7" t="str">
        <f>C624</f>
        <v xml:space="preserve"> </v>
      </c>
      <c r="H658" s="1107"/>
      <c r="I658" s="1107"/>
      <c r="J658" s="1107"/>
      <c r="K658" s="1107"/>
      <c r="L658" s="1107"/>
      <c r="M658" s="1107"/>
      <c r="N658" s="1107"/>
      <c r="O658" s="1107"/>
      <c r="P658" s="1107"/>
      <c r="Q658" s="1107"/>
      <c r="R658" s="1107"/>
      <c r="T658" s="87" t="s">
        <v>501</v>
      </c>
      <c r="U658" s="12" t="s">
        <v>509</v>
      </c>
      <c r="Z658" s="1107">
        <f>C625</f>
        <v>0</v>
      </c>
      <c r="AA658" s="1107"/>
      <c r="AB658" s="1107"/>
      <c r="AC658" s="1107"/>
      <c r="AD658" s="1107"/>
      <c r="AE658" s="1107"/>
      <c r="AF658" s="1107"/>
      <c r="AG658" s="1107"/>
      <c r="AH658" s="1107"/>
      <c r="AI658" s="1107"/>
      <c r="AJ658" s="1107"/>
      <c r="AK658" s="1107"/>
      <c r="AM658" s="58"/>
      <c r="AN658" s="463" t="str">
        <f t="shared" si="22"/>
        <v>N/A</v>
      </c>
      <c r="AO658" s="58"/>
      <c r="AP658" s="58"/>
      <c r="AQ658" s="58"/>
      <c r="AR658" s="58"/>
      <c r="AS658" s="399"/>
      <c r="AT658" s="474">
        <f t="shared" si="23"/>
        <v>13</v>
      </c>
      <c r="AU658" s="477">
        <f t="shared" si="25"/>
        <v>0.14772727272727273</v>
      </c>
      <c r="AV658" s="478">
        <f t="shared" si="24"/>
        <v>8.8636363636363638E-2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3"/>
      <c r="H659" s="1105"/>
      <c r="I659" s="1105"/>
      <c r="J659" s="1105"/>
      <c r="K659" s="1105"/>
      <c r="L659" s="1105"/>
      <c r="M659" s="1105"/>
      <c r="N659" s="1105"/>
      <c r="O659" s="1105"/>
      <c r="P659" s="1105"/>
      <c r="Q659" s="1105"/>
      <c r="R659" s="1105"/>
      <c r="T659" s="35"/>
      <c r="U659" s="12" t="s">
        <v>92</v>
      </c>
      <c r="Z659" s="1103"/>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3"/>
      <c r="H660" s="1105"/>
      <c r="I660" s="1105"/>
      <c r="J660" s="1105"/>
      <c r="K660" s="1105"/>
      <c r="L660" s="1105"/>
      <c r="M660" s="1105"/>
      <c r="N660" s="1105"/>
      <c r="O660" s="1105"/>
      <c r="P660" s="1105"/>
      <c r="Q660" s="1105"/>
      <c r="R660" s="1105"/>
      <c r="T660" s="35"/>
      <c r="U660" s="12" t="s">
        <v>630</v>
      </c>
      <c r="Z660" s="1132"/>
      <c r="AA660" s="1127"/>
      <c r="AB660" s="1127"/>
      <c r="AC660" s="1127"/>
      <c r="AD660" s="1127"/>
      <c r="AE660" s="1127"/>
      <c r="AF660" s="1127"/>
      <c r="AG660" s="1127"/>
      <c r="AH660" s="1127"/>
      <c r="AI660" s="1127"/>
      <c r="AJ660" s="1127"/>
      <c r="AK660" s="112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3"/>
      <c r="H661" s="1105"/>
      <c r="I661" s="1105"/>
      <c r="J661" s="1105"/>
      <c r="K661" s="1105"/>
      <c r="L661" s="1105"/>
      <c r="M661" s="1105"/>
      <c r="N661" s="1105"/>
      <c r="O661" s="1105"/>
      <c r="P661" s="1105"/>
      <c r="Q661" s="1105"/>
      <c r="R661" s="1105"/>
      <c r="T661" s="35"/>
      <c r="U661" s="12" t="s">
        <v>19</v>
      </c>
      <c r="Z661" s="1132"/>
      <c r="AA661" s="1127"/>
      <c r="AB661" s="1127"/>
      <c r="AC661" s="1127"/>
      <c r="AD661" s="1127"/>
      <c r="AE661" s="1127"/>
      <c r="AF661" s="1127"/>
      <c r="AG661" s="1127"/>
      <c r="AH661" s="1127"/>
      <c r="AI661" s="1127"/>
      <c r="AJ661" s="1127"/>
      <c r="AK661" s="112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8" t="s">
        <v>266</v>
      </c>
      <c r="H662" s="1109"/>
      <c r="I662" s="1109"/>
      <c r="J662" s="1109"/>
      <c r="K662" s="1109"/>
      <c r="L662" s="1109"/>
      <c r="O662" s="140" t="s">
        <v>220</v>
      </c>
      <c r="P662" s="1132" t="s">
        <v>266</v>
      </c>
      <c r="Q662" s="1110"/>
      <c r="R662" s="1110"/>
      <c r="T662" s="35"/>
      <c r="U662" s="12" t="s">
        <v>338</v>
      </c>
      <c r="Z662" s="1108" t="s">
        <v>266</v>
      </c>
      <c r="AA662" s="1109"/>
      <c r="AB662" s="1109"/>
      <c r="AC662" s="1109"/>
      <c r="AD662" s="1109"/>
      <c r="AE662" s="1109"/>
      <c r="AH662" s="140" t="s">
        <v>220</v>
      </c>
      <c r="AI662" s="1110">
        <v>105</v>
      </c>
      <c r="AJ662" s="1110"/>
      <c r="AK662" s="111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3" t="s">
        <v>266</v>
      </c>
      <c r="I663" s="1105"/>
      <c r="J663" s="1105"/>
      <c r="K663" s="1105"/>
      <c r="L663" s="1105"/>
      <c r="M663" s="1105"/>
      <c r="N663" s="1105"/>
      <c r="O663" s="1105"/>
      <c r="P663" s="1105"/>
      <c r="Q663" s="1105"/>
      <c r="R663" s="1105"/>
      <c r="T663" s="35"/>
      <c r="U663" s="12" t="s">
        <v>20</v>
      </c>
      <c r="AA663" s="1103" t="s">
        <v>266</v>
      </c>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c r="O664" s="1106"/>
      <c r="T664" s="35"/>
      <c r="U664" s="12" t="s">
        <v>22</v>
      </c>
      <c r="AG664" s="1106"/>
      <c r="AH664" s="110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7">
        <f>C626</f>
        <v>0</v>
      </c>
      <c r="H666" s="1107"/>
      <c r="I666" s="1107"/>
      <c r="J666" s="1107"/>
      <c r="K666" s="1107"/>
      <c r="L666" s="1107"/>
      <c r="M666" s="1107"/>
      <c r="N666" s="1107"/>
      <c r="O666" s="1107"/>
      <c r="P666" s="1107"/>
      <c r="Q666" s="1107"/>
      <c r="R666" s="1107"/>
      <c r="T666" s="87" t="s">
        <v>696</v>
      </c>
      <c r="U666" s="12" t="s">
        <v>509</v>
      </c>
      <c r="Z666" s="1107">
        <f>C627</f>
        <v>0</v>
      </c>
      <c r="AA666" s="1107"/>
      <c r="AB666" s="1107"/>
      <c r="AC666" s="1107"/>
      <c r="AD666" s="1107"/>
      <c r="AE666" s="1107"/>
      <c r="AF666" s="1107"/>
      <c r="AG666" s="1107"/>
      <c r="AH666" s="1107"/>
      <c r="AI666" s="1107"/>
      <c r="AJ666" s="1107"/>
      <c r="AK666" s="110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5"/>
      <c r="H668" s="1105"/>
      <c r="I668" s="1105"/>
      <c r="J668" s="1105"/>
      <c r="K668" s="1105"/>
      <c r="L668" s="1105"/>
      <c r="M668" s="1105"/>
      <c r="N668" s="1105"/>
      <c r="O668" s="1105"/>
      <c r="P668" s="1105"/>
      <c r="Q668" s="1105"/>
      <c r="R668" s="1105"/>
      <c r="T668" s="35"/>
      <c r="U668" s="12" t="s">
        <v>630</v>
      </c>
      <c r="Z668" s="1127"/>
      <c r="AA668" s="1127"/>
      <c r="AB668" s="1127"/>
      <c r="AC668" s="1127"/>
      <c r="AD668" s="1127"/>
      <c r="AE668" s="1127"/>
      <c r="AF668" s="1127"/>
      <c r="AG668" s="1127"/>
      <c r="AH668" s="1127"/>
      <c r="AI668" s="1127"/>
      <c r="AJ668" s="1127"/>
      <c r="AK668" s="112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27"/>
      <c r="AA669" s="1127"/>
      <c r="AB669" s="1127"/>
      <c r="AC669" s="1127"/>
      <c r="AD669" s="1127"/>
      <c r="AE669" s="1127"/>
      <c r="AF669" s="1127"/>
      <c r="AG669" s="1127"/>
      <c r="AH669" s="1127"/>
      <c r="AI669" s="1127"/>
      <c r="AJ669" s="1127"/>
      <c r="AK669" s="112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9"/>
      <c r="H670" s="1109"/>
      <c r="I670" s="1109"/>
      <c r="J670" s="1109"/>
      <c r="K670" s="1109"/>
      <c r="L670" s="1109"/>
      <c r="O670" s="140" t="s">
        <v>220</v>
      </c>
      <c r="P670" s="1110"/>
      <c r="Q670" s="1110"/>
      <c r="R670" s="1110"/>
      <c r="T670" s="35"/>
      <c r="U670" s="12" t="s">
        <v>338</v>
      </c>
      <c r="Z670" s="1109"/>
      <c r="AA670" s="1109"/>
      <c r="AB670" s="1109"/>
      <c r="AC670" s="1109"/>
      <c r="AD670" s="1109"/>
      <c r="AE670" s="1109"/>
      <c r="AH670" s="140" t="s">
        <v>220</v>
      </c>
      <c r="AI670" s="1110"/>
      <c r="AJ670" s="1110"/>
      <c r="AK670" s="111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c r="O672" s="1106"/>
      <c r="T672" s="35"/>
      <c r="U672" s="12" t="s">
        <v>22</v>
      </c>
      <c r="AG672" s="1106" t="s">
        <v>722</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7">
        <f>C628</f>
        <v>0</v>
      </c>
      <c r="H674" s="1107"/>
      <c r="I674" s="1107"/>
      <c r="J674" s="1107"/>
      <c r="K674" s="1107"/>
      <c r="L674" s="1107"/>
      <c r="M674" s="1107"/>
      <c r="N674" s="1107"/>
      <c r="O674" s="1107"/>
      <c r="P674" s="1107"/>
      <c r="Q674" s="1107"/>
      <c r="R674" s="1107"/>
      <c r="T674" s="87" t="s">
        <v>387</v>
      </c>
      <c r="U674" s="12" t="s">
        <v>509</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997</v>
      </c>
      <c r="AT675" s="479">
        <f>SUM(AT650:AT674)</f>
        <v>88</v>
      </c>
      <c r="AU675" s="480">
        <f>SUM(AU650:AU674)</f>
        <v>0.99999999999999989</v>
      </c>
      <c r="AV675" s="480">
        <f>SUM(AV650:AV674)</f>
        <v>0.41477272727272724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5"/>
      <c r="H676" s="1105"/>
      <c r="I676" s="1105"/>
      <c r="J676" s="1105"/>
      <c r="K676" s="1105"/>
      <c r="L676" s="1105"/>
      <c r="M676" s="1105"/>
      <c r="N676" s="1105"/>
      <c r="O676" s="1105"/>
      <c r="P676" s="1105"/>
      <c r="Q676" s="1105"/>
      <c r="R676" s="1105"/>
      <c r="U676" s="12" t="s">
        <v>630</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9"/>
      <c r="H678" s="1109"/>
      <c r="I678" s="1109"/>
      <c r="J678" s="1109"/>
      <c r="K678" s="1109"/>
      <c r="L678" s="1109"/>
      <c r="O678" s="140" t="s">
        <v>220</v>
      </c>
      <c r="P678" s="1110"/>
      <c r="Q678" s="1110"/>
      <c r="R678" s="1110"/>
      <c r="U678" s="12" t="s">
        <v>338</v>
      </c>
      <c r="Z678" s="1109"/>
      <c r="AA678" s="1109"/>
      <c r="AB678" s="1109"/>
      <c r="AC678" s="1109"/>
      <c r="AD678" s="1109"/>
      <c r="AE678" s="1109"/>
      <c r="AH678" s="140" t="s">
        <v>220</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t="s">
        <v>722</v>
      </c>
      <c r="O680" s="1106"/>
      <c r="U680" s="12" t="s">
        <v>22</v>
      </c>
      <c r="AG680" s="1106" t="s">
        <v>722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591</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1">
        <v>44098</v>
      </c>
      <c r="AF686" s="1431"/>
      <c r="AG686" s="1431"/>
      <c r="AH686" s="1431"/>
      <c r="AI686" s="143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2">
        <v>44174</v>
      </c>
      <c r="AF687" s="1432"/>
      <c r="AG687" s="1432"/>
      <c r="AH687" s="1432"/>
      <c r="AI687" s="143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1">
        <v>43922</v>
      </c>
      <c r="AF689" s="1431"/>
      <c r="AG689" s="1431"/>
      <c r="AH689" s="1431"/>
      <c r="AI689" s="14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3"/>
      <c r="AF690" s="1433"/>
      <c r="AG690" s="1433"/>
      <c r="AH690" s="1433"/>
      <c r="AI690" s="143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Los Angeles County Development Authority</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722</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9"/>
      <c r="K696" s="1109"/>
      <c r="L696" s="1109"/>
      <c r="M696" s="1109"/>
      <c r="N696" s="1109"/>
      <c r="O696" s="1109"/>
      <c r="P696" s="7" t="s">
        <v>220</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1" t="s">
        <v>421</v>
      </c>
      <c r="C705" s="1112"/>
      <c r="D705" s="1112"/>
      <c r="E705" s="1112"/>
      <c r="F705" s="1113"/>
      <c r="G705" s="1111" t="s">
        <v>302</v>
      </c>
      <c r="H705" s="1112"/>
      <c r="I705" s="1112"/>
      <c r="J705" s="1113"/>
      <c r="K705" s="1111" t="s">
        <v>491</v>
      </c>
      <c r="L705" s="1112"/>
      <c r="M705" s="1112"/>
      <c r="N705" s="1112"/>
      <c r="O705" s="1113"/>
      <c r="P705" s="1111" t="s">
        <v>303</v>
      </c>
      <c r="Q705" s="1112"/>
      <c r="R705" s="1112"/>
      <c r="S705" s="1112"/>
      <c r="T705" s="1113"/>
      <c r="U705" s="1111" t="s">
        <v>304</v>
      </c>
      <c r="V705" s="1112"/>
      <c r="W705" s="1112"/>
      <c r="X705" s="1113"/>
      <c r="Y705" s="1111" t="s">
        <v>305</v>
      </c>
      <c r="Z705" s="1112"/>
      <c r="AA705" s="1112"/>
      <c r="AB705" s="1112"/>
      <c r="AC705" s="1113"/>
      <c r="AD705" s="1111" t="s">
        <v>422</v>
      </c>
      <c r="AE705" s="1112"/>
      <c r="AF705" s="1112"/>
      <c r="AG705" s="1112"/>
      <c r="AH705" s="1113"/>
      <c r="AI705" s="1111" t="s">
        <v>697</v>
      </c>
      <c r="AJ705" s="1112"/>
      <c r="AK705" s="111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4"/>
      <c r="C706" s="1115"/>
      <c r="D706" s="1115"/>
      <c r="E706" s="1115"/>
      <c r="F706" s="1116"/>
      <c r="G706" s="1114"/>
      <c r="H706" s="1115"/>
      <c r="I706" s="1115"/>
      <c r="J706" s="1116"/>
      <c r="K706" s="1114"/>
      <c r="L706" s="1115"/>
      <c r="M706" s="1115"/>
      <c r="N706" s="1115"/>
      <c r="O706" s="1116"/>
      <c r="P706" s="1114"/>
      <c r="Q706" s="1115"/>
      <c r="R706" s="1115"/>
      <c r="S706" s="1115"/>
      <c r="T706" s="1116"/>
      <c r="U706" s="1114"/>
      <c r="V706" s="1115"/>
      <c r="W706" s="1115"/>
      <c r="X706" s="1116"/>
      <c r="Y706" s="1114"/>
      <c r="Z706" s="1115"/>
      <c r="AA706" s="1115"/>
      <c r="AB706" s="1115"/>
      <c r="AC706" s="1116"/>
      <c r="AD706" s="1114"/>
      <c r="AE706" s="1115"/>
      <c r="AF706" s="1115"/>
      <c r="AG706" s="1115"/>
      <c r="AH706" s="1116"/>
      <c r="AI706" s="1114"/>
      <c r="AJ706" s="1115"/>
      <c r="AK706" s="111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4"/>
      <c r="C707" s="1115"/>
      <c r="D707" s="1115"/>
      <c r="E707" s="1115"/>
      <c r="F707" s="1116"/>
      <c r="G707" s="1114"/>
      <c r="H707" s="1115"/>
      <c r="I707" s="1115"/>
      <c r="J707" s="1116"/>
      <c r="K707" s="1114"/>
      <c r="L707" s="1115"/>
      <c r="M707" s="1115"/>
      <c r="N707" s="1115"/>
      <c r="O707" s="1116"/>
      <c r="P707" s="1114"/>
      <c r="Q707" s="1115"/>
      <c r="R707" s="1115"/>
      <c r="S707" s="1115"/>
      <c r="T707" s="1116"/>
      <c r="U707" s="1114"/>
      <c r="V707" s="1115"/>
      <c r="W707" s="1115"/>
      <c r="X707" s="1116"/>
      <c r="Y707" s="1114"/>
      <c r="Z707" s="1115"/>
      <c r="AA707" s="1115"/>
      <c r="AB707" s="1115"/>
      <c r="AC707" s="1116"/>
      <c r="AD707" s="1114"/>
      <c r="AE707" s="1115"/>
      <c r="AF707" s="1115"/>
      <c r="AG707" s="1115"/>
      <c r="AH707" s="1116"/>
      <c r="AI707" s="1114"/>
      <c r="AJ707" s="1115"/>
      <c r="AK707" s="111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7"/>
      <c r="C708" s="1118"/>
      <c r="D708" s="1118"/>
      <c r="E708" s="1118"/>
      <c r="F708" s="1119"/>
      <c r="G708" s="1117"/>
      <c r="H708" s="1118"/>
      <c r="I708" s="1118"/>
      <c r="J708" s="1119"/>
      <c r="K708" s="1117"/>
      <c r="L708" s="1118"/>
      <c r="M708" s="1118"/>
      <c r="N708" s="1118"/>
      <c r="O708" s="1119"/>
      <c r="P708" s="1117"/>
      <c r="Q708" s="1118"/>
      <c r="R708" s="1118"/>
      <c r="S708" s="1118"/>
      <c r="T708" s="1119"/>
      <c r="U708" s="1117"/>
      <c r="V708" s="1118"/>
      <c r="W708" s="1118"/>
      <c r="X708" s="1119"/>
      <c r="Y708" s="1117"/>
      <c r="Z708" s="1118"/>
      <c r="AA708" s="1118"/>
      <c r="AB708" s="1118"/>
      <c r="AC708" s="1119"/>
      <c r="AD708" s="1117"/>
      <c r="AE708" s="1118"/>
      <c r="AF708" s="1118"/>
      <c r="AG708" s="1118"/>
      <c r="AH708" s="1119"/>
      <c r="AI708" s="1117"/>
      <c r="AJ708" s="1118"/>
      <c r="AK708" s="111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7" t="s">
        <v>347</v>
      </c>
      <c r="C709" s="1178"/>
      <c r="D709" s="1178"/>
      <c r="E709" s="1178"/>
      <c r="F709" s="1179"/>
      <c r="G709" s="1133">
        <v>18</v>
      </c>
      <c r="H709" s="1134"/>
      <c r="I709" s="1134"/>
      <c r="J709" s="1135"/>
      <c r="K709" s="1192">
        <v>489</v>
      </c>
      <c r="L709" s="1193"/>
      <c r="M709" s="1193"/>
      <c r="N709" s="1193"/>
      <c r="O709" s="1194"/>
      <c r="P709" s="1163">
        <f t="shared" ref="P709:P733" si="26">G709*K709</f>
        <v>8802</v>
      </c>
      <c r="Q709" s="1124"/>
      <c r="R709" s="1124"/>
      <c r="S709" s="1124"/>
      <c r="T709" s="1164"/>
      <c r="U709" s="1192">
        <v>102</v>
      </c>
      <c r="V709" s="1193"/>
      <c r="W709" s="1193"/>
      <c r="X709" s="1194"/>
      <c r="Y709" s="1163">
        <f>K709+U709</f>
        <v>591</v>
      </c>
      <c r="Z709" s="1124"/>
      <c r="AA709" s="1124"/>
      <c r="AB709" s="1124"/>
      <c r="AC709" s="1164"/>
      <c r="AD709" s="1121">
        <v>0.3</v>
      </c>
      <c r="AE709" s="1122"/>
      <c r="AF709" s="1122"/>
      <c r="AG709" s="1122"/>
      <c r="AH709" s="1123"/>
      <c r="AI709" s="1137">
        <f t="shared" ref="AI709:AI733" si="27">IF($AD709&gt;0,($Y709/$AN649), " ")</f>
        <v>0.29969574036511154</v>
      </c>
      <c r="AJ709" s="1138"/>
      <c r="AK709" s="113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7" t="s">
        <v>348</v>
      </c>
      <c r="C710" s="1178"/>
      <c r="D710" s="1178"/>
      <c r="E710" s="1178"/>
      <c r="F710" s="1179"/>
      <c r="G710" s="1133">
        <v>23</v>
      </c>
      <c r="H710" s="1134"/>
      <c r="I710" s="1134"/>
      <c r="J710" s="1135"/>
      <c r="K710" s="1192">
        <v>511</v>
      </c>
      <c r="L710" s="1193"/>
      <c r="M710" s="1193"/>
      <c r="N710" s="1193"/>
      <c r="O710" s="1194"/>
      <c r="P710" s="1163">
        <f t="shared" si="26"/>
        <v>11753</v>
      </c>
      <c r="Q710" s="1124"/>
      <c r="R710" s="1124"/>
      <c r="S710" s="1124"/>
      <c r="T710" s="1164"/>
      <c r="U710" s="1192">
        <v>122</v>
      </c>
      <c r="V710" s="1193"/>
      <c r="W710" s="1193"/>
      <c r="X710" s="1194"/>
      <c r="Y710" s="1163">
        <f t="shared" ref="Y710:Y733" si="28">K710+U710</f>
        <v>633</v>
      </c>
      <c r="Z710" s="1124"/>
      <c r="AA710" s="1124"/>
      <c r="AB710" s="1124"/>
      <c r="AC710" s="1164"/>
      <c r="AD710" s="1121">
        <v>0.3</v>
      </c>
      <c r="AE710" s="1122"/>
      <c r="AF710" s="1122"/>
      <c r="AG710" s="1122"/>
      <c r="AH710" s="1123"/>
      <c r="AI710" s="1137">
        <f t="shared" si="27"/>
        <v>0.29971590909090912</v>
      </c>
      <c r="AJ710" s="1138"/>
      <c r="AK710" s="113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7" t="s">
        <v>170</v>
      </c>
      <c r="C711" s="1178"/>
      <c r="D711" s="1178"/>
      <c r="E711" s="1178"/>
      <c r="F711" s="1179"/>
      <c r="G711" s="1133">
        <v>5</v>
      </c>
      <c r="H711" s="1134"/>
      <c r="I711" s="1134"/>
      <c r="J711" s="1135"/>
      <c r="K711" s="1192">
        <v>616</v>
      </c>
      <c r="L711" s="1193"/>
      <c r="M711" s="1193"/>
      <c r="N711" s="1193"/>
      <c r="O711" s="1194"/>
      <c r="P711" s="1163">
        <f t="shared" si="26"/>
        <v>3080</v>
      </c>
      <c r="Q711" s="1124"/>
      <c r="R711" s="1124"/>
      <c r="S711" s="1124"/>
      <c r="T711" s="1164"/>
      <c r="U711" s="1192">
        <v>144</v>
      </c>
      <c r="V711" s="1193"/>
      <c r="W711" s="1193"/>
      <c r="X711" s="1194"/>
      <c r="Y711" s="1163">
        <f t="shared" si="28"/>
        <v>760</v>
      </c>
      <c r="Z711" s="1124"/>
      <c r="AA711" s="1124"/>
      <c r="AB711" s="1124"/>
      <c r="AC711" s="1164"/>
      <c r="AD711" s="1121">
        <v>0.3</v>
      </c>
      <c r="AE711" s="1122"/>
      <c r="AF711" s="1122"/>
      <c r="AG711" s="1122"/>
      <c r="AH711" s="1123"/>
      <c r="AI711" s="1137">
        <f t="shared" si="27"/>
        <v>0.2999210734017364</v>
      </c>
      <c r="AJ711" s="1138"/>
      <c r="AK711" s="113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7" t="s">
        <v>171</v>
      </c>
      <c r="C712" s="1178"/>
      <c r="D712" s="1178"/>
      <c r="E712" s="1178"/>
      <c r="F712" s="1179"/>
      <c r="G712" s="1133">
        <v>3</v>
      </c>
      <c r="H712" s="1134"/>
      <c r="I712" s="1134"/>
      <c r="J712" s="1135"/>
      <c r="K712" s="1191">
        <v>703</v>
      </c>
      <c r="L712" s="1191"/>
      <c r="M712" s="1191"/>
      <c r="N712" s="1191"/>
      <c r="O712" s="1191"/>
      <c r="P712" s="1131">
        <f t="shared" si="26"/>
        <v>2109</v>
      </c>
      <c r="Q712" s="1131"/>
      <c r="R712" s="1131"/>
      <c r="S712" s="1131"/>
      <c r="T712" s="1131"/>
      <c r="U712" s="1192">
        <v>175</v>
      </c>
      <c r="V712" s="1193"/>
      <c r="W712" s="1193"/>
      <c r="X712" s="1194"/>
      <c r="Y712" s="1131">
        <f t="shared" si="28"/>
        <v>878</v>
      </c>
      <c r="Z712" s="1131"/>
      <c r="AA712" s="1131"/>
      <c r="AB712" s="1131"/>
      <c r="AC712" s="1131"/>
      <c r="AD712" s="1121">
        <v>0.3</v>
      </c>
      <c r="AE712" s="1122"/>
      <c r="AF712" s="1122"/>
      <c r="AG712" s="1122"/>
      <c r="AH712" s="1123"/>
      <c r="AI712" s="1137">
        <f t="shared" si="27"/>
        <v>0.2998633879781421</v>
      </c>
      <c r="AJ712" s="1138"/>
      <c r="AK712" s="113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7" t="s">
        <v>348</v>
      </c>
      <c r="C713" s="1178"/>
      <c r="D713" s="1178"/>
      <c r="E713" s="1178"/>
      <c r="F713" s="1179"/>
      <c r="G713" s="1133">
        <v>3</v>
      </c>
      <c r="H713" s="1134"/>
      <c r="I713" s="1134"/>
      <c r="J713" s="1135"/>
      <c r="K713" s="1191">
        <v>934</v>
      </c>
      <c r="L713" s="1191"/>
      <c r="M713" s="1191"/>
      <c r="N713" s="1191"/>
      <c r="O713" s="1191"/>
      <c r="P713" s="1131">
        <f t="shared" si="26"/>
        <v>2802</v>
      </c>
      <c r="Q713" s="1131"/>
      <c r="R713" s="1131"/>
      <c r="S713" s="1131"/>
      <c r="T713" s="1131"/>
      <c r="U713" s="1192">
        <v>122</v>
      </c>
      <c r="V713" s="1193"/>
      <c r="W713" s="1193"/>
      <c r="X713" s="1194"/>
      <c r="Y713" s="1131">
        <f t="shared" si="28"/>
        <v>1056</v>
      </c>
      <c r="Z713" s="1131"/>
      <c r="AA713" s="1131"/>
      <c r="AB713" s="1131"/>
      <c r="AC713" s="1131"/>
      <c r="AD713" s="1121">
        <v>0.5</v>
      </c>
      <c r="AE713" s="1122"/>
      <c r="AF713" s="1122"/>
      <c r="AG713" s="1122"/>
      <c r="AH713" s="1123"/>
      <c r="AI713" s="1137">
        <f t="shared" si="27"/>
        <v>0.5</v>
      </c>
      <c r="AJ713" s="1138"/>
      <c r="AK713" s="113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7" t="s">
        <v>170</v>
      </c>
      <c r="C714" s="1178"/>
      <c r="D714" s="1178"/>
      <c r="E714" s="1178"/>
      <c r="F714" s="1179"/>
      <c r="G714" s="1133">
        <v>7</v>
      </c>
      <c r="H714" s="1134"/>
      <c r="I714" s="1134"/>
      <c r="J714" s="1135"/>
      <c r="K714" s="1191">
        <v>1123</v>
      </c>
      <c r="L714" s="1191"/>
      <c r="M714" s="1191"/>
      <c r="N714" s="1191"/>
      <c r="O714" s="1191"/>
      <c r="P714" s="1131">
        <f t="shared" si="26"/>
        <v>7861</v>
      </c>
      <c r="Q714" s="1131"/>
      <c r="R714" s="1131"/>
      <c r="S714" s="1131"/>
      <c r="T714" s="1131"/>
      <c r="U714" s="1192">
        <v>144</v>
      </c>
      <c r="V714" s="1193"/>
      <c r="W714" s="1193"/>
      <c r="X714" s="1194"/>
      <c r="Y714" s="1131">
        <f t="shared" si="28"/>
        <v>1267</v>
      </c>
      <c r="Z714" s="1131"/>
      <c r="AA714" s="1131"/>
      <c r="AB714" s="1131"/>
      <c r="AC714" s="1131"/>
      <c r="AD714" s="1121">
        <v>0.5</v>
      </c>
      <c r="AE714" s="1122"/>
      <c r="AF714" s="1122"/>
      <c r="AG714" s="1122"/>
      <c r="AH714" s="1123"/>
      <c r="AI714" s="1137">
        <f t="shared" si="27"/>
        <v>0.5</v>
      </c>
      <c r="AJ714" s="1138"/>
      <c r="AK714" s="113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7" t="s">
        <v>171</v>
      </c>
      <c r="C715" s="1178"/>
      <c r="D715" s="1178"/>
      <c r="E715" s="1178"/>
      <c r="F715" s="1179"/>
      <c r="G715" s="1133">
        <v>6</v>
      </c>
      <c r="H715" s="1134"/>
      <c r="I715" s="1134"/>
      <c r="J715" s="1135"/>
      <c r="K715" s="1191">
        <v>1289</v>
      </c>
      <c r="L715" s="1191"/>
      <c r="M715" s="1191"/>
      <c r="N715" s="1191"/>
      <c r="O715" s="1191"/>
      <c r="P715" s="1131">
        <f t="shared" si="26"/>
        <v>7734</v>
      </c>
      <c r="Q715" s="1131"/>
      <c r="R715" s="1131"/>
      <c r="S715" s="1131"/>
      <c r="T715" s="1131"/>
      <c r="U715" s="1192">
        <v>175</v>
      </c>
      <c r="V715" s="1193"/>
      <c r="W715" s="1193"/>
      <c r="X715" s="1194"/>
      <c r="Y715" s="1131">
        <f t="shared" si="28"/>
        <v>1464</v>
      </c>
      <c r="Z715" s="1131"/>
      <c r="AA715" s="1131"/>
      <c r="AB715" s="1131"/>
      <c r="AC715" s="1131"/>
      <c r="AD715" s="1121">
        <v>0.5</v>
      </c>
      <c r="AE715" s="1122"/>
      <c r="AF715" s="1122"/>
      <c r="AG715" s="1122"/>
      <c r="AH715" s="1123"/>
      <c r="AI715" s="1137">
        <f t="shared" si="27"/>
        <v>0.5</v>
      </c>
      <c r="AJ715" s="1138"/>
      <c r="AK715" s="113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7" t="s">
        <v>170</v>
      </c>
      <c r="C716" s="1178"/>
      <c r="D716" s="1178"/>
      <c r="E716" s="1178"/>
      <c r="F716" s="1179"/>
      <c r="G716" s="1133">
        <v>10</v>
      </c>
      <c r="H716" s="1134"/>
      <c r="I716" s="1134"/>
      <c r="J716" s="1135"/>
      <c r="K716" s="1191">
        <v>1376</v>
      </c>
      <c r="L716" s="1191"/>
      <c r="M716" s="1191"/>
      <c r="N716" s="1191"/>
      <c r="O716" s="1191"/>
      <c r="P716" s="1131">
        <f t="shared" si="26"/>
        <v>13760</v>
      </c>
      <c r="Q716" s="1131"/>
      <c r="R716" s="1131"/>
      <c r="S716" s="1131"/>
      <c r="T716" s="1131"/>
      <c r="U716" s="1192">
        <v>144</v>
      </c>
      <c r="V716" s="1193"/>
      <c r="W716" s="1193"/>
      <c r="X716" s="1194"/>
      <c r="Y716" s="1131">
        <f t="shared" si="28"/>
        <v>1520</v>
      </c>
      <c r="Z716" s="1131"/>
      <c r="AA716" s="1131"/>
      <c r="AB716" s="1131"/>
      <c r="AC716" s="1131"/>
      <c r="AD716" s="1121">
        <v>0.6</v>
      </c>
      <c r="AE716" s="1122"/>
      <c r="AF716" s="1122"/>
      <c r="AG716" s="1122"/>
      <c r="AH716" s="1123"/>
      <c r="AI716" s="1137">
        <f t="shared" si="27"/>
        <v>0.59984214680347281</v>
      </c>
      <c r="AJ716" s="1138"/>
      <c r="AK716" s="113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7" t="s">
        <v>171</v>
      </c>
      <c r="C717" s="1178"/>
      <c r="D717" s="1178"/>
      <c r="E717" s="1178"/>
      <c r="F717" s="1179"/>
      <c r="G717" s="1133">
        <v>13</v>
      </c>
      <c r="H717" s="1134"/>
      <c r="I717" s="1134"/>
      <c r="J717" s="1135"/>
      <c r="K717" s="1191">
        <v>1582</v>
      </c>
      <c r="L717" s="1191"/>
      <c r="M717" s="1191"/>
      <c r="N717" s="1191"/>
      <c r="O717" s="1191"/>
      <c r="P717" s="1131">
        <f t="shared" si="26"/>
        <v>20566</v>
      </c>
      <c r="Q717" s="1131"/>
      <c r="R717" s="1131"/>
      <c r="S717" s="1131"/>
      <c r="T717" s="1131"/>
      <c r="U717" s="1192">
        <v>175</v>
      </c>
      <c r="V717" s="1193"/>
      <c r="W717" s="1193"/>
      <c r="X717" s="1194"/>
      <c r="Y717" s="1131">
        <f t="shared" si="28"/>
        <v>1757</v>
      </c>
      <c r="Z717" s="1131"/>
      <c r="AA717" s="1131"/>
      <c r="AB717" s="1131"/>
      <c r="AC717" s="1131"/>
      <c r="AD717" s="1121">
        <v>0.6</v>
      </c>
      <c r="AE717" s="1122"/>
      <c r="AF717" s="1122"/>
      <c r="AG717" s="1122"/>
      <c r="AH717" s="1123"/>
      <c r="AI717" s="1137">
        <f t="shared" si="27"/>
        <v>0.60006830601092898</v>
      </c>
      <c r="AJ717" s="1138"/>
      <c r="AK717" s="113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7"/>
      <c r="C718" s="1178"/>
      <c r="D718" s="1178"/>
      <c r="E718" s="1178"/>
      <c r="F718" s="1179"/>
      <c r="G718" s="1133"/>
      <c r="H718" s="1134"/>
      <c r="I718" s="1134"/>
      <c r="J718" s="1135"/>
      <c r="K718" s="1266"/>
      <c r="L718" s="1266"/>
      <c r="M718" s="1266"/>
      <c r="N718" s="1266"/>
      <c r="O718" s="1266"/>
      <c r="P718" s="1136">
        <f t="shared" si="26"/>
        <v>0</v>
      </c>
      <c r="Q718" s="1136"/>
      <c r="R718" s="1136"/>
      <c r="S718" s="1136"/>
      <c r="T718" s="1136"/>
      <c r="U718" s="1192"/>
      <c r="V718" s="1193"/>
      <c r="W718" s="1193"/>
      <c r="X718" s="1194"/>
      <c r="Y718" s="1136">
        <f t="shared" si="28"/>
        <v>0</v>
      </c>
      <c r="Z718" s="1136"/>
      <c r="AA718" s="1136"/>
      <c r="AB718" s="1136"/>
      <c r="AC718" s="1136"/>
      <c r="AD718" s="1121"/>
      <c r="AE718" s="1122"/>
      <c r="AF718" s="1122"/>
      <c r="AG718" s="1122"/>
      <c r="AH718" s="1123"/>
      <c r="AI718" s="1137" t="str">
        <f t="shared" si="27"/>
        <v xml:space="preserve"> </v>
      </c>
      <c r="AJ718" s="1138"/>
      <c r="AK718" s="113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7"/>
      <c r="C719" s="1178"/>
      <c r="D719" s="1178"/>
      <c r="E719" s="1178"/>
      <c r="F719" s="1179"/>
      <c r="G719" s="1133"/>
      <c r="H719" s="1134"/>
      <c r="I719" s="1134"/>
      <c r="J719" s="1135"/>
      <c r="K719" s="1191"/>
      <c r="L719" s="1191"/>
      <c r="M719" s="1191"/>
      <c r="N719" s="1191"/>
      <c r="O719" s="1191"/>
      <c r="P719" s="1131">
        <f t="shared" si="26"/>
        <v>0</v>
      </c>
      <c r="Q719" s="1131"/>
      <c r="R719" s="1131"/>
      <c r="S719" s="1131"/>
      <c r="T719" s="1131"/>
      <c r="U719" s="1192"/>
      <c r="V719" s="1193"/>
      <c r="W719" s="1193"/>
      <c r="X719" s="1194"/>
      <c r="Y719" s="1131">
        <f t="shared" si="28"/>
        <v>0</v>
      </c>
      <c r="Z719" s="1131"/>
      <c r="AA719" s="1131"/>
      <c r="AB719" s="1131"/>
      <c r="AC719" s="1131"/>
      <c r="AD719" s="1121"/>
      <c r="AE719" s="1122"/>
      <c r="AF719" s="1122"/>
      <c r="AG719" s="1122"/>
      <c r="AH719" s="1123"/>
      <c r="AI719" s="1137" t="str">
        <f t="shared" si="27"/>
        <v xml:space="preserve"> </v>
      </c>
      <c r="AJ719" s="1138"/>
      <c r="AK719" s="113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7"/>
      <c r="C720" s="1178"/>
      <c r="D720" s="1178"/>
      <c r="E720" s="1178"/>
      <c r="F720" s="1179"/>
      <c r="G720" s="1133"/>
      <c r="H720" s="1134"/>
      <c r="I720" s="1134"/>
      <c r="J720" s="1135"/>
      <c r="K720" s="1191"/>
      <c r="L720" s="1191"/>
      <c r="M720" s="1191"/>
      <c r="N720" s="1191"/>
      <c r="O720" s="1191"/>
      <c r="P720" s="1131">
        <f t="shared" si="26"/>
        <v>0</v>
      </c>
      <c r="Q720" s="1131"/>
      <c r="R720" s="1131"/>
      <c r="S720" s="1131"/>
      <c r="T720" s="1131"/>
      <c r="U720" s="1192">
        <v>0</v>
      </c>
      <c r="V720" s="1193"/>
      <c r="W720" s="1193"/>
      <c r="X720" s="1194"/>
      <c r="Y720" s="1131">
        <f t="shared" si="28"/>
        <v>0</v>
      </c>
      <c r="Z720" s="1131"/>
      <c r="AA720" s="1131"/>
      <c r="AB720" s="1131"/>
      <c r="AC720" s="1131"/>
      <c r="AD720" s="1121">
        <v>0</v>
      </c>
      <c r="AE720" s="1122"/>
      <c r="AF720" s="1122"/>
      <c r="AG720" s="1122"/>
      <c r="AH720" s="1123"/>
      <c r="AI720" s="1137" t="str">
        <f t="shared" si="27"/>
        <v xml:space="preserve"> </v>
      </c>
      <c r="AJ720" s="1138"/>
      <c r="AK720" s="113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7"/>
      <c r="C721" s="1178"/>
      <c r="D721" s="1178"/>
      <c r="E721" s="1178"/>
      <c r="F721" s="1179"/>
      <c r="G721" s="1133"/>
      <c r="H721" s="1134"/>
      <c r="I721" s="1134"/>
      <c r="J721" s="1135"/>
      <c r="K721" s="1191"/>
      <c r="L721" s="1191"/>
      <c r="M721" s="1191"/>
      <c r="N721" s="1191"/>
      <c r="O721" s="1191"/>
      <c r="P721" s="1131">
        <f t="shared" si="26"/>
        <v>0</v>
      </c>
      <c r="Q721" s="1131"/>
      <c r="R721" s="1131"/>
      <c r="S721" s="1131"/>
      <c r="T721" s="1131"/>
      <c r="U721" s="1192">
        <v>0</v>
      </c>
      <c r="V721" s="1193"/>
      <c r="W721" s="1193"/>
      <c r="X721" s="1194"/>
      <c r="Y721" s="1131">
        <f t="shared" si="28"/>
        <v>0</v>
      </c>
      <c r="Z721" s="1131"/>
      <c r="AA721" s="1131"/>
      <c r="AB721" s="1131"/>
      <c r="AC721" s="1131"/>
      <c r="AD721" s="1121">
        <v>0</v>
      </c>
      <c r="AE721" s="1122"/>
      <c r="AF721" s="1122"/>
      <c r="AG721" s="1122"/>
      <c r="AH721" s="1123"/>
      <c r="AI721" s="1137" t="str">
        <f t="shared" si="27"/>
        <v xml:space="preserve"> </v>
      </c>
      <c r="AJ721" s="1138"/>
      <c r="AK721" s="113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7"/>
      <c r="C722" s="1178"/>
      <c r="D722" s="1178"/>
      <c r="E722" s="1178"/>
      <c r="F722" s="1179"/>
      <c r="G722" s="1133"/>
      <c r="H722" s="1134"/>
      <c r="I722" s="1134"/>
      <c r="J722" s="1135"/>
      <c r="K722" s="1191"/>
      <c r="L722" s="1191"/>
      <c r="M722" s="1191"/>
      <c r="N722" s="1191"/>
      <c r="O722" s="1191"/>
      <c r="P722" s="1131">
        <f t="shared" si="26"/>
        <v>0</v>
      </c>
      <c r="Q722" s="1131"/>
      <c r="R722" s="1131"/>
      <c r="S722" s="1131"/>
      <c r="T722" s="1131"/>
      <c r="U722" s="1192">
        <v>0</v>
      </c>
      <c r="V722" s="1193"/>
      <c r="W722" s="1193"/>
      <c r="X722" s="1194"/>
      <c r="Y722" s="1131">
        <f t="shared" si="28"/>
        <v>0</v>
      </c>
      <c r="Z722" s="1131"/>
      <c r="AA722" s="1131"/>
      <c r="AB722" s="1131"/>
      <c r="AC722" s="1131"/>
      <c r="AD722" s="1121">
        <v>0</v>
      </c>
      <c r="AE722" s="1122"/>
      <c r="AF722" s="1122"/>
      <c r="AG722" s="1122"/>
      <c r="AH722" s="1123"/>
      <c r="AI722" s="1137" t="str">
        <f t="shared" si="27"/>
        <v xml:space="preserve"> </v>
      </c>
      <c r="AJ722" s="1138"/>
      <c r="AK722" s="113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7"/>
      <c r="C723" s="1178"/>
      <c r="D723" s="1178"/>
      <c r="E723" s="1178"/>
      <c r="F723" s="1179"/>
      <c r="G723" s="1133"/>
      <c r="H723" s="1134"/>
      <c r="I723" s="1134"/>
      <c r="J723" s="1135"/>
      <c r="K723" s="1191"/>
      <c r="L723" s="1191"/>
      <c r="M723" s="1191"/>
      <c r="N723" s="1191"/>
      <c r="O723" s="1191"/>
      <c r="P723" s="1131">
        <f t="shared" si="26"/>
        <v>0</v>
      </c>
      <c r="Q723" s="1131"/>
      <c r="R723" s="1131"/>
      <c r="S723" s="1131"/>
      <c r="T723" s="1131"/>
      <c r="U723" s="1192">
        <v>0</v>
      </c>
      <c r="V723" s="1193"/>
      <c r="W723" s="1193"/>
      <c r="X723" s="1194"/>
      <c r="Y723" s="1131">
        <f t="shared" si="28"/>
        <v>0</v>
      </c>
      <c r="Z723" s="1131"/>
      <c r="AA723" s="1131"/>
      <c r="AB723" s="1131"/>
      <c r="AC723" s="1131"/>
      <c r="AD723" s="1121">
        <v>0</v>
      </c>
      <c r="AE723" s="1122"/>
      <c r="AF723" s="1122"/>
      <c r="AG723" s="1122"/>
      <c r="AH723" s="1123"/>
      <c r="AI723" s="1137" t="str">
        <f t="shared" si="27"/>
        <v xml:space="preserve"> </v>
      </c>
      <c r="AJ723" s="1138"/>
      <c r="AK723" s="113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7"/>
      <c r="C724" s="1178"/>
      <c r="D724" s="1178"/>
      <c r="E724" s="1178"/>
      <c r="F724" s="1179"/>
      <c r="G724" s="1133"/>
      <c r="H724" s="1134"/>
      <c r="I724" s="1134"/>
      <c r="J724" s="1135"/>
      <c r="K724" s="1191"/>
      <c r="L724" s="1191"/>
      <c r="M724" s="1191"/>
      <c r="N724" s="1191"/>
      <c r="O724" s="1191"/>
      <c r="P724" s="1131">
        <f t="shared" si="26"/>
        <v>0</v>
      </c>
      <c r="Q724" s="1131"/>
      <c r="R724" s="1131"/>
      <c r="S724" s="1131"/>
      <c r="T724" s="1131"/>
      <c r="U724" s="1192">
        <v>0</v>
      </c>
      <c r="V724" s="1193"/>
      <c r="W724" s="1193"/>
      <c r="X724" s="1194"/>
      <c r="Y724" s="1131">
        <f>K724+U724</f>
        <v>0</v>
      </c>
      <c r="Z724" s="1131"/>
      <c r="AA724" s="1131"/>
      <c r="AB724" s="1131"/>
      <c r="AC724" s="1131"/>
      <c r="AD724" s="1121">
        <v>0</v>
      </c>
      <c r="AE724" s="1122"/>
      <c r="AF724" s="1122"/>
      <c r="AG724" s="1122"/>
      <c r="AH724" s="1123"/>
      <c r="AI724" s="1137" t="str">
        <f t="shared" si="27"/>
        <v xml:space="preserve"> </v>
      </c>
      <c r="AJ724" s="1138"/>
      <c r="AK724" s="113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7"/>
      <c r="C725" s="1178"/>
      <c r="D725" s="1178"/>
      <c r="E725" s="1178"/>
      <c r="F725" s="1179"/>
      <c r="G725" s="1133"/>
      <c r="H725" s="1134"/>
      <c r="I725" s="1134"/>
      <c r="J725" s="1135"/>
      <c r="K725" s="1191"/>
      <c r="L725" s="1191"/>
      <c r="M725" s="1191"/>
      <c r="N725" s="1191"/>
      <c r="O725" s="1191"/>
      <c r="P725" s="1131">
        <f t="shared" si="26"/>
        <v>0</v>
      </c>
      <c r="Q725" s="1131"/>
      <c r="R725" s="1131"/>
      <c r="S725" s="1131"/>
      <c r="T725" s="1131"/>
      <c r="U725" s="1192">
        <v>0</v>
      </c>
      <c r="V725" s="1193"/>
      <c r="W725" s="1193"/>
      <c r="X725" s="1194"/>
      <c r="Y725" s="1131">
        <f>K725+U725</f>
        <v>0</v>
      </c>
      <c r="Z725" s="1131"/>
      <c r="AA725" s="1131"/>
      <c r="AB725" s="1131"/>
      <c r="AC725" s="1131"/>
      <c r="AD725" s="1121">
        <v>0</v>
      </c>
      <c r="AE725" s="1122"/>
      <c r="AF725" s="1122"/>
      <c r="AG725" s="1122"/>
      <c r="AH725" s="1123"/>
      <c r="AI725" s="1137" t="str">
        <f t="shared" si="27"/>
        <v xml:space="preserve"> </v>
      </c>
      <c r="AJ725" s="1138"/>
      <c r="AK725" s="113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7"/>
      <c r="C726" s="1178"/>
      <c r="D726" s="1178"/>
      <c r="E726" s="1178"/>
      <c r="F726" s="1179"/>
      <c r="G726" s="1133"/>
      <c r="H726" s="1134"/>
      <c r="I726" s="1134"/>
      <c r="J726" s="1135"/>
      <c r="K726" s="1191"/>
      <c r="L726" s="1191"/>
      <c r="M726" s="1191"/>
      <c r="N726" s="1191"/>
      <c r="O726" s="1191"/>
      <c r="P726" s="1131">
        <f t="shared" si="26"/>
        <v>0</v>
      </c>
      <c r="Q726" s="1131"/>
      <c r="R726" s="1131"/>
      <c r="S726" s="1131"/>
      <c r="T726" s="1131"/>
      <c r="U726" s="1192">
        <v>0</v>
      </c>
      <c r="V726" s="1193"/>
      <c r="W726" s="1193"/>
      <c r="X726" s="1194"/>
      <c r="Y726" s="1131">
        <f>K726+U726</f>
        <v>0</v>
      </c>
      <c r="Z726" s="1131"/>
      <c r="AA726" s="1131"/>
      <c r="AB726" s="1131"/>
      <c r="AC726" s="1131"/>
      <c r="AD726" s="1121">
        <v>0</v>
      </c>
      <c r="AE726" s="1122"/>
      <c r="AF726" s="1122"/>
      <c r="AG726" s="1122"/>
      <c r="AH726" s="1123"/>
      <c r="AI726" s="1137" t="str">
        <f t="shared" si="27"/>
        <v xml:space="preserve"> </v>
      </c>
      <c r="AJ726" s="1138"/>
      <c r="AK726" s="113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179"/>
      <c r="G727" s="1133"/>
      <c r="H727" s="1134"/>
      <c r="I727" s="1134"/>
      <c r="J727" s="1135"/>
      <c r="K727" s="1191"/>
      <c r="L727" s="1191"/>
      <c r="M727" s="1191"/>
      <c r="N727" s="1191"/>
      <c r="O727" s="1191"/>
      <c r="P727" s="1131">
        <f t="shared" si="26"/>
        <v>0</v>
      </c>
      <c r="Q727" s="1131"/>
      <c r="R727" s="1131"/>
      <c r="S727" s="1131"/>
      <c r="T727" s="1131"/>
      <c r="U727" s="1192">
        <v>0</v>
      </c>
      <c r="V727" s="1193"/>
      <c r="W727" s="1193"/>
      <c r="X727" s="1194"/>
      <c r="Y727" s="1131">
        <f>K727+U727</f>
        <v>0</v>
      </c>
      <c r="Z727" s="1131"/>
      <c r="AA727" s="1131"/>
      <c r="AB727" s="1131"/>
      <c r="AC727" s="1131"/>
      <c r="AD727" s="1121">
        <v>0</v>
      </c>
      <c r="AE727" s="1122"/>
      <c r="AF727" s="1122"/>
      <c r="AG727" s="1122"/>
      <c r="AH727" s="1123"/>
      <c r="AI727" s="1137" t="str">
        <f t="shared" si="27"/>
        <v xml:space="preserve"> </v>
      </c>
      <c r="AJ727" s="1138"/>
      <c r="AK727" s="113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179"/>
      <c r="G728" s="1133"/>
      <c r="H728" s="1134"/>
      <c r="I728" s="1134"/>
      <c r="J728" s="1135"/>
      <c r="K728" s="1191"/>
      <c r="L728" s="1191"/>
      <c r="M728" s="1191"/>
      <c r="N728" s="1191"/>
      <c r="O728" s="1191"/>
      <c r="P728" s="1131">
        <f t="shared" si="26"/>
        <v>0</v>
      </c>
      <c r="Q728" s="1131"/>
      <c r="R728" s="1131"/>
      <c r="S728" s="1131"/>
      <c r="T728" s="1131"/>
      <c r="U728" s="1192">
        <v>0</v>
      </c>
      <c r="V728" s="1193"/>
      <c r="W728" s="1193"/>
      <c r="X728" s="1194"/>
      <c r="Y728" s="1131">
        <f>K728+U728</f>
        <v>0</v>
      </c>
      <c r="Z728" s="1131"/>
      <c r="AA728" s="1131"/>
      <c r="AB728" s="1131"/>
      <c r="AC728" s="1131"/>
      <c r="AD728" s="1121">
        <v>0</v>
      </c>
      <c r="AE728" s="1122"/>
      <c r="AF728" s="1122"/>
      <c r="AG728" s="1122"/>
      <c r="AH728" s="1123"/>
      <c r="AI728" s="1137" t="str">
        <f t="shared" si="27"/>
        <v xml:space="preserve"> </v>
      </c>
      <c r="AJ728" s="1138"/>
      <c r="AK728" s="113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33"/>
      <c r="H729" s="1134"/>
      <c r="I729" s="1134"/>
      <c r="J729" s="1135"/>
      <c r="K729" s="1191"/>
      <c r="L729" s="1191"/>
      <c r="M729" s="1191"/>
      <c r="N729" s="1191"/>
      <c r="O729" s="1191"/>
      <c r="P729" s="1131">
        <f t="shared" si="26"/>
        <v>0</v>
      </c>
      <c r="Q729" s="1131"/>
      <c r="R729" s="1131"/>
      <c r="S729" s="1131"/>
      <c r="T729" s="1131"/>
      <c r="U729" s="1192">
        <v>0</v>
      </c>
      <c r="V729" s="1193"/>
      <c r="W729" s="1193"/>
      <c r="X729" s="1194"/>
      <c r="Y729" s="1131">
        <f t="shared" si="28"/>
        <v>0</v>
      </c>
      <c r="Z729" s="1131"/>
      <c r="AA729" s="1131"/>
      <c r="AB729" s="1131"/>
      <c r="AC729" s="1131"/>
      <c r="AD729" s="1121">
        <v>0</v>
      </c>
      <c r="AE729" s="1122"/>
      <c r="AF729" s="1122"/>
      <c r="AG729" s="1122"/>
      <c r="AH729" s="1123"/>
      <c r="AI729" s="1137" t="str">
        <f t="shared" si="27"/>
        <v xml:space="preserve"> </v>
      </c>
      <c r="AJ729" s="1138"/>
      <c r="AK729" s="113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7"/>
      <c r="C730" s="1178"/>
      <c r="D730" s="1178"/>
      <c r="E730" s="1178"/>
      <c r="F730" s="1179"/>
      <c r="G730" s="1133"/>
      <c r="H730" s="1134"/>
      <c r="I730" s="1134"/>
      <c r="J730" s="1135"/>
      <c r="K730" s="1191"/>
      <c r="L730" s="1191"/>
      <c r="M730" s="1191"/>
      <c r="N730" s="1191"/>
      <c r="O730" s="1191"/>
      <c r="P730" s="1131">
        <f t="shared" si="26"/>
        <v>0</v>
      </c>
      <c r="Q730" s="1131"/>
      <c r="R730" s="1131"/>
      <c r="S730" s="1131"/>
      <c r="T730" s="1131"/>
      <c r="U730" s="1192">
        <v>0</v>
      </c>
      <c r="V730" s="1193"/>
      <c r="W730" s="1193"/>
      <c r="X730" s="1194"/>
      <c r="Y730" s="1131">
        <f t="shared" si="28"/>
        <v>0</v>
      </c>
      <c r="Z730" s="1131"/>
      <c r="AA730" s="1131"/>
      <c r="AB730" s="1131"/>
      <c r="AC730" s="1131"/>
      <c r="AD730" s="1121">
        <v>0</v>
      </c>
      <c r="AE730" s="1122"/>
      <c r="AF730" s="1122"/>
      <c r="AG730" s="1122"/>
      <c r="AH730" s="1123"/>
      <c r="AI730" s="1137" t="str">
        <f t="shared" si="27"/>
        <v xml:space="preserve"> </v>
      </c>
      <c r="AJ730" s="1138"/>
      <c r="AK730" s="113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179"/>
      <c r="G731" s="1133"/>
      <c r="H731" s="1134"/>
      <c r="I731" s="1134"/>
      <c r="J731" s="1135"/>
      <c r="K731" s="1191"/>
      <c r="L731" s="1191"/>
      <c r="M731" s="1191"/>
      <c r="N731" s="1191"/>
      <c r="O731" s="1191"/>
      <c r="P731" s="1131">
        <f t="shared" si="26"/>
        <v>0</v>
      </c>
      <c r="Q731" s="1131"/>
      <c r="R731" s="1131"/>
      <c r="S731" s="1131"/>
      <c r="T731" s="1131"/>
      <c r="U731" s="1192">
        <v>0</v>
      </c>
      <c r="V731" s="1193"/>
      <c r="W731" s="1193"/>
      <c r="X731" s="1194"/>
      <c r="Y731" s="1131">
        <f t="shared" si="28"/>
        <v>0</v>
      </c>
      <c r="Z731" s="1131"/>
      <c r="AA731" s="1131"/>
      <c r="AB731" s="1131"/>
      <c r="AC731" s="1131"/>
      <c r="AD731" s="1121">
        <v>0</v>
      </c>
      <c r="AE731" s="1122"/>
      <c r="AF731" s="1122"/>
      <c r="AG731" s="1122"/>
      <c r="AH731" s="1123"/>
      <c r="AI731" s="1137" t="str">
        <f t="shared" si="27"/>
        <v xml:space="preserve"> </v>
      </c>
      <c r="AJ731" s="1138"/>
      <c r="AK731" s="113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179"/>
      <c r="G732" s="1133"/>
      <c r="H732" s="1134"/>
      <c r="I732" s="1134"/>
      <c r="J732" s="1135"/>
      <c r="K732" s="1191"/>
      <c r="L732" s="1191"/>
      <c r="M732" s="1191"/>
      <c r="N732" s="1191"/>
      <c r="O732" s="1191"/>
      <c r="P732" s="1131">
        <f t="shared" si="26"/>
        <v>0</v>
      </c>
      <c r="Q732" s="1131"/>
      <c r="R732" s="1131"/>
      <c r="S732" s="1131"/>
      <c r="T732" s="1131"/>
      <c r="U732" s="1192">
        <v>0</v>
      </c>
      <c r="V732" s="1193"/>
      <c r="W732" s="1193"/>
      <c r="X732" s="1194"/>
      <c r="Y732" s="1131">
        <f t="shared" si="28"/>
        <v>0</v>
      </c>
      <c r="Z732" s="1131"/>
      <c r="AA732" s="1131"/>
      <c r="AB732" s="1131"/>
      <c r="AC732" s="1131"/>
      <c r="AD732" s="1121">
        <v>0</v>
      </c>
      <c r="AE732" s="1122"/>
      <c r="AF732" s="1122"/>
      <c r="AG732" s="1122"/>
      <c r="AH732" s="1123"/>
      <c r="AI732" s="1137" t="str">
        <f t="shared" si="27"/>
        <v xml:space="preserve"> </v>
      </c>
      <c r="AJ732" s="1138"/>
      <c r="AK732" s="113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179"/>
      <c r="G733" s="1133"/>
      <c r="H733" s="1134"/>
      <c r="I733" s="1134"/>
      <c r="J733" s="1135"/>
      <c r="K733" s="1191"/>
      <c r="L733" s="1191"/>
      <c r="M733" s="1191"/>
      <c r="N733" s="1191"/>
      <c r="O733" s="1191"/>
      <c r="P733" s="1131">
        <f t="shared" si="26"/>
        <v>0</v>
      </c>
      <c r="Q733" s="1131"/>
      <c r="R733" s="1131"/>
      <c r="S733" s="1131"/>
      <c r="T733" s="1131"/>
      <c r="U733" s="1192">
        <v>0</v>
      </c>
      <c r="V733" s="1193"/>
      <c r="W733" s="1193"/>
      <c r="X733" s="1194"/>
      <c r="Y733" s="1131">
        <f t="shared" si="28"/>
        <v>0</v>
      </c>
      <c r="Z733" s="1131"/>
      <c r="AA733" s="1131"/>
      <c r="AB733" s="1131"/>
      <c r="AC733" s="1131"/>
      <c r="AD733" s="1121">
        <v>0</v>
      </c>
      <c r="AE733" s="1122"/>
      <c r="AF733" s="1122"/>
      <c r="AG733" s="1122"/>
      <c r="AH733" s="1123"/>
      <c r="AI733" s="1543" t="str">
        <f t="shared" si="27"/>
        <v xml:space="preserve"> </v>
      </c>
      <c r="AJ733" s="1544"/>
      <c r="AK733" s="154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4" t="s">
        <v>132</v>
      </c>
      <c r="C734" s="1175"/>
      <c r="D734" s="1175"/>
      <c r="E734" s="1175"/>
      <c r="F734" s="1176"/>
      <c r="G734" s="1237">
        <f>SUM(G709:J733)</f>
        <v>88</v>
      </c>
      <c r="H734" s="1238"/>
      <c r="I734" s="1238"/>
      <c r="J734" s="1239"/>
      <c r="K734" s="1174" t="s">
        <v>131</v>
      </c>
      <c r="L734" s="1175"/>
      <c r="M734" s="1175"/>
      <c r="N734" s="1175"/>
      <c r="O734" s="1176"/>
      <c r="P734" s="1163">
        <f>SUM(P709:T733)</f>
        <v>78467</v>
      </c>
      <c r="Q734" s="1124"/>
      <c r="R734" s="1124"/>
      <c r="S734" s="1124"/>
      <c r="T734" s="1164"/>
      <c r="Y734" s="1245" t="s">
        <v>998</v>
      </c>
      <c r="Z734" s="1246"/>
      <c r="AA734" s="1246"/>
      <c r="AB734" s="1246"/>
      <c r="AC734" s="1247"/>
      <c r="AD734" s="1583">
        <f>AV675</f>
        <v>0.41477272727272724</v>
      </c>
      <c r="AE734" s="1584"/>
      <c r="AF734" s="1584"/>
      <c r="AG734" s="1584"/>
      <c r="AH734" s="158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5" t="s">
        <v>641</v>
      </c>
      <c r="AG736" s="1575"/>
      <c r="AH736" s="157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1" t="s">
        <v>421</v>
      </c>
      <c r="K750" s="1112"/>
      <c r="L750" s="1112"/>
      <c r="M750" s="1112"/>
      <c r="N750" s="1113"/>
      <c r="O750" s="1236" t="s">
        <v>302</v>
      </c>
      <c r="P750" s="1236"/>
      <c r="Q750" s="1236"/>
      <c r="R750" s="1236"/>
      <c r="S750" s="1236"/>
      <c r="T750" s="1236" t="s">
        <v>491</v>
      </c>
      <c r="U750" s="1236"/>
      <c r="V750" s="1236"/>
      <c r="W750" s="1236"/>
      <c r="X750" s="1236"/>
      <c r="Y750" s="1236" t="s">
        <v>303</v>
      </c>
      <c r="Z750" s="1236"/>
      <c r="AA750" s="1236"/>
      <c r="AB750" s="1236"/>
      <c r="AC750" s="123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4"/>
      <c r="K751" s="1115"/>
      <c r="L751" s="1115"/>
      <c r="M751" s="1115"/>
      <c r="N751" s="1116"/>
      <c r="O751" s="1236"/>
      <c r="P751" s="1236"/>
      <c r="Q751" s="1236"/>
      <c r="R751" s="1236"/>
      <c r="S751" s="1236"/>
      <c r="T751" s="1236"/>
      <c r="U751" s="1236"/>
      <c r="V751" s="1236"/>
      <c r="W751" s="1236"/>
      <c r="X751" s="1236"/>
      <c r="Y751" s="1236"/>
      <c r="Z751" s="1236"/>
      <c r="AA751" s="1236"/>
      <c r="AB751" s="1236"/>
      <c r="AC751" s="123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4"/>
      <c r="K752" s="1115"/>
      <c r="L752" s="1115"/>
      <c r="M752" s="1115"/>
      <c r="N752" s="1116"/>
      <c r="O752" s="1236"/>
      <c r="P752" s="1236"/>
      <c r="Q752" s="1236"/>
      <c r="R752" s="1236"/>
      <c r="S752" s="1236"/>
      <c r="T752" s="1236"/>
      <c r="U752" s="1236"/>
      <c r="V752" s="1236"/>
      <c r="W752" s="1236"/>
      <c r="X752" s="1236"/>
      <c r="Y752" s="1236"/>
      <c r="Z752" s="1236"/>
      <c r="AA752" s="1236"/>
      <c r="AB752" s="1236"/>
      <c r="AC752" s="123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7"/>
      <c r="K753" s="1118"/>
      <c r="L753" s="1118"/>
      <c r="M753" s="1118"/>
      <c r="N753" s="1119"/>
      <c r="O753" s="1236"/>
      <c r="P753" s="1236"/>
      <c r="Q753" s="1236"/>
      <c r="R753" s="1236"/>
      <c r="S753" s="1236"/>
      <c r="T753" s="1236"/>
      <c r="U753" s="1236"/>
      <c r="V753" s="1236"/>
      <c r="W753" s="1236"/>
      <c r="X753" s="1236"/>
      <c r="Y753" s="1236"/>
      <c r="Z753" s="1236"/>
      <c r="AA753" s="1236"/>
      <c r="AB753" s="1236"/>
      <c r="AC753" s="123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7" t="s">
        <v>348</v>
      </c>
      <c r="K754" s="1178"/>
      <c r="L754" s="1178"/>
      <c r="M754" s="1178"/>
      <c r="N754" s="1179"/>
      <c r="O754" s="1180">
        <v>1</v>
      </c>
      <c r="P754" s="1180"/>
      <c r="Q754" s="1180"/>
      <c r="R754" s="1180"/>
      <c r="S754" s="1180"/>
      <c r="T754" s="1191">
        <v>0</v>
      </c>
      <c r="U754" s="1191"/>
      <c r="V754" s="1191"/>
      <c r="W754" s="1191"/>
      <c r="X754" s="1191"/>
      <c r="Y754" s="1131">
        <f>T754*O754</f>
        <v>0</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t="s">
        <v>170</v>
      </c>
      <c r="K755" s="1178"/>
      <c r="L755" s="1178"/>
      <c r="M755" s="1178"/>
      <c r="N755" s="1179"/>
      <c r="O755" s="1180">
        <v>1</v>
      </c>
      <c r="P755" s="1180"/>
      <c r="Q755" s="1180"/>
      <c r="R755" s="1180"/>
      <c r="S755" s="1180"/>
      <c r="T755" s="1191">
        <v>0</v>
      </c>
      <c r="U755" s="1191"/>
      <c r="V755" s="1191"/>
      <c r="W755" s="1191"/>
      <c r="X755" s="1191"/>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1"/>
      <c r="U756" s="1191"/>
      <c r="V756" s="1191"/>
      <c r="W756" s="1191"/>
      <c r="X756" s="1191"/>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1"/>
      <c r="U757" s="1191"/>
      <c r="V757" s="1191"/>
      <c r="W757" s="1191"/>
      <c r="X757" s="1191"/>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26">
        <f>SUM(O754:S757)</f>
        <v>2</v>
      </c>
      <c r="P758" s="1427"/>
      <c r="Q758" s="1427"/>
      <c r="R758" s="1427"/>
      <c r="S758" s="1428"/>
      <c r="T758" s="1420" t="s">
        <v>131</v>
      </c>
      <c r="U758" s="1421"/>
      <c r="V758" s="1421"/>
      <c r="W758" s="1421"/>
      <c r="X758" s="1422"/>
      <c r="Y758" s="1163">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5" t="s">
        <v>722</v>
      </c>
      <c r="K760" s="1425"/>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1" t="s">
        <v>421</v>
      </c>
      <c r="K764" s="1112"/>
      <c r="L764" s="1112"/>
      <c r="M764" s="1112"/>
      <c r="N764" s="1113"/>
      <c r="O764" s="1236" t="s">
        <v>302</v>
      </c>
      <c r="P764" s="1236"/>
      <c r="Q764" s="1236"/>
      <c r="R764" s="1236"/>
      <c r="S764" s="1236"/>
      <c r="T764" s="1236" t="s">
        <v>491</v>
      </c>
      <c r="U764" s="1236"/>
      <c r="V764" s="1236"/>
      <c r="W764" s="1236"/>
      <c r="X764" s="1236"/>
      <c r="Y764" s="1236" t="s">
        <v>303</v>
      </c>
      <c r="Z764" s="1236"/>
      <c r="AA764" s="1236"/>
      <c r="AB764" s="1236"/>
      <c r="AC764" s="123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4"/>
      <c r="K765" s="1115"/>
      <c r="L765" s="1115"/>
      <c r="M765" s="1115"/>
      <c r="N765" s="1116"/>
      <c r="O765" s="1236"/>
      <c r="P765" s="1236"/>
      <c r="Q765" s="1236"/>
      <c r="R765" s="1236"/>
      <c r="S765" s="1236"/>
      <c r="T765" s="1236"/>
      <c r="U765" s="1236"/>
      <c r="V765" s="1236"/>
      <c r="W765" s="1236"/>
      <c r="X765" s="1236"/>
      <c r="Y765" s="1236"/>
      <c r="Z765" s="1236"/>
      <c r="AA765" s="1236"/>
      <c r="AB765" s="1236"/>
      <c r="AC765" s="123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4"/>
      <c r="K766" s="1115"/>
      <c r="L766" s="1115"/>
      <c r="M766" s="1115"/>
      <c r="N766" s="1116"/>
      <c r="O766" s="1236"/>
      <c r="P766" s="1236"/>
      <c r="Q766" s="1236"/>
      <c r="R766" s="1236"/>
      <c r="S766" s="1236"/>
      <c r="T766" s="1236"/>
      <c r="U766" s="1236"/>
      <c r="V766" s="1236"/>
      <c r="W766" s="1236"/>
      <c r="X766" s="1236"/>
      <c r="Y766" s="1236"/>
      <c r="Z766" s="1236"/>
      <c r="AA766" s="1236"/>
      <c r="AB766" s="1236"/>
      <c r="AC766" s="123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7"/>
      <c r="K767" s="1118"/>
      <c r="L767" s="1118"/>
      <c r="M767" s="1118"/>
      <c r="N767" s="1119"/>
      <c r="O767" s="1236"/>
      <c r="P767" s="1236"/>
      <c r="Q767" s="1236"/>
      <c r="R767" s="1236"/>
      <c r="S767" s="1236"/>
      <c r="T767" s="1236"/>
      <c r="U767" s="1236"/>
      <c r="V767" s="1236"/>
      <c r="W767" s="1236"/>
      <c r="X767" s="1236"/>
      <c r="Y767" s="1236"/>
      <c r="Z767" s="1236"/>
      <c r="AA767" s="1236"/>
      <c r="AB767" s="1236"/>
      <c r="AC767" s="123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1"/>
      <c r="U768" s="1191"/>
      <c r="V768" s="1191"/>
      <c r="W768" s="1191"/>
      <c r="X768" s="1191"/>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1"/>
      <c r="U769" s="1191"/>
      <c r="V769" s="1191"/>
      <c r="W769" s="1191"/>
      <c r="X769" s="1191"/>
      <c r="Y769" s="1131">
        <f t="shared" ref="Y769:Y777" si="29">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1"/>
      <c r="U770" s="1191"/>
      <c r="V770" s="1191"/>
      <c r="W770" s="1191"/>
      <c r="X770" s="1191"/>
      <c r="Y770" s="1131">
        <f t="shared" si="29"/>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1"/>
      <c r="U771" s="1191"/>
      <c r="V771" s="1191"/>
      <c r="W771" s="1191"/>
      <c r="X771" s="1191"/>
      <c r="Y771" s="1131">
        <f t="shared" si="29"/>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1"/>
      <c r="U772" s="1191"/>
      <c r="V772" s="1191"/>
      <c r="W772" s="1191"/>
      <c r="X772" s="1191"/>
      <c r="Y772" s="1131">
        <f t="shared" si="29"/>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1"/>
      <c r="U773" s="1191"/>
      <c r="V773" s="1191"/>
      <c r="W773" s="1191"/>
      <c r="X773" s="1191"/>
      <c r="Y773" s="1131">
        <f t="shared" si="29"/>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1"/>
      <c r="U774" s="1191"/>
      <c r="V774" s="1191"/>
      <c r="W774" s="1191"/>
      <c r="X774" s="1191"/>
      <c r="Y774" s="1131">
        <f t="shared" si="29"/>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1"/>
      <c r="U775" s="1191"/>
      <c r="V775" s="1191"/>
      <c r="W775" s="1191"/>
      <c r="X775" s="1191"/>
      <c r="Y775" s="1131">
        <f t="shared" si="29"/>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1"/>
      <c r="U776" s="1191"/>
      <c r="V776" s="1191"/>
      <c r="W776" s="1191"/>
      <c r="X776" s="1191"/>
      <c r="Y776" s="1131">
        <f t="shared" si="29"/>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1"/>
      <c r="U777" s="1191"/>
      <c r="V777" s="1191"/>
      <c r="W777" s="1191"/>
      <c r="X777" s="1191"/>
      <c r="Y777" s="1131">
        <f t="shared" si="29"/>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19">
        <f>SUM(O768:S777)</f>
        <v>0</v>
      </c>
      <c r="P778" s="1419"/>
      <c r="Q778" s="1419"/>
      <c r="R778" s="1419"/>
      <c r="S778" s="1419"/>
      <c r="T778" s="1420" t="s">
        <v>131</v>
      </c>
      <c r="U778" s="1421"/>
      <c r="V778" s="1421"/>
      <c r="W778" s="1421"/>
      <c r="X778" s="1422"/>
      <c r="Y778" s="1163">
        <f>SUM(Y768:AC777)</f>
        <v>0</v>
      </c>
      <c r="Z778" s="1124"/>
      <c r="AA778" s="1124"/>
      <c r="AB778" s="1124"/>
      <c r="AC778" s="116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3" t="s">
        <v>515</v>
      </c>
      <c r="BB779" s="1244"/>
      <c r="BC779" s="58"/>
      <c r="BD779" s="58"/>
      <c r="BE779" s="58"/>
      <c r="BF779" s="51" t="s">
        <v>684</v>
      </c>
      <c r="BG779" s="51"/>
      <c r="BH779" s="51"/>
      <c r="BI779" s="51"/>
      <c r="BJ779" s="51"/>
      <c r="BK779" s="51"/>
      <c r="BL779" s="51"/>
      <c r="BM779" s="51"/>
      <c r="BN779" s="51"/>
      <c r="BO779" s="1240" t="str">
        <f>T191</f>
        <v>Los Angeles</v>
      </c>
      <c r="BP779" s="1241"/>
      <c r="BQ779" s="1241"/>
      <c r="BR779" s="1241"/>
      <c r="BS779" s="1241"/>
      <c r="BT779" s="1241"/>
      <c r="BU779" s="124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8">
        <f>P734+Y758+Y778</f>
        <v>78467</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941604</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2">
        <v>49</v>
      </c>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5">
        <v>20</v>
      </c>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51501</v>
      </c>
      <c r="AA788" s="1277"/>
      <c r="AB788" s="1277"/>
      <c r="AC788" s="1277"/>
      <c r="AD788" s="1277"/>
      <c r="AE788" s="127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484524</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4680</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v>0</v>
      </c>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v>0</v>
      </c>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0" t="s">
        <v>357</v>
      </c>
      <c r="Q796" s="1161"/>
      <c r="R796" s="1161"/>
      <c r="S796" s="1161"/>
      <c r="T796" s="1161"/>
      <c r="U796" s="1161"/>
      <c r="V796" s="1161"/>
      <c r="W796" s="1161"/>
      <c r="X796" s="1161"/>
      <c r="Y796" s="1162"/>
      <c r="Z796" s="1149"/>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4680</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6">
        <f>Z797+Y781+Z789</f>
        <v>1430808</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3" t="s">
        <v>133</v>
      </c>
      <c r="N803" s="1203"/>
      <c r="O803" s="1203"/>
      <c r="P803" s="1204"/>
      <c r="Q803" s="1158" t="s">
        <v>309</v>
      </c>
      <c r="R803" s="1158"/>
      <c r="S803" s="1158"/>
      <c r="T803" s="1158"/>
      <c r="U803" s="1158" t="s">
        <v>310</v>
      </c>
      <c r="V803" s="1158"/>
      <c r="W803" s="1158"/>
      <c r="X803" s="1158"/>
      <c r="Y803" s="1158" t="s">
        <v>311</v>
      </c>
      <c r="Z803" s="1158"/>
      <c r="AA803" s="1158"/>
      <c r="AB803" s="1158"/>
      <c r="AC803" s="1158" t="s">
        <v>385</v>
      </c>
      <c r="AD803" s="1158"/>
      <c r="AE803" s="1158"/>
      <c r="AF803" s="1158"/>
      <c r="AG803" s="1385" t="s">
        <v>358</v>
      </c>
      <c r="AH803" s="1385"/>
      <c r="AI803" s="1385"/>
      <c r="AJ803" s="138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5"/>
      <c r="N804" s="1205"/>
      <c r="O804" s="1205"/>
      <c r="P804" s="1206"/>
      <c r="Q804" s="1158"/>
      <c r="R804" s="1158"/>
      <c r="S804" s="1158"/>
      <c r="T804" s="1158"/>
      <c r="U804" s="1158"/>
      <c r="V804" s="1158"/>
      <c r="W804" s="1158"/>
      <c r="X804" s="1158"/>
      <c r="Y804" s="1158"/>
      <c r="Z804" s="1158"/>
      <c r="AA804" s="1158"/>
      <c r="AB804" s="1158"/>
      <c r="AC804" s="1158"/>
      <c r="AD804" s="1158"/>
      <c r="AE804" s="1158"/>
      <c r="AF804" s="1158"/>
      <c r="AG804" s="1385"/>
      <c r="AH804" s="1385"/>
      <c r="AI804" s="1385"/>
      <c r="AJ804" s="138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7" t="s">
        <v>45</v>
      </c>
      <c r="D805" s="1308"/>
      <c r="E805" s="1308"/>
      <c r="F805" s="1308"/>
      <c r="G805" s="1308"/>
      <c r="H805" s="1308"/>
      <c r="I805" s="80"/>
      <c r="J805" s="80"/>
      <c r="K805" s="80"/>
      <c r="L805" s="81"/>
      <c r="M805" s="1168">
        <v>11</v>
      </c>
      <c r="N805" s="1168"/>
      <c r="O805" s="1168"/>
      <c r="P805" s="1168"/>
      <c r="Q805" s="1168">
        <v>15</v>
      </c>
      <c r="R805" s="1168"/>
      <c r="S805" s="1168"/>
      <c r="T805" s="1168"/>
      <c r="U805" s="1168">
        <v>20</v>
      </c>
      <c r="V805" s="1168"/>
      <c r="W805" s="1168"/>
      <c r="X805" s="1168"/>
      <c r="Y805" s="1168">
        <v>25</v>
      </c>
      <c r="Z805" s="1168"/>
      <c r="AA805" s="1168"/>
      <c r="AB805" s="1168"/>
      <c r="AC805" s="1199"/>
      <c r="AD805" s="1200"/>
      <c r="AE805" s="1200"/>
      <c r="AF805" s="1201"/>
      <c r="AG805" s="1199"/>
      <c r="AH805" s="1200"/>
      <c r="AI805" s="1200"/>
      <c r="AJ805" s="120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c r="N806" s="1168"/>
      <c r="O806" s="1168"/>
      <c r="P806" s="1168"/>
      <c r="Q806" s="1168"/>
      <c r="R806" s="1168"/>
      <c r="S806" s="1168"/>
      <c r="T806" s="1168"/>
      <c r="U806" s="1168"/>
      <c r="V806" s="1168"/>
      <c r="W806" s="1168"/>
      <c r="X806" s="1168"/>
      <c r="Y806" s="1168"/>
      <c r="Z806" s="1168"/>
      <c r="AA806" s="1168"/>
      <c r="AB806" s="1168"/>
      <c r="AC806" s="1199"/>
      <c r="AD806" s="1200"/>
      <c r="AE806" s="1200"/>
      <c r="AF806" s="1201"/>
      <c r="AG806" s="1199"/>
      <c r="AH806" s="1200"/>
      <c r="AI806" s="1200"/>
      <c r="AJ806" s="120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v>6</v>
      </c>
      <c r="N807" s="1168"/>
      <c r="O807" s="1168"/>
      <c r="P807" s="1168"/>
      <c r="Q807" s="1168">
        <v>8</v>
      </c>
      <c r="R807" s="1168"/>
      <c r="S807" s="1168"/>
      <c r="T807" s="1168"/>
      <c r="U807" s="1168">
        <v>10</v>
      </c>
      <c r="V807" s="1168"/>
      <c r="W807" s="1168"/>
      <c r="X807" s="1168"/>
      <c r="Y807" s="1168">
        <v>13</v>
      </c>
      <c r="Z807" s="1168"/>
      <c r="AA807" s="1168"/>
      <c r="AB807" s="1168"/>
      <c r="AC807" s="1199"/>
      <c r="AD807" s="1200"/>
      <c r="AE807" s="1200"/>
      <c r="AF807" s="1201"/>
      <c r="AG807" s="1199"/>
      <c r="AH807" s="1200"/>
      <c r="AI807" s="1200"/>
      <c r="AJ807" s="120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70"/>
      <c r="E808" s="1170"/>
      <c r="F808" s="1170"/>
      <c r="G808" s="1170"/>
      <c r="H808" s="1170"/>
      <c r="I808" s="96"/>
      <c r="J808" s="96"/>
      <c r="K808" s="96"/>
      <c r="L808" s="97"/>
      <c r="M808" s="1168"/>
      <c r="N808" s="1168"/>
      <c r="O808" s="1168"/>
      <c r="P808" s="1168"/>
      <c r="Q808" s="1168"/>
      <c r="R808" s="1168"/>
      <c r="S808" s="1168"/>
      <c r="T808" s="1168"/>
      <c r="U808" s="1168"/>
      <c r="V808" s="1168"/>
      <c r="W808" s="1168"/>
      <c r="X808" s="1168"/>
      <c r="Y808" s="1168"/>
      <c r="Z808" s="1168"/>
      <c r="AA808" s="1168"/>
      <c r="AB808" s="1168"/>
      <c r="AC808" s="1199"/>
      <c r="AD808" s="1200"/>
      <c r="AE808" s="1200"/>
      <c r="AF808" s="1201"/>
      <c r="AG808" s="1199"/>
      <c r="AH808" s="1200"/>
      <c r="AI808" s="1200"/>
      <c r="AJ808" s="120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70"/>
      <c r="E809" s="1170"/>
      <c r="F809" s="1170"/>
      <c r="G809" s="1170"/>
      <c r="H809" s="1170"/>
      <c r="I809" s="96"/>
      <c r="J809" s="96"/>
      <c r="K809" s="96"/>
      <c r="L809" s="97"/>
      <c r="M809" s="1168">
        <v>19</v>
      </c>
      <c r="N809" s="1168"/>
      <c r="O809" s="1168"/>
      <c r="P809" s="1168"/>
      <c r="Q809" s="1168">
        <v>23</v>
      </c>
      <c r="R809" s="1168"/>
      <c r="S809" s="1168"/>
      <c r="T809" s="1168"/>
      <c r="U809" s="1168">
        <v>28</v>
      </c>
      <c r="V809" s="1168"/>
      <c r="W809" s="1168"/>
      <c r="X809" s="1168"/>
      <c r="Y809" s="1168">
        <v>33</v>
      </c>
      <c r="Z809" s="1168"/>
      <c r="AA809" s="1168"/>
      <c r="AB809" s="1168"/>
      <c r="AC809" s="1199"/>
      <c r="AD809" s="1200"/>
      <c r="AE809" s="1200"/>
      <c r="AF809" s="1201"/>
      <c r="AG809" s="1199"/>
      <c r="AH809" s="1200"/>
      <c r="AI809" s="1200"/>
      <c r="AJ809" s="120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4" t="s">
        <v>864</v>
      </c>
      <c r="D810" s="1170"/>
      <c r="E810" s="1170"/>
      <c r="F810" s="1170"/>
      <c r="G810" s="1170"/>
      <c r="H810" s="1170"/>
      <c r="I810" s="96"/>
      <c r="J810" s="96"/>
      <c r="K810" s="96"/>
      <c r="L810" s="97"/>
      <c r="M810" s="1168">
        <v>59</v>
      </c>
      <c r="N810" s="1168"/>
      <c r="O810" s="1168"/>
      <c r="P810" s="1168"/>
      <c r="Q810" s="1168">
        <v>66</v>
      </c>
      <c r="R810" s="1168"/>
      <c r="S810" s="1168"/>
      <c r="T810" s="1168"/>
      <c r="U810" s="1168">
        <v>73</v>
      </c>
      <c r="V810" s="1168"/>
      <c r="W810" s="1168"/>
      <c r="X810" s="1168"/>
      <c r="Y810" s="1168">
        <v>87</v>
      </c>
      <c r="Z810" s="1168"/>
      <c r="AA810" s="1168"/>
      <c r="AB810" s="1168"/>
      <c r="AC810" s="1199"/>
      <c r="AD810" s="1200"/>
      <c r="AE810" s="1200"/>
      <c r="AF810" s="1201"/>
      <c r="AG810" s="1199"/>
      <c r="AH810" s="1200"/>
      <c r="AI810" s="1200"/>
      <c r="AJ810" s="120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1" t="s">
        <v>1756</v>
      </c>
      <c r="G811" s="1172"/>
      <c r="H811" s="1172"/>
      <c r="I811" s="1172"/>
      <c r="J811" s="1172"/>
      <c r="K811" s="1172"/>
      <c r="L811" s="1173"/>
      <c r="M811" s="1168">
        <v>7</v>
      </c>
      <c r="N811" s="1168"/>
      <c r="O811" s="1168"/>
      <c r="P811" s="1168"/>
      <c r="Q811" s="1168">
        <v>10</v>
      </c>
      <c r="R811" s="1168"/>
      <c r="S811" s="1168"/>
      <c r="T811" s="1168"/>
      <c r="U811" s="1168">
        <v>13</v>
      </c>
      <c r="V811" s="1168"/>
      <c r="W811" s="1168"/>
      <c r="X811" s="1168"/>
      <c r="Y811" s="1168">
        <v>17</v>
      </c>
      <c r="Z811" s="1168"/>
      <c r="AA811" s="1168"/>
      <c r="AB811" s="1168"/>
      <c r="AC811" s="1199"/>
      <c r="AD811" s="1200"/>
      <c r="AE811" s="1200"/>
      <c r="AF811" s="1201"/>
      <c r="AG811" s="1199"/>
      <c r="AH811" s="1200"/>
      <c r="AI811" s="1200"/>
      <c r="AJ811" s="120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202">
        <f>SUM(M805:P811)</f>
        <v>102</v>
      </c>
      <c r="N812" s="1202"/>
      <c r="O812" s="1202"/>
      <c r="P812" s="1202"/>
      <c r="Q812" s="1202">
        <f>SUM(Q805:T811)</f>
        <v>122</v>
      </c>
      <c r="R812" s="1202"/>
      <c r="S812" s="1202"/>
      <c r="T812" s="1202"/>
      <c r="U812" s="1202">
        <f>SUM(U805:X811)</f>
        <v>144</v>
      </c>
      <c r="V812" s="1202"/>
      <c r="W812" s="1202"/>
      <c r="X812" s="1202"/>
      <c r="Y812" s="1202">
        <f>SUM(Y805:AB811)</f>
        <v>175</v>
      </c>
      <c r="Z812" s="1202"/>
      <c r="AA812" s="1202"/>
      <c r="AB812" s="1202"/>
      <c r="AC812" s="1202">
        <f>SUM(AC805:AF811)</f>
        <v>0</v>
      </c>
      <c r="AD812" s="1202"/>
      <c r="AE812" s="1202"/>
      <c r="AF812" s="1202"/>
      <c r="AG812" s="1202">
        <f>SUM(AG805:AJ811)</f>
        <v>0</v>
      </c>
      <c r="AH812" s="1202"/>
      <c r="AI812" s="1202"/>
      <c r="AJ812" s="120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8" t="s">
        <v>1757</v>
      </c>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c r="AA817" s="1329"/>
      <c r="AB817" s="1329"/>
      <c r="AC817" s="1329"/>
      <c r="AD817" s="1329"/>
      <c r="AE817" s="1329"/>
      <c r="AF817" s="1329"/>
      <c r="AG817" s="1329"/>
      <c r="AH817" s="1329"/>
      <c r="AI817" s="1329"/>
      <c r="AJ817" s="133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5">
        <v>5000</v>
      </c>
      <c r="X822" s="1235"/>
      <c r="Y822" s="1235"/>
      <c r="Z822" s="1235"/>
      <c r="AA822" s="1235"/>
      <c r="AB822" s="1235"/>
      <c r="AC822" s="123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5">
        <v>6500</v>
      </c>
      <c r="X823" s="1235"/>
      <c r="Y823" s="1235"/>
      <c r="Z823" s="1235"/>
      <c r="AA823" s="1235"/>
      <c r="AB823" s="1235"/>
      <c r="AC823" s="123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5">
        <v>20000</v>
      </c>
      <c r="X824" s="1235"/>
      <c r="Y824" s="1235"/>
      <c r="Z824" s="1235"/>
      <c r="AA824" s="1235"/>
      <c r="AB824" s="1235"/>
      <c r="AC824" s="1235"/>
      <c r="AD824" s="12"/>
      <c r="AE824" s="12"/>
      <c r="AF824" s="12"/>
      <c r="AG824" s="12"/>
      <c r="AH824" s="12"/>
      <c r="AI824" s="12"/>
      <c r="AJ824" s="12"/>
      <c r="AK824" s="12"/>
      <c r="AL824" s="12"/>
      <c r="AS824" s="21"/>
      <c r="AT824" s="56"/>
      <c r="AV824" s="1157">
        <f>ROUNDDOWN(AP908*2,2)</f>
        <v>0</v>
      </c>
      <c r="AW824" s="1157"/>
      <c r="AX824" s="1157"/>
      <c r="AY824" s="115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5">
        <v>32000</v>
      </c>
      <c r="X825" s="1235"/>
      <c r="Y825" s="1235"/>
      <c r="Z825" s="1235"/>
      <c r="AA825" s="1235"/>
      <c r="AB825" s="1235"/>
      <c r="AC825" s="123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1" t="s">
        <v>1759</v>
      </c>
      <c r="N826" s="1172"/>
      <c r="O826" s="1172"/>
      <c r="P826" s="1172"/>
      <c r="Q826" s="1172"/>
      <c r="R826" s="1172"/>
      <c r="S826" s="1172"/>
      <c r="T826" s="1172"/>
      <c r="U826" s="1172"/>
      <c r="V826" s="1173"/>
      <c r="W826" s="1235">
        <f>20000+2500</f>
        <v>22500</v>
      </c>
      <c r="X826" s="1235"/>
      <c r="Y826" s="1235"/>
      <c r="Z826" s="1235"/>
      <c r="AA826" s="1235"/>
      <c r="AB826" s="1235"/>
      <c r="AC826" s="123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6">
        <f>SUM(W822:AC826)</f>
        <v>86000</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4" t="s">
        <v>369</v>
      </c>
      <c r="K829" s="1175"/>
      <c r="L829" s="1175"/>
      <c r="M829" s="1175"/>
      <c r="N829" s="1175"/>
      <c r="O829" s="1175"/>
      <c r="P829" s="1175"/>
      <c r="Q829" s="1175"/>
      <c r="R829" s="1175"/>
      <c r="S829" s="1175"/>
      <c r="T829" s="1175"/>
      <c r="U829" s="1175"/>
      <c r="V829" s="1176"/>
      <c r="W829" s="1149">
        <v>72360</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9">
        <v>0</v>
      </c>
      <c r="X831" s="1389"/>
      <c r="Y831" s="1389"/>
      <c r="Z831" s="1389"/>
      <c r="AA831" s="1389"/>
      <c r="AB831" s="1389"/>
      <c r="AC831" s="1389"/>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9">
        <v>15000</v>
      </c>
      <c r="X832" s="1389"/>
      <c r="Y832" s="1389"/>
      <c r="Z832" s="1389"/>
      <c r="AA832" s="1389"/>
      <c r="AB832" s="1389"/>
      <c r="AC832" s="138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9">
        <v>48000</v>
      </c>
      <c r="X833" s="1389"/>
      <c r="Y833" s="1389"/>
      <c r="Z833" s="1389"/>
      <c r="AA833" s="1389"/>
      <c r="AB833" s="1389"/>
      <c r="AC833" s="138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9">
        <v>48000</v>
      </c>
      <c r="X834" s="1389"/>
      <c r="Y834" s="1389"/>
      <c r="Z834" s="1389"/>
      <c r="AA834" s="1389"/>
      <c r="AB834" s="1389"/>
      <c r="AC834" s="1389"/>
      <c r="AD834" s="12"/>
      <c r="AE834" s="12"/>
      <c r="AF834" s="12"/>
      <c r="AG834" s="12"/>
      <c r="AH834" s="12"/>
      <c r="AI834" s="12"/>
      <c r="AJ834" s="12"/>
      <c r="AK834" s="12"/>
      <c r="AL834" s="12"/>
      <c r="AM834" s="1418">
        <f>SUM(AM801:AM829)</f>
        <v>7.5000000000000011E-2</v>
      </c>
      <c r="AN834" s="141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111000</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90">
        <v>90000</v>
      </c>
      <c r="X837" s="1391"/>
      <c r="Y837" s="1391"/>
      <c r="Z837" s="1391"/>
      <c r="AA837" s="1391"/>
      <c r="AB837" s="1391"/>
      <c r="AC837" s="139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90">
        <v>45000</v>
      </c>
      <c r="X838" s="1391"/>
      <c r="Y838" s="1391"/>
      <c r="Z838" s="1391"/>
      <c r="AA838" s="1391"/>
      <c r="AB838" s="1391"/>
      <c r="AC838" s="139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1" t="s">
        <v>1758</v>
      </c>
      <c r="N839" s="1172"/>
      <c r="O839" s="1172"/>
      <c r="P839" s="1172"/>
      <c r="Q839" s="1172"/>
      <c r="R839" s="1172"/>
      <c r="S839" s="1172"/>
      <c r="T839" s="1172"/>
      <c r="U839" s="1172"/>
      <c r="V839" s="1173"/>
      <c r="W839" s="1390">
        <v>40500</v>
      </c>
      <c r="X839" s="1391"/>
      <c r="Y839" s="1391"/>
      <c r="Z839" s="1391"/>
      <c r="AA839" s="1391"/>
      <c r="AB839" s="1391"/>
      <c r="AC839" s="139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8">
        <f>SUM(W837:AC839)</f>
        <v>175500</v>
      </c>
      <c r="X840" s="1399"/>
      <c r="Y840" s="1399"/>
      <c r="Z840" s="1399"/>
      <c r="AA840" s="1399"/>
      <c r="AB840" s="1399"/>
      <c r="AC840" s="140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0">
        <v>45000</v>
      </c>
      <c r="X841" s="1391"/>
      <c r="Y841" s="1391"/>
      <c r="Z841" s="1391"/>
      <c r="AA841" s="1391"/>
      <c r="AB841" s="1391"/>
      <c r="AC841" s="139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35">
        <v>10800</v>
      </c>
      <c r="X843" s="1235"/>
      <c r="Y843" s="1235"/>
      <c r="Z843" s="1235"/>
      <c r="AA843" s="1235"/>
      <c r="AB843" s="1235"/>
      <c r="AC843" s="123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5">
        <v>50000</v>
      </c>
      <c r="X844" s="1235"/>
      <c r="Y844" s="1235"/>
      <c r="Z844" s="1235"/>
      <c r="AA844" s="1235"/>
      <c r="AB844" s="1235"/>
      <c r="AC844" s="123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5">
        <v>25000</v>
      </c>
      <c r="X845" s="1235"/>
      <c r="Y845" s="1235"/>
      <c r="Z845" s="1235"/>
      <c r="AA845" s="1235"/>
      <c r="AB845" s="1235"/>
      <c r="AC845" s="123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5">
        <v>10000</v>
      </c>
      <c r="X846" s="1235"/>
      <c r="Y846" s="1235"/>
      <c r="Z846" s="1235"/>
      <c r="AA846" s="1235"/>
      <c r="AB846" s="1235"/>
      <c r="AC846" s="123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5">
        <v>28000</v>
      </c>
      <c r="X847" s="1235"/>
      <c r="Y847" s="1235"/>
      <c r="Z847" s="1235"/>
      <c r="AA847" s="1235"/>
      <c r="AB847" s="1235"/>
      <c r="AC847" s="123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5">
        <v>20000</v>
      </c>
      <c r="X848" s="1235"/>
      <c r="Y848" s="1235"/>
      <c r="Z848" s="1235"/>
      <c r="AA848" s="1235"/>
      <c r="AB848" s="1235"/>
      <c r="AC848" s="123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1" t="s">
        <v>1760</v>
      </c>
      <c r="N849" s="1172"/>
      <c r="O849" s="1172"/>
      <c r="P849" s="1172"/>
      <c r="Q849" s="1172"/>
      <c r="R849" s="1172"/>
      <c r="S849" s="1172"/>
      <c r="T849" s="1172"/>
      <c r="U849" s="1172"/>
      <c r="V849" s="1173"/>
      <c r="W849" s="1235">
        <f>9500+8000</f>
        <v>17500</v>
      </c>
      <c r="X849" s="1235"/>
      <c r="Y849" s="1235"/>
      <c r="Z849" s="1235"/>
      <c r="AA849" s="1235"/>
      <c r="AB849" s="1235"/>
      <c r="AC849" s="123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8">
        <f>SUM(W843:AC849)</f>
        <v>161300</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71" t="s">
        <v>1761</v>
      </c>
      <c r="N852" s="1172"/>
      <c r="O852" s="1172"/>
      <c r="P852" s="1172"/>
      <c r="Q852" s="1172"/>
      <c r="R852" s="1172"/>
      <c r="S852" s="1172"/>
      <c r="T852" s="1172"/>
      <c r="U852" s="1172"/>
      <c r="V852" s="1173"/>
      <c r="W852" s="1149">
        <v>20000</v>
      </c>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71"/>
      <c r="N853" s="1172"/>
      <c r="O853" s="1172"/>
      <c r="P853" s="1172"/>
      <c r="Q853" s="1172"/>
      <c r="R853" s="1172"/>
      <c r="S853" s="1172"/>
      <c r="T853" s="1172"/>
      <c r="U853" s="1172"/>
      <c r="V853" s="1173"/>
      <c r="W853" s="1149"/>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1" t="s">
        <v>1762</v>
      </c>
      <c r="N854" s="1172"/>
      <c r="O854" s="1172"/>
      <c r="P854" s="1172"/>
      <c r="Q854" s="1172"/>
      <c r="R854" s="1172"/>
      <c r="S854" s="1172"/>
      <c r="T854" s="1172"/>
      <c r="U854" s="1172"/>
      <c r="V854" s="1173"/>
      <c r="W854" s="1149">
        <v>2550</v>
      </c>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3" t="s">
        <v>357</v>
      </c>
      <c r="N855" s="1172"/>
      <c r="O855" s="1172"/>
      <c r="P855" s="1172"/>
      <c r="Q855" s="1172"/>
      <c r="R855" s="1172"/>
      <c r="S855" s="1172"/>
      <c r="T855" s="1172"/>
      <c r="U855" s="1172"/>
      <c r="V855" s="1173"/>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3" t="s">
        <v>357</v>
      </c>
      <c r="N856" s="1172"/>
      <c r="O856" s="1172"/>
      <c r="P856" s="1172"/>
      <c r="Q856" s="1172"/>
      <c r="R856" s="1172"/>
      <c r="S856" s="1172"/>
      <c r="T856" s="1172"/>
      <c r="U856" s="1172"/>
      <c r="V856" s="1173"/>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6">
        <f>SUM(W852:AC856)</f>
        <v>22550</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6">
        <f>W827+W835+W840+W841+W850+W857+W829</f>
        <v>673710</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0">
        <f>O778+O758+G734</f>
        <v>90</v>
      </c>
      <c r="AD862" s="1571"/>
      <c r="AE862" s="1571"/>
      <c r="AF862" s="1571"/>
      <c r="AG862" s="1571"/>
      <c r="AH862" s="157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1" t="s">
        <v>35</v>
      </c>
      <c r="F863" s="1332"/>
      <c r="G863" s="1332"/>
      <c r="H863" s="1332"/>
      <c r="I863" s="1332"/>
      <c r="J863" s="1332"/>
      <c r="K863" s="1332"/>
      <c r="L863" s="1332"/>
      <c r="M863" s="1332"/>
      <c r="N863" s="1332"/>
      <c r="O863" s="1332"/>
      <c r="P863" s="1332"/>
      <c r="Q863" s="1332"/>
      <c r="R863" s="1332"/>
      <c r="S863" s="1332"/>
      <c r="T863" s="1332"/>
      <c r="U863" s="1332"/>
      <c r="V863" s="1332"/>
      <c r="W863" s="1332"/>
      <c r="X863" s="1332"/>
      <c r="Y863" s="1332"/>
      <c r="Z863" s="1332"/>
      <c r="AA863" s="1332"/>
      <c r="AB863" s="1333"/>
      <c r="AC863" s="1573">
        <f>IF(ISERROR((ROUNDDOWN(AC861/AC862,0))),0,(ROUNDDOWN(AC861/AC862,0)))</f>
        <v>7485</v>
      </c>
      <c r="AD863" s="1574"/>
      <c r="AE863" s="1574"/>
      <c r="AF863" s="1574"/>
      <c r="AG863" s="1574"/>
      <c r="AH863" s="157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7">
        <v>296020</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51"/>
      <c r="AD865" s="1235"/>
      <c r="AE865" s="1235"/>
      <c r="AF865" s="1235"/>
      <c r="AG865" s="1235"/>
      <c r="AH865" s="123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9">
        <v>117600</v>
      </c>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45000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v>7500</v>
      </c>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5" t="s">
        <v>1785</v>
      </c>
      <c r="F869" s="1396"/>
      <c r="G869" s="1396"/>
      <c r="H869" s="1396"/>
      <c r="I869" s="1396"/>
      <c r="J869" s="1396"/>
      <c r="K869" s="1396"/>
      <c r="L869" s="1396"/>
      <c r="M869" s="1396"/>
      <c r="N869" s="1396"/>
      <c r="O869" s="1396"/>
      <c r="P869" s="1396"/>
      <c r="Q869" s="1396"/>
      <c r="R869" s="1396"/>
      <c r="S869" s="1396"/>
      <c r="T869" s="1396"/>
      <c r="U869" s="1396"/>
      <c r="V869" s="1396"/>
      <c r="W869" s="1396"/>
      <c r="X869" s="1396"/>
      <c r="Y869" s="1396"/>
      <c r="Z869" s="1396"/>
      <c r="AA869" s="1396"/>
      <c r="AB869" s="1397"/>
      <c r="AC869" s="1415">
        <f>7150+6000+3250</f>
        <v>16400</v>
      </c>
      <c r="AD869" s="1235"/>
      <c r="AE869" s="1235"/>
      <c r="AF869" s="1235"/>
      <c r="AG869" s="1235"/>
      <c r="AH869" s="123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5" t="s">
        <v>1799</v>
      </c>
      <c r="F870" s="1396"/>
      <c r="G870" s="1396"/>
      <c r="H870" s="1396"/>
      <c r="I870" s="1396"/>
      <c r="J870" s="1396"/>
      <c r="K870" s="1396"/>
      <c r="L870" s="1396"/>
      <c r="M870" s="1396"/>
      <c r="N870" s="1396"/>
      <c r="O870" s="1396"/>
      <c r="P870" s="1396"/>
      <c r="Q870" s="1396"/>
      <c r="R870" s="1396"/>
      <c r="S870" s="1396"/>
      <c r="T870" s="1396"/>
      <c r="U870" s="1396"/>
      <c r="V870" s="1396"/>
      <c r="W870" s="1396"/>
      <c r="X870" s="1396"/>
      <c r="Y870" s="1396"/>
      <c r="Z870" s="1396"/>
      <c r="AA870" s="1396"/>
      <c r="AB870" s="1397"/>
      <c r="AC870" s="1235">
        <v>66961</v>
      </c>
      <c r="AD870" s="1235"/>
      <c r="AE870" s="1235"/>
      <c r="AF870" s="1235"/>
      <c r="AG870" s="1235"/>
      <c r="AH870" s="123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9"/>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9"/>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6">
        <f>Z874-(Z875+Z876)</f>
        <v>0</v>
      </c>
      <c r="AA877" s="1217"/>
      <c r="AB877" s="1217"/>
      <c r="AC877" s="1217"/>
      <c r="AD877" s="1217"/>
      <c r="AE877" s="1218"/>
      <c r="AM877" s="61"/>
      <c r="AO877" s="52" t="s">
        <v>180</v>
      </c>
      <c r="AP877" s="177">
        <v>20</v>
      </c>
      <c r="AQ877" s="1147">
        <f>IF(AD955&gt;0,0.2,0)</f>
        <v>0.2</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4">
        <f>IF(AD958&gt;0,0.05,0)</f>
        <v>0</v>
      </c>
      <c r="AR878" s="141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8">
        <f>IF(AD965&gt;0,0.07,0)</f>
        <v>7.0000000000000007E-2</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8">
        <f>IF(AD971&gt;0,0.02,0)</f>
        <v>0</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7">
        <f>AN891</f>
        <v>0</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9"/>
      <c r="AR883" s="1159"/>
      <c r="AS883" s="11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0"/>
      <c r="AR884" s="1410"/>
      <c r="AS884" s="141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323</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47">
        <f>SUM(AQ877:AQ885)</f>
        <v>0.37</v>
      </c>
      <c r="AR886" s="114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0.37</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1" t="s">
        <v>873</v>
      </c>
      <c r="G890" s="1402"/>
      <c r="H890" s="1402"/>
      <c r="I890" s="1402"/>
      <c r="J890" s="1402"/>
      <c r="K890" s="1402"/>
      <c r="L890" s="1402"/>
      <c r="M890" s="1402"/>
      <c r="N890" s="1402"/>
      <c r="O890" s="1402"/>
      <c r="P890" s="1402"/>
      <c r="Q890" s="1402"/>
      <c r="R890" s="1402"/>
      <c r="S890" s="1402"/>
      <c r="T890" s="1403"/>
      <c r="U890" s="1339" t="s">
        <v>34</v>
      </c>
      <c r="V890" s="1340"/>
      <c r="W890" s="1340"/>
      <c r="X890" s="1340"/>
      <c r="Y890" s="1340"/>
      <c r="Z890" s="134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1" t="s">
        <v>902</v>
      </c>
      <c r="G891" s="1342"/>
      <c r="H891" s="1342"/>
      <c r="I891" s="1342"/>
      <c r="J891" s="1342"/>
      <c r="K891" s="1342"/>
      <c r="L891" s="1342"/>
      <c r="M891" s="1342"/>
      <c r="N891" s="1342"/>
      <c r="O891" s="1342"/>
      <c r="P891" s="1342"/>
      <c r="Q891" s="1342"/>
      <c r="R891" s="1342"/>
      <c r="S891" s="1342"/>
      <c r="T891" s="1568"/>
      <c r="U891" s="1341"/>
      <c r="V891" s="1342"/>
      <c r="W891" s="1342"/>
      <c r="X891" s="1342"/>
      <c r="Y891" s="1342"/>
      <c r="Z891" s="134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3"/>
      <c r="G892" s="1344"/>
      <c r="H892" s="1344"/>
      <c r="I892" s="1344"/>
      <c r="J892" s="1344"/>
      <c r="K892" s="1344"/>
      <c r="L892" s="1344"/>
      <c r="M892" s="1344"/>
      <c r="N892" s="1344"/>
      <c r="O892" s="1344"/>
      <c r="P892" s="1344"/>
      <c r="Q892" s="1344"/>
      <c r="R892" s="1344"/>
      <c r="S892" s="1344"/>
      <c r="T892" s="1569"/>
      <c r="U892" s="1343"/>
      <c r="V892" s="1344"/>
      <c r="W892" s="1344"/>
      <c r="X892" s="1344"/>
      <c r="Y892" s="1344"/>
      <c r="Z892" s="1344"/>
      <c r="AA892" s="168"/>
      <c r="AB892" s="1219" t="s">
        <v>424</v>
      </c>
      <c r="AC892" s="1219"/>
      <c r="AD892" s="1219"/>
      <c r="AE892" s="121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1" t="s">
        <v>591</v>
      </c>
      <c r="V893" s="1232"/>
      <c r="W893" s="1232"/>
      <c r="X893" s="1232"/>
      <c r="Y893" s="1232"/>
      <c r="Z893" s="1233"/>
      <c r="AA893" s="1195">
        <v>5478466</v>
      </c>
      <c r="AB893" s="1196"/>
      <c r="AC893" s="1196"/>
      <c r="AD893" s="1196"/>
      <c r="AE893" s="1196"/>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1" t="s">
        <v>641</v>
      </c>
      <c r="V894" s="1232"/>
      <c r="W894" s="1232"/>
      <c r="X894" s="1232"/>
      <c r="Y894" s="1232"/>
      <c r="Z894" s="1233"/>
      <c r="AA894" s="1195"/>
      <c r="AB894" s="1196"/>
      <c r="AC894" s="1196"/>
      <c r="AD894" s="1196"/>
      <c r="AE894" s="1196"/>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1" t="s">
        <v>641</v>
      </c>
      <c r="V895" s="1232"/>
      <c r="W895" s="1232"/>
      <c r="X895" s="1232"/>
      <c r="Y895" s="1232"/>
      <c r="Z895" s="1233"/>
      <c r="AA895" s="1195"/>
      <c r="AB895" s="1196"/>
      <c r="AC895" s="1196"/>
      <c r="AD895" s="1196"/>
      <c r="AE895" s="1196"/>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1" t="s">
        <v>641</v>
      </c>
      <c r="V896" s="1232"/>
      <c r="W896" s="1232"/>
      <c r="X896" s="1232"/>
      <c r="Y896" s="1232"/>
      <c r="Z896" s="1233"/>
      <c r="AA896" s="1195"/>
      <c r="AB896" s="1196"/>
      <c r="AC896" s="1196"/>
      <c r="AD896" s="1196"/>
      <c r="AE896" s="1196"/>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1" t="s">
        <v>641</v>
      </c>
      <c r="V897" s="1232"/>
      <c r="W897" s="1232"/>
      <c r="X897" s="1232"/>
      <c r="Y897" s="1232"/>
      <c r="Z897" s="1233"/>
      <c r="AA897" s="1195"/>
      <c r="AB897" s="1196"/>
      <c r="AC897" s="1196"/>
      <c r="AD897" s="1196"/>
      <c r="AE897" s="1196"/>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1" t="s">
        <v>641</v>
      </c>
      <c r="V898" s="1232"/>
      <c r="W898" s="1232"/>
      <c r="X898" s="1232"/>
      <c r="Y898" s="1232"/>
      <c r="Z898" s="1233"/>
      <c r="AA898" s="1195"/>
      <c r="AB898" s="1196"/>
      <c r="AC898" s="1196"/>
      <c r="AD898" s="1196"/>
      <c r="AE898" s="1196"/>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1" t="s">
        <v>641</v>
      </c>
      <c r="V899" s="1232"/>
      <c r="W899" s="1232"/>
      <c r="X899" s="1232"/>
      <c r="Y899" s="1232"/>
      <c r="Z899" s="1233"/>
      <c r="AA899" s="1195"/>
      <c r="AB899" s="1196"/>
      <c r="AC899" s="1196"/>
      <c r="AD899" s="1196"/>
      <c r="AE899" s="1196"/>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1" t="s">
        <v>641</v>
      </c>
      <c r="V900" s="1232"/>
      <c r="W900" s="1232"/>
      <c r="X900" s="1232"/>
      <c r="Y900" s="1232"/>
      <c r="Z900" s="1233"/>
      <c r="AA900" s="1195"/>
      <c r="AB900" s="1196"/>
      <c r="AC900" s="1196"/>
      <c r="AD900" s="1196"/>
      <c r="AE900" s="1196"/>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1" t="s">
        <v>641</v>
      </c>
      <c r="V901" s="1232"/>
      <c r="W901" s="1232"/>
      <c r="X901" s="1232"/>
      <c r="Y901" s="1232"/>
      <c r="Z901" s="1233"/>
      <c r="AA901" s="1195"/>
      <c r="AB901" s="1196"/>
      <c r="AC901" s="1196"/>
      <c r="AD901" s="1196"/>
      <c r="AE901" s="1196"/>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1" t="s">
        <v>641</v>
      </c>
      <c r="V902" s="1232"/>
      <c r="W902" s="1232"/>
      <c r="X902" s="1232"/>
      <c r="Y902" s="1232"/>
      <c r="Z902" s="1233"/>
      <c r="AA902" s="1195"/>
      <c r="AB902" s="1196"/>
      <c r="AC902" s="1196"/>
      <c r="AD902" s="1196"/>
      <c r="AE902" s="1196"/>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31" t="s">
        <v>641</v>
      </c>
      <c r="V903" s="1232"/>
      <c r="W903" s="1232"/>
      <c r="X903" s="1232"/>
      <c r="Y903" s="1232"/>
      <c r="Z903" s="1233"/>
      <c r="AA903" s="1195"/>
      <c r="AB903" s="1196"/>
      <c r="AC903" s="1196"/>
      <c r="AD903" s="1196"/>
      <c r="AE903" s="1196"/>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1" t="s">
        <v>641</v>
      </c>
      <c r="V904" s="1232"/>
      <c r="W904" s="1232"/>
      <c r="X904" s="1232"/>
      <c r="Y904" s="1232"/>
      <c r="Z904" s="1233"/>
      <c r="AA904" s="1195"/>
      <c r="AB904" s="1196"/>
      <c r="AC904" s="1196"/>
      <c r="AD904" s="1196"/>
      <c r="AE904" s="1196"/>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1" t="s">
        <v>641</v>
      </c>
      <c r="V905" s="1232"/>
      <c r="W905" s="1232"/>
      <c r="X905" s="1232"/>
      <c r="Y905" s="1232"/>
      <c r="Z905" s="1233"/>
      <c r="AA905" s="1195"/>
      <c r="AB905" s="1196"/>
      <c r="AC905" s="1196"/>
      <c r="AD905" s="1196"/>
      <c r="AE905" s="1196"/>
      <c r="AF905" s="1197"/>
      <c r="AM905" s="1411">
        <f>G734+O778</f>
        <v>88</v>
      </c>
      <c r="AN905" s="141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31" t="s">
        <v>641</v>
      </c>
      <c r="V906" s="1232"/>
      <c r="W906" s="1232"/>
      <c r="X906" s="1232"/>
      <c r="Y906" s="1232"/>
      <c r="Z906" s="1233"/>
      <c r="AA906" s="1195"/>
      <c r="AB906" s="1196"/>
      <c r="AC906" s="1196"/>
      <c r="AD906" s="1196"/>
      <c r="AE906" s="1196"/>
      <c r="AF906" s="1197"/>
      <c r="AM906" s="52"/>
      <c r="AN906" s="21"/>
      <c r="AO906" s="1386">
        <f>ROUNDDOWN(X999/I999,2)</f>
        <v>0.18</v>
      </c>
      <c r="AP906" s="1387"/>
      <c r="AQ906" s="1387"/>
      <c r="AR906" s="138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31" t="s">
        <v>641</v>
      </c>
      <c r="V907" s="1232"/>
      <c r="W907" s="1232"/>
      <c r="X907" s="1232"/>
      <c r="Y907" s="1232"/>
      <c r="Z907" s="1233"/>
      <c r="AA907" s="1195"/>
      <c r="AB907" s="1196"/>
      <c r="AC907" s="1196"/>
      <c r="AD907" s="1196"/>
      <c r="AE907" s="1196"/>
      <c r="AF907" s="1197"/>
      <c r="AM907" s="52"/>
      <c r="AN907" s="52"/>
      <c r="AO907" s="1365">
        <f>ROUNDDOWN(X1003/I1003,2)</f>
        <v>0.55000000000000004</v>
      </c>
      <c r="AP907" s="1366"/>
      <c r="AQ907" s="1366"/>
      <c r="AR907" s="136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1" t="s">
        <v>722</v>
      </c>
      <c r="Q908" s="1232"/>
      <c r="R908" s="1232"/>
      <c r="S908" s="1232"/>
      <c r="T908" s="1233"/>
      <c r="U908" s="1231" t="s">
        <v>641</v>
      </c>
      <c r="V908" s="1232"/>
      <c r="W908" s="1232"/>
      <c r="X908" s="1232"/>
      <c r="Y908" s="1232"/>
      <c r="Z908" s="1233"/>
      <c r="AA908" s="1195"/>
      <c r="AB908" s="1196"/>
      <c r="AC908" s="1196"/>
      <c r="AD908" s="1196"/>
      <c r="AE908" s="1196"/>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5" t="s">
        <v>1730</v>
      </c>
      <c r="J909" s="1393"/>
      <c r="K909" s="1393"/>
      <c r="L909" s="1393"/>
      <c r="M909" s="1393"/>
      <c r="N909" s="1393"/>
      <c r="O909" s="1393"/>
      <c r="P909" s="1393"/>
      <c r="Q909" s="1393"/>
      <c r="R909" s="1393"/>
      <c r="S909" s="1393"/>
      <c r="T909" s="1394"/>
      <c r="U909" s="1231" t="s">
        <v>591</v>
      </c>
      <c r="V909" s="1232"/>
      <c r="W909" s="1232"/>
      <c r="X909" s="1232"/>
      <c r="Y909" s="1232"/>
      <c r="Z909" s="1233"/>
      <c r="AA909" s="1195">
        <v>15943197</v>
      </c>
      <c r="AB909" s="1196"/>
      <c r="AC909" s="1196"/>
      <c r="AD909" s="1196"/>
      <c r="AE909" s="1196"/>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5" t="s">
        <v>1729</v>
      </c>
      <c r="J910" s="1161"/>
      <c r="K910" s="1161"/>
      <c r="L910" s="1161"/>
      <c r="M910" s="1161"/>
      <c r="N910" s="1161"/>
      <c r="O910" s="1161"/>
      <c r="P910" s="1161"/>
      <c r="Q910" s="1161"/>
      <c r="R910" s="1161"/>
      <c r="S910" s="1161"/>
      <c r="T910" s="1162"/>
      <c r="U910" s="1231" t="s">
        <v>591</v>
      </c>
      <c r="V910" s="1232"/>
      <c r="W910" s="1232"/>
      <c r="X910" s="1232"/>
      <c r="Y910" s="1232"/>
      <c r="Z910" s="1233"/>
      <c r="AA910" s="1195">
        <f>7000000</f>
        <v>7000000</v>
      </c>
      <c r="AB910" s="1196"/>
      <c r="AC910" s="1196"/>
      <c r="AD910" s="1196"/>
      <c r="AE910" s="1196"/>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5" t="s">
        <v>1735</v>
      </c>
      <c r="J911" s="1161"/>
      <c r="K911" s="1161"/>
      <c r="L911" s="1161"/>
      <c r="M911" s="1161"/>
      <c r="N911" s="1161"/>
      <c r="O911" s="1161"/>
      <c r="P911" s="1161"/>
      <c r="Q911" s="1161"/>
      <c r="R911" s="1161"/>
      <c r="S911" s="1161"/>
      <c r="T911" s="1162"/>
      <c r="U911" s="1231" t="s">
        <v>591</v>
      </c>
      <c r="V911" s="1232"/>
      <c r="W911" s="1232"/>
      <c r="X911" s="1232"/>
      <c r="Y911" s="1232"/>
      <c r="Z911" s="1233"/>
      <c r="AA911" s="1195">
        <v>1000000</v>
      </c>
      <c r="AB911" s="1196"/>
      <c r="AC911" s="1196"/>
      <c r="AD911" s="1196"/>
      <c r="AE911" s="1196"/>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0" t="s">
        <v>357</v>
      </c>
      <c r="J912" s="1161"/>
      <c r="K912" s="1161"/>
      <c r="L912" s="1161"/>
      <c r="M912" s="1161"/>
      <c r="N912" s="1161"/>
      <c r="O912" s="1161"/>
      <c r="P912" s="1161"/>
      <c r="Q912" s="1161"/>
      <c r="R912" s="1161"/>
      <c r="S912" s="1161"/>
      <c r="T912" s="1162"/>
      <c r="U912" s="1231" t="s">
        <v>641</v>
      </c>
      <c r="V912" s="1232"/>
      <c r="W912" s="1232"/>
      <c r="X912" s="1232"/>
      <c r="Y912" s="1232"/>
      <c r="Z912" s="1233"/>
      <c r="AA912" s="1195"/>
      <c r="AB912" s="1196"/>
      <c r="AC912" s="1196"/>
      <c r="AD912" s="1196"/>
      <c r="AE912" s="1196"/>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v>44067</v>
      </c>
      <c r="N917" s="1277"/>
      <c r="O917" s="1277"/>
      <c r="P917" s="1277"/>
      <c r="Q917" s="1277"/>
      <c r="R917" s="1277"/>
      <c r="S917" s="1278"/>
      <c r="U917" s="103" t="s">
        <v>11</v>
      </c>
      <c r="V917" s="77"/>
      <c r="W917" s="77"/>
      <c r="X917" s="77"/>
      <c r="Y917" s="77"/>
      <c r="Z917" s="77"/>
      <c r="AA917" s="77"/>
      <c r="AB917" s="77"/>
      <c r="AC917" s="77"/>
      <c r="AD917" s="78"/>
      <c r="AE917" s="1276"/>
      <c r="AF917" s="1277"/>
      <c r="AG917" s="1277"/>
      <c r="AH917" s="1277"/>
      <c r="AI917" s="1277"/>
      <c r="AJ917" s="1277"/>
      <c r="AK917" s="127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6" t="s">
        <v>1729</v>
      </c>
      <c r="N918" s="1357"/>
      <c r="O918" s="1357"/>
      <c r="P918" s="1357"/>
      <c r="Q918" s="1357"/>
      <c r="R918" s="1357"/>
      <c r="S918" s="1358"/>
      <c r="U918" s="103" t="s">
        <v>12</v>
      </c>
      <c r="V918" s="77"/>
      <c r="W918" s="77"/>
      <c r="X918" s="77"/>
      <c r="Y918" s="77"/>
      <c r="Z918" s="77"/>
      <c r="AA918" s="77"/>
      <c r="AB918" s="77"/>
      <c r="AC918" s="77"/>
      <c r="AD918" s="78"/>
      <c r="AE918" s="1356"/>
      <c r="AF918" s="1357"/>
      <c r="AG918" s="1357"/>
      <c r="AH918" s="1357"/>
      <c r="AI918" s="1357"/>
      <c r="AJ918" s="1357"/>
      <c r="AK918" s="13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9" t="s">
        <v>1763</v>
      </c>
      <c r="K919" s="1380"/>
      <c r="L919" s="1380"/>
      <c r="M919" s="1380"/>
      <c r="N919" s="1380"/>
      <c r="O919" s="1380"/>
      <c r="P919" s="1380"/>
      <c r="Q919" s="1380"/>
      <c r="R919" s="1380"/>
      <c r="S919" s="1381"/>
      <c r="U919" s="103" t="s">
        <v>974</v>
      </c>
      <c r="V919" s="77"/>
      <c r="W919" s="77"/>
      <c r="AB919" s="1379" t="s">
        <v>329</v>
      </c>
      <c r="AC919" s="1380"/>
      <c r="AD919" s="1380"/>
      <c r="AE919" s="1380"/>
      <c r="AF919" s="1380"/>
      <c r="AG919" s="1380"/>
      <c r="AH919" s="1380"/>
      <c r="AI919" s="1380"/>
      <c r="AJ919" s="1380"/>
      <c r="AK919" s="138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2">
        <v>0.54</v>
      </c>
      <c r="N920" s="1369"/>
      <c r="O920" s="1369"/>
      <c r="P920" s="1369"/>
      <c r="Q920" s="1369"/>
      <c r="R920" s="1369"/>
      <c r="S920" s="1370"/>
      <c r="U920" s="103" t="s">
        <v>13</v>
      </c>
      <c r="V920" s="77"/>
      <c r="W920" s="77"/>
      <c r="X920" s="77"/>
      <c r="Y920" s="77"/>
      <c r="Z920" s="77"/>
      <c r="AA920" s="77"/>
      <c r="AB920" s="77"/>
      <c r="AC920" s="77"/>
      <c r="AD920" s="78"/>
      <c r="AE920" s="1368"/>
      <c r="AF920" s="1369"/>
      <c r="AG920" s="1369"/>
      <c r="AH920" s="1369"/>
      <c r="AI920" s="1369"/>
      <c r="AJ920" s="1369"/>
      <c r="AK920" s="137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v>49</v>
      </c>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793452</v>
      </c>
      <c r="N922" s="1196"/>
      <c r="O922" s="1196"/>
      <c r="P922" s="1196"/>
      <c r="Q922" s="1196"/>
      <c r="R922" s="1196"/>
      <c r="S922" s="1197"/>
      <c r="U922" s="103" t="s">
        <v>15</v>
      </c>
      <c r="V922" s="77"/>
      <c r="W922" s="77"/>
      <c r="X922" s="77"/>
      <c r="Y922" s="77"/>
      <c r="Z922" s="77"/>
      <c r="AA922" s="77"/>
      <c r="AB922" s="77"/>
      <c r="AC922" s="77"/>
      <c r="AD922" s="78"/>
      <c r="AE922" s="1195"/>
      <c r="AF922" s="1196"/>
      <c r="AG922" s="1196"/>
      <c r="AH922" s="1196"/>
      <c r="AI922" s="1196"/>
      <c r="AJ922" s="1196"/>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15869040</v>
      </c>
      <c r="N923" s="1196"/>
      <c r="O923" s="1196"/>
      <c r="P923" s="1196"/>
      <c r="Q923" s="1196"/>
      <c r="R923" s="1196"/>
      <c r="S923" s="1197"/>
      <c r="U923" s="103" t="s">
        <v>16</v>
      </c>
      <c r="V923" s="77"/>
      <c r="W923" s="77"/>
      <c r="X923" s="77"/>
      <c r="Y923" s="77"/>
      <c r="Z923" s="77"/>
      <c r="AA923" s="77"/>
      <c r="AB923" s="77"/>
      <c r="AC923" s="77"/>
      <c r="AD923" s="78"/>
      <c r="AE923" s="1195"/>
      <c r="AF923" s="1196"/>
      <c r="AG923" s="1196"/>
      <c r="AH923" s="1196"/>
      <c r="AI923" s="1196"/>
      <c r="AJ923" s="1196"/>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51">
        <v>20</v>
      </c>
      <c r="N924" s="1352"/>
      <c r="O924" s="1352"/>
      <c r="P924" s="1352"/>
      <c r="Q924" s="1352"/>
      <c r="R924" s="1352"/>
      <c r="S924" s="1353"/>
      <c r="U924" s="103" t="s">
        <v>620</v>
      </c>
      <c r="V924" s="77"/>
      <c r="W924" s="77"/>
      <c r="X924" s="77"/>
      <c r="Y924" s="77"/>
      <c r="Z924" s="77"/>
      <c r="AA924" s="77"/>
      <c r="AB924" s="77"/>
      <c r="AC924" s="77"/>
      <c r="AD924" s="78"/>
      <c r="AE924" s="1351"/>
      <c r="AF924" s="1352"/>
      <c r="AG924" s="1352"/>
      <c r="AH924" s="1352"/>
      <c r="AI924" s="1352"/>
      <c r="AJ924" s="1352"/>
      <c r="AK924" s="13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2"/>
      <c r="N929" s="1213"/>
      <c r="O929" s="1213"/>
      <c r="P929" s="1213"/>
      <c r="Q929" s="1213"/>
      <c r="R929" s="1213"/>
      <c r="S929" s="1214"/>
      <c r="T929" s="103" t="s">
        <v>871</v>
      </c>
      <c r="U929" s="77"/>
      <c r="V929" s="77"/>
      <c r="W929" s="77"/>
      <c r="X929" s="77"/>
      <c r="Y929" s="77"/>
      <c r="Z929" s="78"/>
      <c r="AA929" s="1212"/>
      <c r="AB929" s="1213"/>
      <c r="AC929" s="1213"/>
      <c r="AD929" s="1213"/>
      <c r="AE929" s="1213"/>
      <c r="AF929" s="1213"/>
      <c r="AG929" s="121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2"/>
      <c r="N930" s="1213"/>
      <c r="O930" s="1213"/>
      <c r="P930" s="1213"/>
      <c r="Q930" s="1213"/>
      <c r="R930" s="1213"/>
      <c r="S930" s="1214"/>
      <c r="T930" s="103" t="s">
        <v>870</v>
      </c>
      <c r="U930" s="77"/>
      <c r="V930" s="77"/>
      <c r="W930" s="77"/>
      <c r="X930" s="77"/>
      <c r="Y930" s="77"/>
      <c r="Z930" s="78"/>
      <c r="AA930" s="1212"/>
      <c r="AB930" s="1213"/>
      <c r="AC930" s="1213"/>
      <c r="AD930" s="1213"/>
      <c r="AE930" s="1213"/>
      <c r="AF930" s="1213"/>
      <c r="AG930" s="121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3"/>
      <c r="N931" s="1374"/>
      <c r="O931" s="1374"/>
      <c r="P931" s="1374"/>
      <c r="Q931" s="1374"/>
      <c r="R931" s="1374"/>
      <c r="S931" s="1375"/>
      <c r="T931" s="76" t="s">
        <v>360</v>
      </c>
      <c r="U931" s="77"/>
      <c r="V931" s="77"/>
      <c r="W931" s="77"/>
      <c r="X931" s="77"/>
      <c r="Y931" s="77"/>
      <c r="Z931" s="78"/>
      <c r="AA931" s="1212"/>
      <c r="AB931" s="1213"/>
      <c r="AC931" s="1213"/>
      <c r="AD931" s="1213"/>
      <c r="AE931" s="1213"/>
      <c r="AF931" s="1213"/>
      <c r="AG931" s="121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2"/>
      <c r="N932" s="1213"/>
      <c r="O932" s="1213"/>
      <c r="P932" s="1213"/>
      <c r="Q932" s="1213"/>
      <c r="R932" s="1213"/>
      <c r="S932" s="1214"/>
      <c r="T932" s="76" t="s">
        <v>361</v>
      </c>
      <c r="U932" s="77"/>
      <c r="V932" s="77"/>
      <c r="W932" s="77"/>
      <c r="X932" s="77"/>
      <c r="Y932" s="77"/>
      <c r="Z932" s="78"/>
      <c r="AA932" s="1212"/>
      <c r="AB932" s="1213"/>
      <c r="AC932" s="1213"/>
      <c r="AD932" s="1213"/>
      <c r="AE932" s="1213"/>
      <c r="AF932" s="1213"/>
      <c r="AG932" s="121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2"/>
      <c r="N933" s="1213"/>
      <c r="O933" s="1213"/>
      <c r="P933" s="1213"/>
      <c r="Q933" s="1213"/>
      <c r="R933" s="1213"/>
      <c r="S933" s="1214"/>
      <c r="T933" s="76" t="s">
        <v>408</v>
      </c>
      <c r="U933" s="77"/>
      <c r="V933" s="77"/>
      <c r="W933" s="77"/>
      <c r="X933" s="77"/>
      <c r="Y933" s="77"/>
      <c r="Z933" s="78"/>
      <c r="AA933" s="1212"/>
      <c r="AB933" s="1213"/>
      <c r="AC933" s="1213"/>
      <c r="AD933" s="1213"/>
      <c r="AE933" s="1213"/>
      <c r="AF933" s="1213"/>
      <c r="AG933" s="121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62" t="s">
        <v>329</v>
      </c>
      <c r="N934" s="1363"/>
      <c r="O934" s="1363"/>
      <c r="P934" s="1363"/>
      <c r="Q934" s="1363"/>
      <c r="R934" s="1363"/>
      <c r="S934" s="1364"/>
      <c r="T934" s="1334"/>
      <c r="U934" s="1335"/>
      <c r="V934" s="1335"/>
      <c r="W934" s="1335"/>
      <c r="X934" s="1335"/>
      <c r="Y934" s="1335"/>
      <c r="Z934" s="1336"/>
      <c r="AA934" s="1212"/>
      <c r="AB934" s="1213"/>
      <c r="AC934" s="1213"/>
      <c r="AD934" s="1213"/>
      <c r="AE934" s="1213"/>
      <c r="AF934" s="1213"/>
      <c r="AG934" s="121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2"/>
      <c r="N935" s="1213"/>
      <c r="O935" s="1213"/>
      <c r="P935" s="1213"/>
      <c r="Q935" s="1213"/>
      <c r="R935" s="1213"/>
      <c r="S935" s="1214"/>
      <c r="T935" s="1334"/>
      <c r="U935" s="1335"/>
      <c r="V935" s="1335"/>
      <c r="W935" s="1335"/>
      <c r="X935" s="1335"/>
      <c r="Y935" s="1335"/>
      <c r="Z935" s="1336"/>
      <c r="AA935" s="1212"/>
      <c r="AB935" s="1213"/>
      <c r="AC935" s="1213"/>
      <c r="AD935" s="1213"/>
      <c r="AE935" s="1213"/>
      <c r="AF935" s="1213"/>
      <c r="AG935" s="121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5" t="s">
        <v>722</v>
      </c>
      <c r="P936" s="1306"/>
      <c r="Q936" s="142"/>
      <c r="R936" s="142"/>
      <c r="S936" s="143"/>
      <c r="T936" s="71" t="s">
        <v>177</v>
      </c>
      <c r="U936" s="72"/>
      <c r="V936" s="72"/>
      <c r="W936" s="1413" t="s">
        <v>357</v>
      </c>
      <c r="X936" s="1172"/>
      <c r="Y936" s="1172"/>
      <c r="Z936" s="1172"/>
      <c r="AA936" s="1172"/>
      <c r="AB936" s="1172"/>
      <c r="AC936" s="1172"/>
      <c r="AD936" s="1172"/>
      <c r="AE936" s="1172"/>
      <c r="AF936" s="1172"/>
      <c r="AG936" s="117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7" t="s">
        <v>36</v>
      </c>
      <c r="G937" s="1308"/>
      <c r="H937" s="1308"/>
      <c r="I937" s="1308"/>
      <c r="J937" s="1308"/>
      <c r="K937" s="1308"/>
      <c r="L937" s="1308"/>
      <c r="M937" s="1212"/>
      <c r="N937" s="1213"/>
      <c r="O937" s="1213"/>
      <c r="P937" s="1213"/>
      <c r="Q937" s="1213"/>
      <c r="R937" s="1213"/>
      <c r="S937" s="1214"/>
      <c r="T937" s="79"/>
      <c r="U937" s="80"/>
      <c r="V937" s="80"/>
      <c r="W937" s="80"/>
      <c r="X937" s="80"/>
      <c r="Y937" s="80"/>
      <c r="Z937" s="196" t="s">
        <v>141</v>
      </c>
      <c r="AA937" s="1407"/>
      <c r="AB937" s="1408"/>
      <c r="AC937" s="1408"/>
      <c r="AD937" s="1408"/>
      <c r="AE937" s="1408"/>
      <c r="AF937" s="1408"/>
      <c r="AG937" s="140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594</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1" t="s">
        <v>688</v>
      </c>
      <c r="C946" s="1371"/>
      <c r="D946" s="1371"/>
      <c r="E946" s="1371"/>
      <c r="F946" s="1371"/>
      <c r="G946" s="1371"/>
      <c r="H946" s="1371"/>
      <c r="I946" s="1371"/>
      <c r="J946" s="1371"/>
      <c r="K946" s="1371"/>
      <c r="L946" s="1371" t="s">
        <v>689</v>
      </c>
      <c r="M946" s="1371"/>
      <c r="N946" s="1371"/>
      <c r="O946" s="1371"/>
      <c r="P946" s="1371"/>
      <c r="Q946" s="1371"/>
      <c r="R946" s="1371"/>
      <c r="S946" s="1371"/>
      <c r="T946" s="1371"/>
      <c r="U946" s="1371"/>
      <c r="V946" s="1371" t="s">
        <v>690</v>
      </c>
      <c r="W946" s="1371"/>
      <c r="X946" s="1371"/>
      <c r="Y946" s="1371"/>
      <c r="Z946" s="1371"/>
      <c r="AA946" s="1371"/>
      <c r="AB946" s="1371"/>
      <c r="AC946" s="1371"/>
      <c r="AD946" s="1382" t="s">
        <v>691</v>
      </c>
      <c r="AE946" s="1383"/>
      <c r="AF946" s="1383"/>
      <c r="AG946" s="1383"/>
      <c r="AH946" s="1383"/>
      <c r="AI946" s="1383"/>
      <c r="AJ946" s="1383"/>
      <c r="AK946" s="138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0" t="s">
        <v>683</v>
      </c>
      <c r="C947" s="1211"/>
      <c r="D947" s="1211"/>
      <c r="E947" s="1211"/>
      <c r="F947" s="1211"/>
      <c r="G947" s="1211"/>
      <c r="H947" s="1211"/>
      <c r="I947" s="1211"/>
      <c r="J947" s="1211"/>
      <c r="K947" s="1211"/>
      <c r="L947" s="1348">
        <f>IF(ISNA(IF($BA$779="4%",(INDEX($BC$789:$BG$846,MATCH($BO$779,$BB$789:$BB$846,0),MATCH(B947,$BC$788:$BG$788,0))),(INDEX($BJ$789:$BN$846,MATCH($BO$779,$BI$789:$BI$846,0),MATCH(B947,$BJ$788:$BN$788,0))))),0,IF($BA$779="4%",(INDEX($BC$789:$BG$846,MATCH($BO$779,$BB$789:$BB$846,0),MATCH(B947,$BC$788:$BG$788,0))),(INDEX($BJ$789:$BN$846,MATCH($BO$779,$BI$789:$BI$846,0),MATCH(B947,$BJ$788:$BN$788,0)))))</f>
        <v>293352</v>
      </c>
      <c r="M947" s="1349"/>
      <c r="N947" s="1349"/>
      <c r="O947" s="1349"/>
      <c r="P947" s="1349"/>
      <c r="Q947" s="1349"/>
      <c r="R947" s="1349"/>
      <c r="S947" s="1349"/>
      <c r="T947" s="1349"/>
      <c r="U947" s="1350"/>
      <c r="V947" s="1378">
        <f>BA635</f>
        <v>18</v>
      </c>
      <c r="W947" s="1378"/>
      <c r="X947" s="1378"/>
      <c r="Y947" s="1378"/>
      <c r="Z947" s="1378"/>
      <c r="AA947" s="1378"/>
      <c r="AB947" s="1378"/>
      <c r="AC947" s="1378"/>
      <c r="AD947" s="1293">
        <f>IF(ISERROR((L947*V947)),0,(L947*V947))</f>
        <v>5280336</v>
      </c>
      <c r="AE947" s="1294"/>
      <c r="AF947" s="1294"/>
      <c r="AG947" s="1294"/>
      <c r="AH947" s="1294"/>
      <c r="AI947" s="1294"/>
      <c r="AJ947" s="1294"/>
      <c r="AK947" s="129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0" t="s">
        <v>348</v>
      </c>
      <c r="C948" s="1210"/>
      <c r="D948" s="1210"/>
      <c r="E948" s="1210"/>
      <c r="F948" s="1210"/>
      <c r="G948" s="1210"/>
      <c r="H948" s="1210"/>
      <c r="I948" s="1210"/>
      <c r="J948" s="1210"/>
      <c r="K948" s="1210"/>
      <c r="L948" s="1348">
        <f>IF(ISNA(IF($BA$779="4%",(INDEX($BC$789:$BG$846,MATCH($BO$779,$BB$789:$BB$846,0),MATCH(B948,$BC$788:$BG$788,0))),(INDEX($BJ$789:$BN$846,MATCH($BO$779,$BI$789:$BI$846,0),MATCH(B948,$BJ$788:$BN$788,0))))),0,IF($BA$779="4%",(INDEX($BC$789:$BG$846,MATCH($BO$779,$BB$789:$BB$846,0),MATCH(B948,$BC$788:$BG$788,0))),(INDEX($BJ$789:$BN$846,MATCH($BO$779,$BI$789:$BI$846,0),MATCH(B948,$BJ$788:$BN$788,0)))))</f>
        <v>338232</v>
      </c>
      <c r="M948" s="1349"/>
      <c r="N948" s="1349"/>
      <c r="O948" s="1349"/>
      <c r="P948" s="1349"/>
      <c r="Q948" s="1349"/>
      <c r="R948" s="1349"/>
      <c r="S948" s="1349"/>
      <c r="T948" s="1349"/>
      <c r="U948" s="1350"/>
      <c r="V948" s="1378">
        <f>BF635</f>
        <v>27</v>
      </c>
      <c r="W948" s="1378"/>
      <c r="X948" s="1378"/>
      <c r="Y948" s="1378"/>
      <c r="Z948" s="1378"/>
      <c r="AA948" s="1378"/>
      <c r="AB948" s="1378"/>
      <c r="AC948" s="1378"/>
      <c r="AD948" s="1293">
        <f>IF(ISERROR((L948*V948)),0,(L948*V948))</f>
        <v>9132264</v>
      </c>
      <c r="AE948" s="1294"/>
      <c r="AF948" s="1294"/>
      <c r="AG948" s="1294"/>
      <c r="AH948" s="1294"/>
      <c r="AI948" s="1294"/>
      <c r="AJ948" s="1294"/>
      <c r="AK948" s="129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0" t="s">
        <v>170</v>
      </c>
      <c r="C949" s="1210"/>
      <c r="D949" s="1210"/>
      <c r="E949" s="1210"/>
      <c r="F949" s="1210"/>
      <c r="G949" s="1210"/>
      <c r="H949" s="1210"/>
      <c r="I949" s="1210"/>
      <c r="J949" s="1210"/>
      <c r="K949" s="1210"/>
      <c r="L949" s="1348">
        <f>IF(ISNA(IF($BA$779="4%",(INDEX($BC$789:$BG$846,MATCH($BO$779,$BB$789:$BB$846,0),MATCH(B949,$BC$788:$BG$788,0))),(INDEX($BJ$789:$BN$846,MATCH($BO$779,$BI$789:$BI$846,0),MATCH(B949,$BJ$788:$BN$788,0))))),0,IF($BA$779="4%",(INDEX($BC$789:$BG$846,MATCH($BO$779,$BB$789:$BB$846,0),MATCH(B949,$BC$788:$BG$788,0))),(INDEX($BJ$789:$BN$846,MATCH($BO$779,$BI$789:$BI$846,0),MATCH(B949,$BJ$788:$BN$788,0)))))</f>
        <v>408000</v>
      </c>
      <c r="M949" s="1349"/>
      <c r="N949" s="1349"/>
      <c r="O949" s="1349"/>
      <c r="P949" s="1349"/>
      <c r="Q949" s="1349"/>
      <c r="R949" s="1349"/>
      <c r="S949" s="1349"/>
      <c r="T949" s="1349"/>
      <c r="U949" s="1350"/>
      <c r="V949" s="1378">
        <f>BK635</f>
        <v>23</v>
      </c>
      <c r="W949" s="1378"/>
      <c r="X949" s="1378"/>
      <c r="Y949" s="1378"/>
      <c r="Z949" s="1378"/>
      <c r="AA949" s="1378"/>
      <c r="AB949" s="1378"/>
      <c r="AC949" s="1378"/>
      <c r="AD949" s="1293">
        <f>IF(ISERROR((L949*V949)),0,(L949*V949))</f>
        <v>9384000</v>
      </c>
      <c r="AE949" s="1294"/>
      <c r="AF949" s="1294"/>
      <c r="AG949" s="1294"/>
      <c r="AH949" s="1294"/>
      <c r="AI949" s="1294"/>
      <c r="AJ949" s="1294"/>
      <c r="AK949" s="129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0" t="s">
        <v>171</v>
      </c>
      <c r="C950" s="1210"/>
      <c r="D950" s="1210"/>
      <c r="E950" s="1210"/>
      <c r="F950" s="1210"/>
      <c r="G950" s="1210"/>
      <c r="H950" s="1210"/>
      <c r="I950" s="1210"/>
      <c r="J950" s="1210"/>
      <c r="K950" s="1210"/>
      <c r="L950" s="1348">
        <f>IF(ISNA(IF($BA$779="4%",(INDEX($BC$789:$BG$846,MATCH($BO$779,$BB$789:$BB$846,0),MATCH(B950,$BC$788:$BG$788,0))),(INDEX($BJ$789:$BN$846,MATCH($BO$779,$BI$789:$BI$846,0),MATCH(B950,$BJ$788:$BN$788,0))))),0,IF($BA$779="4%",(INDEX($BC$789:$BG$846,MATCH($BO$779,$BB$789:$BB$846,0),MATCH(B950,$BC$788:$BG$788,0))),(INDEX($BJ$789:$BN$846,MATCH($BO$779,$BI$789:$BI$846,0),MATCH(B950,$BJ$788:$BN$788,0)))))</f>
        <v>522240</v>
      </c>
      <c r="M950" s="1349"/>
      <c r="N950" s="1349"/>
      <c r="O950" s="1349"/>
      <c r="P950" s="1349"/>
      <c r="Q950" s="1349"/>
      <c r="R950" s="1349"/>
      <c r="S950" s="1349"/>
      <c r="T950" s="1349"/>
      <c r="U950" s="1350"/>
      <c r="V950" s="1378">
        <f>BP635</f>
        <v>22</v>
      </c>
      <c r="W950" s="1378"/>
      <c r="X950" s="1378"/>
      <c r="Y950" s="1378"/>
      <c r="Z950" s="1378"/>
      <c r="AA950" s="1378"/>
      <c r="AB950" s="1378"/>
      <c r="AC950" s="1378"/>
      <c r="AD950" s="1293">
        <f>IF(ISERROR((L950*V950)),0,(L950*V950))</f>
        <v>11489280</v>
      </c>
      <c r="AE950" s="1294"/>
      <c r="AF950" s="1294"/>
      <c r="AG950" s="1294"/>
      <c r="AH950" s="1294"/>
      <c r="AI950" s="1294"/>
      <c r="AJ950" s="1294"/>
      <c r="AK950" s="129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0" t="s">
        <v>506</v>
      </c>
      <c r="C951" s="1210"/>
      <c r="D951" s="1210"/>
      <c r="E951" s="1210"/>
      <c r="F951" s="1210"/>
      <c r="G951" s="1210"/>
      <c r="H951" s="1210"/>
      <c r="I951" s="1210"/>
      <c r="J951" s="1210"/>
      <c r="K951" s="1210"/>
      <c r="L951" s="1348">
        <f>IF(ISNA(IF($BA$779="4%",(INDEX($BC$789:$BG$846,MATCH($BO$779,$BB$789:$BB$846,0),MATCH(B951,$BC$788:$BG$788,0))),(INDEX($BJ$789:$BN$846,MATCH($BO$779,$BI$789:$BI$846,0),MATCH(B951,$BJ$788:$BN$788,0))))),0,IF($BA$779="4%",(INDEX($BC$789:$BG$846,MATCH($BO$779,$BB$789:$BB$846,0),MATCH(B951,$BC$788:$BG$788,0))),(INDEX($BJ$789:$BN$846,MATCH($BO$779,$BI$789:$BI$846,0),MATCH(B951,$BJ$788:$BN$788,0)))))</f>
        <v>581808</v>
      </c>
      <c r="M951" s="1349"/>
      <c r="N951" s="1349"/>
      <c r="O951" s="1349"/>
      <c r="P951" s="1349"/>
      <c r="Q951" s="1349"/>
      <c r="R951" s="1349"/>
      <c r="S951" s="1349"/>
      <c r="T951" s="1349"/>
      <c r="U951" s="1350"/>
      <c r="V951" s="1378">
        <f>BZ635+BU635</f>
        <v>0</v>
      </c>
      <c r="W951" s="1378"/>
      <c r="X951" s="1378"/>
      <c r="Y951" s="1378"/>
      <c r="Z951" s="1378"/>
      <c r="AA951" s="1378"/>
      <c r="AB951" s="1378"/>
      <c r="AC951" s="1378"/>
      <c r="AD951" s="1293">
        <f>IF(ISERROR((L951*V951)),0,(L951*V951))</f>
        <v>0</v>
      </c>
      <c r="AE951" s="1294"/>
      <c r="AF951" s="1294"/>
      <c r="AG951" s="1294"/>
      <c r="AH951" s="1294"/>
      <c r="AI951" s="1294"/>
      <c r="AJ951" s="1294"/>
      <c r="AK951" s="129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872</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404">
        <f>SUM(V947:AC951)</f>
        <v>90</v>
      </c>
      <c r="W952" s="1405"/>
      <c r="X952" s="1405"/>
      <c r="Y952" s="1405"/>
      <c r="Z952" s="1405"/>
      <c r="AA952" s="1405"/>
      <c r="AB952" s="1405"/>
      <c r="AC952" s="1406"/>
      <c r="AD952" s="1293"/>
      <c r="AE952" s="1294"/>
      <c r="AF952" s="1294"/>
      <c r="AG952" s="1294"/>
      <c r="AH952" s="1294"/>
      <c r="AI952" s="1294"/>
      <c r="AJ952" s="1294"/>
      <c r="AK952" s="129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5" t="s">
        <v>558</v>
      </c>
      <c r="C953" s="1346"/>
      <c r="D953" s="1346"/>
      <c r="E953" s="1346"/>
      <c r="F953" s="1346"/>
      <c r="G953" s="1346"/>
      <c r="H953" s="1346"/>
      <c r="I953" s="1346"/>
      <c r="J953" s="1346"/>
      <c r="K953" s="1346"/>
      <c r="L953" s="1346"/>
      <c r="M953" s="1346"/>
      <c r="N953" s="1346"/>
      <c r="O953" s="1346"/>
      <c r="P953" s="1346"/>
      <c r="Q953" s="1346"/>
      <c r="R953" s="1346"/>
      <c r="S953" s="1346"/>
      <c r="T953" s="1346"/>
      <c r="U953" s="1346"/>
      <c r="V953" s="1346"/>
      <c r="W953" s="1346"/>
      <c r="X953" s="1346"/>
      <c r="Y953" s="1346"/>
      <c r="Z953" s="1346"/>
      <c r="AA953" s="1346"/>
      <c r="AB953" s="1346"/>
      <c r="AC953" s="1347"/>
      <c r="AD953" s="1272">
        <f>SUM(AD947:AK951)</f>
        <v>35285880</v>
      </c>
      <c r="AE953" s="1273"/>
      <c r="AF953" s="1273"/>
      <c r="AG953" s="1273"/>
      <c r="AH953" s="1273"/>
      <c r="AI953" s="1273"/>
      <c r="AJ953" s="1273"/>
      <c r="AK953" s="127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2" t="s">
        <v>719</v>
      </c>
      <c r="AA954" s="1563"/>
      <c r="AB954" s="1563"/>
      <c r="AC954" s="156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6" t="s">
        <v>1481</v>
      </c>
      <c r="E955" s="1257"/>
      <c r="F955" s="1257"/>
      <c r="G955" s="1257"/>
      <c r="H955" s="1257"/>
      <c r="I955" s="1257"/>
      <c r="J955" s="1257"/>
      <c r="K955" s="1257"/>
      <c r="L955" s="1257"/>
      <c r="M955" s="1257"/>
      <c r="N955" s="1257"/>
      <c r="O955" s="1257"/>
      <c r="P955" s="1257"/>
      <c r="Q955" s="1257"/>
      <c r="R955" s="1257"/>
      <c r="S955" s="1257"/>
      <c r="T955" s="1257"/>
      <c r="U955" s="1257"/>
      <c r="V955" s="1257"/>
      <c r="W955" s="1257"/>
      <c r="X955" s="1257"/>
      <c r="Y955" s="1258"/>
      <c r="Z955" s="115"/>
      <c r="AA955" s="1376" t="s">
        <v>591</v>
      </c>
      <c r="AB955" s="1377"/>
      <c r="AC955" s="128"/>
      <c r="AD955" s="1186">
        <f>ROUND(IF(AND(AA955="yes",D957&gt;0),AD953*0.2,0),0)</f>
        <v>7057176</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6" t="s">
        <v>1482</v>
      </c>
      <c r="E956" s="1597"/>
      <c r="F956" s="1597"/>
      <c r="G956" s="1597"/>
      <c r="H956" s="1597"/>
      <c r="I956" s="1597"/>
      <c r="J956" s="1597"/>
      <c r="K956" s="1597"/>
      <c r="L956" s="1597"/>
      <c r="M956" s="1597"/>
      <c r="N956" s="1597"/>
      <c r="O956" s="1597"/>
      <c r="P956" s="1597"/>
      <c r="Q956" s="1597"/>
      <c r="R956" s="1597"/>
      <c r="S956" s="1597"/>
      <c r="T956" s="1597"/>
      <c r="U956" s="1597"/>
      <c r="V956" s="1597"/>
      <c r="W956" s="1597"/>
      <c r="X956" s="1597"/>
      <c r="Y956" s="1598"/>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9" t="s">
        <v>1720</v>
      </c>
      <c r="E957" s="1360"/>
      <c r="F957" s="1360"/>
      <c r="G957" s="1360"/>
      <c r="H957" s="1360"/>
      <c r="I957" s="1360"/>
      <c r="J957" s="1360"/>
      <c r="K957" s="1360"/>
      <c r="L957" s="1360"/>
      <c r="M957" s="1360"/>
      <c r="N957" s="1360"/>
      <c r="O957" s="1360"/>
      <c r="P957" s="1360"/>
      <c r="Q957" s="1360"/>
      <c r="R957" s="1360"/>
      <c r="S957" s="1360"/>
      <c r="T957" s="1360"/>
      <c r="U957" s="1360"/>
      <c r="V957" s="1360"/>
      <c r="W957" s="1360"/>
      <c r="X957" s="1360"/>
      <c r="Y957" s="1361"/>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6" t="s">
        <v>1607</v>
      </c>
      <c r="E958" s="1257"/>
      <c r="F958" s="1257"/>
      <c r="G958" s="1257"/>
      <c r="H958" s="1257"/>
      <c r="I958" s="1257"/>
      <c r="J958" s="1257"/>
      <c r="K958" s="1257"/>
      <c r="L958" s="1257"/>
      <c r="M958" s="1257"/>
      <c r="N958" s="1257"/>
      <c r="O958" s="1257"/>
      <c r="P958" s="1257"/>
      <c r="Q958" s="1257"/>
      <c r="R958" s="1257"/>
      <c r="S958" s="1257"/>
      <c r="T958" s="1257"/>
      <c r="U958" s="1257"/>
      <c r="V958" s="1257"/>
      <c r="W958" s="1257"/>
      <c r="X958" s="1257"/>
      <c r="Y958" s="1258"/>
      <c r="Z958" s="127"/>
      <c r="AA958" s="1183" t="s">
        <v>722</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2" t="s">
        <v>1604</v>
      </c>
      <c r="E959" s="1603"/>
      <c r="F959" s="1603"/>
      <c r="G959" s="1603"/>
      <c r="H959" s="1603"/>
      <c r="I959" s="1603"/>
      <c r="J959" s="1603"/>
      <c r="K959" s="1603"/>
      <c r="L959" s="1603"/>
      <c r="M959" s="1603"/>
      <c r="N959" s="1603"/>
      <c r="O959" s="1603"/>
      <c r="P959" s="1603"/>
      <c r="Q959" s="1603"/>
      <c r="R959" s="1603"/>
      <c r="S959" s="1603"/>
      <c r="T959" s="1603"/>
      <c r="U959" s="1603"/>
      <c r="V959" s="1603"/>
      <c r="W959" s="1603"/>
      <c r="X959" s="1603"/>
      <c r="Y959" s="1604"/>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2"/>
      <c r="E960" s="1603"/>
      <c r="F960" s="1603"/>
      <c r="G960" s="1603"/>
      <c r="H960" s="1603"/>
      <c r="I960" s="1603"/>
      <c r="J960" s="1603"/>
      <c r="K960" s="1603"/>
      <c r="L960" s="1603"/>
      <c r="M960" s="1603"/>
      <c r="N960" s="1603"/>
      <c r="O960" s="1603"/>
      <c r="P960" s="1603"/>
      <c r="Q960" s="1603"/>
      <c r="R960" s="1603"/>
      <c r="S960" s="1603"/>
      <c r="T960" s="1603"/>
      <c r="U960" s="1603"/>
      <c r="V960" s="1603"/>
      <c r="W960" s="1603"/>
      <c r="X960" s="1603"/>
      <c r="Y960" s="1604"/>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2"/>
      <c r="E961" s="1603"/>
      <c r="F961" s="1603"/>
      <c r="G961" s="1603"/>
      <c r="H961" s="1603"/>
      <c r="I961" s="1603"/>
      <c r="J961" s="1603"/>
      <c r="K961" s="1603"/>
      <c r="L961" s="1603"/>
      <c r="M961" s="1603"/>
      <c r="N961" s="1603"/>
      <c r="O961" s="1603"/>
      <c r="P961" s="1603"/>
      <c r="Q961" s="1603"/>
      <c r="R961" s="1603"/>
      <c r="S961" s="1603"/>
      <c r="T961" s="1603"/>
      <c r="U961" s="1603"/>
      <c r="V961" s="1603"/>
      <c r="W961" s="1603"/>
      <c r="X961" s="1603"/>
      <c r="Y961" s="1604"/>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2"/>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2"/>
      <c r="E963" s="1603"/>
      <c r="F963" s="1603"/>
      <c r="G963" s="1603"/>
      <c r="H963" s="1603"/>
      <c r="I963" s="1603"/>
      <c r="J963" s="1603"/>
      <c r="K963" s="1603"/>
      <c r="L963" s="1603"/>
      <c r="M963" s="1603"/>
      <c r="N963" s="1603"/>
      <c r="O963" s="1603"/>
      <c r="P963" s="1603"/>
      <c r="Q963" s="1603"/>
      <c r="R963" s="1603"/>
      <c r="S963" s="1603"/>
      <c r="T963" s="1603"/>
      <c r="U963" s="1603"/>
      <c r="V963" s="1603"/>
      <c r="W963" s="1603"/>
      <c r="X963" s="1603"/>
      <c r="Y963" s="1604"/>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6"/>
      <c r="E964" s="1605"/>
      <c r="F964" s="1605"/>
      <c r="G964" s="1605"/>
      <c r="H964" s="1605"/>
      <c r="I964" s="1605"/>
      <c r="J964" s="1605"/>
      <c r="K964" s="1605"/>
      <c r="L964" s="1605"/>
      <c r="M964" s="1605"/>
      <c r="N964" s="1605"/>
      <c r="O964" s="1605"/>
      <c r="P964" s="1605"/>
      <c r="Q964" s="1605"/>
      <c r="R964" s="1605"/>
      <c r="S964" s="1605"/>
      <c r="T964" s="1605"/>
      <c r="U964" s="1605"/>
      <c r="V964" s="1605"/>
      <c r="W964" s="1605"/>
      <c r="X964" s="1605"/>
      <c r="Y964" s="1606"/>
      <c r="Z964" s="11"/>
      <c r="AA964" s="11"/>
      <c r="AB964" s="11"/>
      <c r="AC964" s="119"/>
      <c r="AD964" s="1250"/>
      <c r="AE964" s="1251"/>
      <c r="AF964" s="1251"/>
      <c r="AG964" s="1251"/>
      <c r="AH964" s="1251"/>
      <c r="AI964" s="1251"/>
      <c r="AJ964" s="1251"/>
      <c r="AK964" s="125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6" t="s">
        <v>1606</v>
      </c>
      <c r="E965" s="1257"/>
      <c r="F965" s="1257"/>
      <c r="G965" s="1257"/>
      <c r="H965" s="1257"/>
      <c r="I965" s="1257"/>
      <c r="J965" s="1257"/>
      <c r="K965" s="1257"/>
      <c r="L965" s="1257"/>
      <c r="M965" s="1257"/>
      <c r="N965" s="1257"/>
      <c r="O965" s="1257"/>
      <c r="P965" s="1257"/>
      <c r="Q965" s="1257"/>
      <c r="R965" s="1257"/>
      <c r="S965" s="1257"/>
      <c r="T965" s="1257"/>
      <c r="U965" s="1257"/>
      <c r="V965" s="1257"/>
      <c r="W965" s="1257"/>
      <c r="X965" s="1257"/>
      <c r="Y965" s="1258"/>
      <c r="Z965" s="127"/>
      <c r="AA965" s="1183" t="s">
        <v>591</v>
      </c>
      <c r="AB965" s="1184"/>
      <c r="AC965" s="128"/>
      <c r="AD965" s="1186">
        <f>ROUND(IF(AA965="yes",AD953*0.07,0),0)</f>
        <v>2470012</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3" t="s">
        <v>1605</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3"/>
      <c r="E967" s="1254"/>
      <c r="F967" s="1254"/>
      <c r="G967" s="1254"/>
      <c r="H967" s="1254"/>
      <c r="I967" s="1254"/>
      <c r="J967" s="1254"/>
      <c r="K967" s="1254"/>
      <c r="L967" s="1254"/>
      <c r="M967" s="1254"/>
      <c r="N967" s="1254"/>
      <c r="O967" s="1254"/>
      <c r="P967" s="1254"/>
      <c r="Q967" s="1254"/>
      <c r="R967" s="1254"/>
      <c r="S967" s="1254"/>
      <c r="T967" s="1254"/>
      <c r="U967" s="1254"/>
      <c r="V967" s="1254"/>
      <c r="W967" s="1254"/>
      <c r="X967" s="1254"/>
      <c r="Y967" s="1255"/>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9"/>
      <c r="E968" s="1260"/>
      <c r="F968" s="1260"/>
      <c r="G968" s="1260"/>
      <c r="H968" s="1260"/>
      <c r="I968" s="1260"/>
      <c r="J968" s="1260"/>
      <c r="K968" s="1260"/>
      <c r="L968" s="1260"/>
      <c r="M968" s="1260"/>
      <c r="N968" s="1260"/>
      <c r="O968" s="1260"/>
      <c r="P968" s="1260"/>
      <c r="Q968" s="1260"/>
      <c r="R968" s="1260"/>
      <c r="S968" s="1260"/>
      <c r="T968" s="1260"/>
      <c r="U968" s="1260"/>
      <c r="V968" s="1260"/>
      <c r="W968" s="1260"/>
      <c r="X968" s="1260"/>
      <c r="Y968" s="1261"/>
      <c r="Z968" s="11"/>
      <c r="AA968" s="11"/>
      <c r="AB968" s="11"/>
      <c r="AC968" s="119"/>
      <c r="AD968" s="1251"/>
      <c r="AE968" s="1251"/>
      <c r="AF968" s="1251"/>
      <c r="AG968" s="1251"/>
      <c r="AH968" s="1251"/>
      <c r="AI968" s="1251"/>
      <c r="AJ968" s="1251"/>
      <c r="AK968" s="1252"/>
      <c r="AL968" s="105"/>
      <c r="AO968" s="61"/>
      <c r="AP968" s="61"/>
      <c r="AQ968" s="61"/>
      <c r="AR968" s="61"/>
      <c r="AS968" s="61"/>
    </row>
    <row r="969" spans="1:96" ht="12.75" customHeight="1">
      <c r="A969" s="51"/>
      <c r="B969" s="120"/>
      <c r="C969" s="121" t="s">
        <v>227</v>
      </c>
      <c r="D969" s="1256" t="s">
        <v>1608</v>
      </c>
      <c r="E969" s="1257"/>
      <c r="F969" s="1257"/>
      <c r="G969" s="1257"/>
      <c r="H969" s="1257"/>
      <c r="I969" s="1257"/>
      <c r="J969" s="1257"/>
      <c r="K969" s="1257"/>
      <c r="L969" s="1257"/>
      <c r="M969" s="1257"/>
      <c r="N969" s="1257"/>
      <c r="O969" s="1257"/>
      <c r="P969" s="1257"/>
      <c r="Q969" s="1257"/>
      <c r="R969" s="1257"/>
      <c r="S969" s="1257"/>
      <c r="T969" s="1257"/>
      <c r="U969" s="1257"/>
      <c r="V969" s="1257"/>
      <c r="W969" s="1257"/>
      <c r="X969" s="1257"/>
      <c r="Y969" s="1258"/>
      <c r="Z969" s="113"/>
      <c r="AA969" s="1248" t="s">
        <v>722</v>
      </c>
      <c r="AB969" s="1249"/>
      <c r="AC969" s="51"/>
      <c r="AD969" s="118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59" t="s">
        <v>1609</v>
      </c>
      <c r="E970" s="1260"/>
      <c r="F970" s="1260"/>
      <c r="G970" s="1260"/>
      <c r="H970" s="1260"/>
      <c r="I970" s="1260"/>
      <c r="J970" s="1260"/>
      <c r="K970" s="1260"/>
      <c r="L970" s="1260"/>
      <c r="M970" s="1260"/>
      <c r="N970" s="1260"/>
      <c r="O970" s="1260"/>
      <c r="P970" s="1260"/>
      <c r="Q970" s="1260"/>
      <c r="R970" s="1260"/>
      <c r="S970" s="1260"/>
      <c r="T970" s="1260"/>
      <c r="U970" s="1260"/>
      <c r="V970" s="1260"/>
      <c r="W970" s="1260"/>
      <c r="X970" s="1260"/>
      <c r="Y970" s="1261"/>
      <c r="Z970" s="113"/>
      <c r="AA970" s="51"/>
      <c r="AB970" s="51"/>
      <c r="AC970" s="51"/>
      <c r="AD970" s="118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256" t="s">
        <v>1610</v>
      </c>
      <c r="E971" s="1257"/>
      <c r="F971" s="1257"/>
      <c r="G971" s="1257"/>
      <c r="H971" s="1257"/>
      <c r="I971" s="1257"/>
      <c r="J971" s="1257"/>
      <c r="K971" s="1257"/>
      <c r="L971" s="1257"/>
      <c r="M971" s="1257"/>
      <c r="N971" s="1257"/>
      <c r="O971" s="1257"/>
      <c r="P971" s="1257"/>
      <c r="Q971" s="1257"/>
      <c r="R971" s="1257"/>
      <c r="S971" s="1257"/>
      <c r="T971" s="1257"/>
      <c r="U971" s="1257"/>
      <c r="V971" s="1257"/>
      <c r="W971" s="1257"/>
      <c r="X971" s="1257"/>
      <c r="Y971" s="1258"/>
      <c r="Z971" s="120"/>
      <c r="AA971" s="1183" t="s">
        <v>722</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53" t="s">
        <v>1611</v>
      </c>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5"/>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59"/>
      <c r="E973" s="1260"/>
      <c r="F973" s="1260"/>
      <c r="G973" s="1260"/>
      <c r="H973" s="1260"/>
      <c r="I973" s="1260"/>
      <c r="J973" s="1260"/>
      <c r="K973" s="1260"/>
      <c r="L973" s="1260"/>
      <c r="M973" s="1260"/>
      <c r="N973" s="1260"/>
      <c r="O973" s="1260"/>
      <c r="P973" s="1260"/>
      <c r="Q973" s="1260"/>
      <c r="R973" s="1260"/>
      <c r="S973" s="1260"/>
      <c r="T973" s="1260"/>
      <c r="U973" s="1260"/>
      <c r="V973" s="1260"/>
      <c r="W973" s="1260"/>
      <c r="X973" s="1260"/>
      <c r="Y973" s="1261"/>
      <c r="Z973" s="118"/>
      <c r="AA973" s="11"/>
      <c r="AB973" s="11"/>
      <c r="AC973" s="119"/>
      <c r="AD973" s="1250"/>
      <c r="AE973" s="1251"/>
      <c r="AF973" s="1251"/>
      <c r="AG973" s="1251"/>
      <c r="AH973" s="1251"/>
      <c r="AI973" s="1251"/>
      <c r="AJ973" s="1251"/>
      <c r="AK973" s="1252"/>
      <c r="AL973" s="105"/>
    </row>
    <row r="974" spans="1:96" ht="12.75" customHeight="1">
      <c r="A974" s="51"/>
      <c r="B974" s="120"/>
      <c r="C974" s="121" t="s">
        <v>233</v>
      </c>
      <c r="D974" s="1256" t="s">
        <v>1612</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8"/>
      <c r="Z974" s="120"/>
      <c r="AA974" s="1183" t="s">
        <v>591</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53" t="s">
        <v>1613</v>
      </c>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3"/>
      <c r="AA976" s="115"/>
      <c r="AB976" s="115"/>
      <c r="AC976" s="124"/>
      <c r="AD976" s="1188"/>
      <c r="AE976" s="1189"/>
      <c r="AF976" s="1189"/>
      <c r="AG976" s="1189"/>
      <c r="AH976" s="1189"/>
      <c r="AI976" s="1189"/>
      <c r="AJ976" s="1189"/>
      <c r="AK976" s="1190"/>
      <c r="AL976" s="105"/>
    </row>
    <row r="977" spans="1:38" ht="12.75">
      <c r="A977" s="51"/>
      <c r="B977" s="122"/>
      <c r="C977" s="123"/>
      <c r="D977" s="1253"/>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5"/>
      <c r="Z977" s="118"/>
      <c r="AA977" s="11"/>
      <c r="AB977" s="11"/>
      <c r="AC977" s="119"/>
      <c r="AD977" s="1250"/>
      <c r="AE977" s="1251"/>
      <c r="AF977" s="1251"/>
      <c r="AG977" s="1251"/>
      <c r="AH977" s="1251"/>
      <c r="AI977" s="1251"/>
      <c r="AJ977" s="1251"/>
      <c r="AK977" s="1252"/>
      <c r="AL977" s="105"/>
    </row>
    <row r="978" spans="1:38" ht="12.75" customHeight="1">
      <c r="A978" s="51"/>
      <c r="B978" s="120"/>
      <c r="C978" s="121" t="s">
        <v>238</v>
      </c>
      <c r="D978" s="1607" t="s">
        <v>1614</v>
      </c>
      <c r="E978" s="1608"/>
      <c r="F978" s="1608"/>
      <c r="G978" s="1608"/>
      <c r="H978" s="1608"/>
      <c r="I978" s="1608"/>
      <c r="J978" s="1608"/>
      <c r="K978" s="1608"/>
      <c r="L978" s="1608"/>
      <c r="M978" s="1608"/>
      <c r="N978" s="1608"/>
      <c r="O978" s="1608"/>
      <c r="P978" s="1608"/>
      <c r="Q978" s="1608"/>
      <c r="R978" s="1608"/>
      <c r="S978" s="1608"/>
      <c r="T978" s="1608"/>
      <c r="U978" s="1608"/>
      <c r="V978" s="1608"/>
      <c r="W978" s="1608"/>
      <c r="X978" s="1608"/>
      <c r="Y978" s="1609"/>
      <c r="Z978" s="115"/>
      <c r="AA978" s="1248" t="s">
        <v>722</v>
      </c>
      <c r="AB978" s="1249"/>
      <c r="AC978" s="51"/>
      <c r="AD978" s="1296"/>
      <c r="AE978" s="1297"/>
      <c r="AF978" s="1297"/>
      <c r="AG978" s="1297"/>
      <c r="AH978" s="1297"/>
      <c r="AI978" s="1297"/>
      <c r="AJ978" s="1297"/>
      <c r="AK978" s="1298"/>
      <c r="AL978" s="105"/>
    </row>
    <row r="979" spans="1:38" ht="12.75" customHeight="1">
      <c r="A979" s="51"/>
      <c r="B979" s="122"/>
      <c r="C979" s="125"/>
      <c r="D979" s="1610"/>
      <c r="E979" s="1611"/>
      <c r="F979" s="1611"/>
      <c r="G979" s="1611"/>
      <c r="H979" s="1611"/>
      <c r="I979" s="1611"/>
      <c r="J979" s="1611"/>
      <c r="K979" s="1611"/>
      <c r="L979" s="1611"/>
      <c r="M979" s="1611"/>
      <c r="N979" s="1611"/>
      <c r="O979" s="1611"/>
      <c r="P979" s="1611"/>
      <c r="Q979" s="1611"/>
      <c r="R979" s="1611"/>
      <c r="S979" s="1611"/>
      <c r="T979" s="1611"/>
      <c r="U979" s="1611"/>
      <c r="V979" s="1611"/>
      <c r="W979" s="1611"/>
      <c r="X979" s="1611"/>
      <c r="Y979" s="1612"/>
      <c r="Z979" s="1318">
        <f>IF(AA978="yes","Please Select Type and Enter Amount:",0)</f>
        <v>0</v>
      </c>
      <c r="AA979" s="1318"/>
      <c r="AB979" s="1318"/>
      <c r="AC979" s="1319"/>
      <c r="AD979" s="1299"/>
      <c r="AE979" s="1300"/>
      <c r="AF979" s="1300"/>
      <c r="AG979" s="1300"/>
      <c r="AH979" s="1300"/>
      <c r="AI979" s="1300"/>
      <c r="AJ979" s="1300"/>
      <c r="AK979" s="1301"/>
      <c r="AL979" s="105"/>
    </row>
    <row r="980" spans="1:38" ht="12.75" customHeight="1">
      <c r="A980" s="51"/>
      <c r="B980" s="122"/>
      <c r="C980" s="125"/>
      <c r="D980" s="1253" t="s">
        <v>1615</v>
      </c>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320"/>
      <c r="AA980" s="1318"/>
      <c r="AB980" s="1318"/>
      <c r="AC980" s="1319"/>
      <c r="AD980" s="1299"/>
      <c r="AE980" s="1300"/>
      <c r="AF980" s="1300"/>
      <c r="AG980" s="1300"/>
      <c r="AH980" s="1300"/>
      <c r="AI980" s="1300"/>
      <c r="AJ980" s="1300"/>
      <c r="AK980" s="1301"/>
      <c r="AL980" s="105"/>
    </row>
    <row r="981" spans="1:38" s="743" customFormat="1" ht="12.75">
      <c r="A981" s="51"/>
      <c r="B981" s="122"/>
      <c r="C981" s="12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5"/>
      <c r="Z981" s="1320"/>
      <c r="AA981" s="1318"/>
      <c r="AB981" s="1318"/>
      <c r="AC981" s="1319"/>
      <c r="AD981" s="1299"/>
      <c r="AE981" s="1300"/>
      <c r="AF981" s="1300"/>
      <c r="AG981" s="1300"/>
      <c r="AH981" s="1300"/>
      <c r="AI981" s="1300"/>
      <c r="AJ981" s="1300"/>
      <c r="AK981" s="1301"/>
      <c r="AL981" s="105"/>
    </row>
    <row r="982" spans="1:38" ht="12.75" customHeight="1">
      <c r="A982" s="51"/>
      <c r="B982" s="122"/>
      <c r="C982" s="125"/>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320"/>
      <c r="AA982" s="1318"/>
      <c r="AB982" s="1318"/>
      <c r="AC982" s="1319"/>
      <c r="AD982" s="1299"/>
      <c r="AE982" s="1300"/>
      <c r="AF982" s="1300"/>
      <c r="AG982" s="1300"/>
      <c r="AH982" s="1300"/>
      <c r="AI982" s="1300"/>
      <c r="AJ982" s="1300"/>
      <c r="AK982" s="1301"/>
      <c r="AL982" s="105"/>
    </row>
    <row r="983" spans="1:38" ht="12.75" customHeight="1">
      <c r="A983" s="51"/>
      <c r="B983" s="122"/>
      <c r="C983" s="125"/>
      <c r="D983" s="949" t="s">
        <v>383</v>
      </c>
      <c r="E983" s="136"/>
      <c r="F983" s="136"/>
      <c r="G983" s="163"/>
      <c r="H983" s="7"/>
      <c r="J983" s="1315" t="s">
        <v>641</v>
      </c>
      <c r="K983" s="1316"/>
      <c r="L983" s="1316"/>
      <c r="M983" s="1316"/>
      <c r="N983" s="1316"/>
      <c r="O983" s="1316"/>
      <c r="P983" s="1316"/>
      <c r="Q983" s="1317"/>
      <c r="R983" s="7"/>
      <c r="S983" s="7"/>
      <c r="T983" s="164"/>
      <c r="U983" s="7"/>
      <c r="V983" s="1354" t="str">
        <f>IF(AA978="yes",(AD953*0.15),"")</f>
        <v/>
      </c>
      <c r="W983" s="1354"/>
      <c r="X983" s="1354"/>
      <c r="Y983" s="1355"/>
      <c r="Z983" s="1290"/>
      <c r="AA983" s="1291"/>
      <c r="AB983" s="1291"/>
      <c r="AC983" s="1292"/>
      <c r="AD983" s="1302"/>
      <c r="AE983" s="1303"/>
      <c r="AF983" s="1303"/>
      <c r="AG983" s="1303"/>
      <c r="AH983" s="1303"/>
      <c r="AI983" s="1303"/>
      <c r="AJ983" s="1303"/>
      <c r="AK983" s="1304"/>
      <c r="AL983" s="105"/>
    </row>
    <row r="984" spans="1:38" ht="12.75" customHeight="1">
      <c r="A984" s="51"/>
      <c r="B984" s="120"/>
      <c r="C984" s="121" t="s">
        <v>244</v>
      </c>
      <c r="D984" s="1256" t="s">
        <v>1616</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8"/>
      <c r="Z984" s="113"/>
      <c r="AA984" s="1248" t="s">
        <v>722</v>
      </c>
      <c r="AB984" s="1249"/>
      <c r="AC984" s="51"/>
      <c r="AD984" s="1296"/>
      <c r="AE984" s="1297"/>
      <c r="AF984" s="1297"/>
      <c r="AG984" s="1297"/>
      <c r="AH984" s="1297"/>
      <c r="AI984" s="1297"/>
      <c r="AJ984" s="1297"/>
      <c r="AK984" s="1298"/>
      <c r="AL984" s="105"/>
    </row>
    <row r="985" spans="1:38" ht="12.75" customHeight="1">
      <c r="A985" s="51"/>
      <c r="B985" s="113"/>
      <c r="C985" s="114"/>
      <c r="D985" s="1253" t="s">
        <v>1617</v>
      </c>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313">
        <f>IF(AA984="yes","Please Enter Amount:",0)</f>
        <v>0</v>
      </c>
      <c r="AA985" s="1314"/>
      <c r="AB985" s="1314"/>
      <c r="AC985" s="1314"/>
      <c r="AD985" s="1299"/>
      <c r="AE985" s="1300"/>
      <c r="AF985" s="1300"/>
      <c r="AG985" s="1300"/>
      <c r="AH985" s="1300"/>
      <c r="AI985" s="1300"/>
      <c r="AJ985" s="1300"/>
      <c r="AK985" s="1301"/>
      <c r="AL985" s="105"/>
    </row>
    <row r="986" spans="1:38" s="743" customFormat="1" ht="12.75" customHeight="1">
      <c r="A986" s="51"/>
      <c r="B986" s="113"/>
      <c r="C986" s="114"/>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313"/>
      <c r="AA986" s="1314"/>
      <c r="AB986" s="1314"/>
      <c r="AC986" s="1314"/>
      <c r="AD986" s="1299"/>
      <c r="AE986" s="1300"/>
      <c r="AF986" s="1300"/>
      <c r="AG986" s="1300"/>
      <c r="AH986" s="1300"/>
      <c r="AI986" s="1300"/>
      <c r="AJ986" s="1300"/>
      <c r="AK986" s="1301"/>
      <c r="AL986" s="105"/>
    </row>
    <row r="987" spans="1:38" ht="12.75" customHeight="1">
      <c r="A987" s="51"/>
      <c r="B987" s="126"/>
      <c r="C987" s="125"/>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1"/>
      <c r="Z987" s="1313"/>
      <c r="AA987" s="1314"/>
      <c r="AB987" s="1314"/>
      <c r="AC987" s="1314"/>
      <c r="AD987" s="1302"/>
      <c r="AE987" s="1303"/>
      <c r="AF987" s="1303"/>
      <c r="AG987" s="1303"/>
      <c r="AH987" s="1303"/>
      <c r="AI987" s="1303"/>
      <c r="AJ987" s="1303"/>
      <c r="AK987" s="1304"/>
      <c r="AL987" s="105"/>
    </row>
    <row r="988" spans="1:38" ht="12.75" customHeight="1">
      <c r="A988" s="51"/>
      <c r="B988" s="120"/>
      <c r="C988" s="121" t="s">
        <v>249</v>
      </c>
      <c r="D988" s="1256" t="s">
        <v>1618</v>
      </c>
      <c r="E988" s="1257"/>
      <c r="F988" s="1257"/>
      <c r="G988" s="1257"/>
      <c r="H988" s="1257"/>
      <c r="I988" s="1257"/>
      <c r="J988" s="1257"/>
      <c r="K988" s="1257"/>
      <c r="L988" s="1257"/>
      <c r="M988" s="1257"/>
      <c r="N988" s="1257"/>
      <c r="O988" s="1257"/>
      <c r="P988" s="1257"/>
      <c r="Q988" s="1257"/>
      <c r="R988" s="1257"/>
      <c r="S988" s="1257"/>
      <c r="T988" s="1257"/>
      <c r="U988" s="1257"/>
      <c r="V988" s="1257"/>
      <c r="W988" s="1257"/>
      <c r="X988" s="1257"/>
      <c r="Y988" s="1258"/>
      <c r="Z988" s="120"/>
      <c r="AA988" s="1183" t="s">
        <v>591</v>
      </c>
      <c r="AB988" s="1184"/>
      <c r="AC988" s="127"/>
      <c r="AD988" s="1185">
        <f>ROUND(IF(AA988="yes",(AD953*0.1),0),0)</f>
        <v>3528588</v>
      </c>
      <c r="AE988" s="1186"/>
      <c r="AF988" s="1186"/>
      <c r="AG988" s="1186"/>
      <c r="AH988" s="1186"/>
      <c r="AI988" s="1186"/>
      <c r="AJ988" s="1186"/>
      <c r="AK988" s="1187"/>
      <c r="AL988" s="105"/>
    </row>
    <row r="989" spans="1:38" s="743" customFormat="1" ht="12.75" customHeight="1">
      <c r="A989" s="51"/>
      <c r="B989" s="113"/>
      <c r="C989" s="114"/>
      <c r="D989" s="1253" t="s">
        <v>1619</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3"/>
      <c r="AA989" s="115"/>
      <c r="AB989" s="115"/>
      <c r="AC989" s="115"/>
      <c r="AD989" s="1188"/>
      <c r="AE989" s="1189"/>
      <c r="AF989" s="1189"/>
      <c r="AG989" s="1189"/>
      <c r="AH989" s="1189"/>
      <c r="AI989" s="1189"/>
      <c r="AJ989" s="1189"/>
      <c r="AK989" s="1190"/>
      <c r="AL989" s="105"/>
    </row>
    <row r="990" spans="1:38" ht="12.75">
      <c r="A990" s="51"/>
      <c r="B990" s="113"/>
      <c r="C990" s="114"/>
      <c r="D990" s="1259"/>
      <c r="E990" s="1260"/>
      <c r="F990" s="1260"/>
      <c r="G990" s="1260"/>
      <c r="H990" s="1260"/>
      <c r="I990" s="1260"/>
      <c r="J990" s="1260"/>
      <c r="K990" s="1260"/>
      <c r="L990" s="1260"/>
      <c r="M990" s="1260"/>
      <c r="N990" s="1260"/>
      <c r="O990" s="1260"/>
      <c r="P990" s="1260"/>
      <c r="Q990" s="1260"/>
      <c r="R990" s="1260"/>
      <c r="S990" s="1260"/>
      <c r="T990" s="1260"/>
      <c r="U990" s="1260"/>
      <c r="V990" s="1260"/>
      <c r="W990" s="1260"/>
      <c r="X990" s="1260"/>
      <c r="Y990" s="1261"/>
      <c r="Z990" s="113"/>
      <c r="AA990" s="115"/>
      <c r="AB990" s="115"/>
      <c r="AC990" s="115"/>
      <c r="AD990" s="1188"/>
      <c r="AE990" s="1189"/>
      <c r="AF990" s="1189"/>
      <c r="AG990" s="1189"/>
      <c r="AH990" s="1189"/>
      <c r="AI990" s="1189"/>
      <c r="AJ990" s="1189"/>
      <c r="AK990" s="1190"/>
      <c r="AL990" s="105"/>
    </row>
    <row r="991" spans="1:38" ht="12.75" customHeight="1">
      <c r="A991" s="51"/>
      <c r="B991" s="120"/>
      <c r="C991" s="555" t="s">
        <v>741</v>
      </c>
      <c r="D991" s="1256" t="s">
        <v>1620</v>
      </c>
      <c r="E991" s="1257"/>
      <c r="F991" s="1257"/>
      <c r="G991" s="1257"/>
      <c r="H991" s="1257"/>
      <c r="I991" s="1257"/>
      <c r="J991" s="1257"/>
      <c r="K991" s="1257"/>
      <c r="L991" s="1257"/>
      <c r="M991" s="1257"/>
      <c r="N991" s="1257"/>
      <c r="O991" s="1257"/>
      <c r="P991" s="1257"/>
      <c r="Q991" s="1257"/>
      <c r="R991" s="1257"/>
      <c r="S991" s="1257"/>
      <c r="T991" s="1257"/>
      <c r="U991" s="1257"/>
      <c r="V991" s="1257"/>
      <c r="W991" s="1257"/>
      <c r="X991" s="1257"/>
      <c r="Y991" s="1258"/>
      <c r="Z991" s="120"/>
      <c r="AA991" s="1183" t="s">
        <v>722</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53" t="s">
        <v>1621</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5"/>
      <c r="Z993" s="113"/>
      <c r="AA993" s="115"/>
      <c r="AB993" s="115"/>
      <c r="AC993" s="115"/>
      <c r="AD993" s="552"/>
      <c r="AE993" s="553"/>
      <c r="AF993" s="553"/>
      <c r="AG993" s="553"/>
      <c r="AH993" s="553"/>
      <c r="AI993" s="553"/>
      <c r="AJ993" s="553"/>
      <c r="AK993" s="554"/>
      <c r="AL993" s="105"/>
    </row>
    <row r="994" spans="1:38" ht="12.75" customHeight="1">
      <c r="A994" s="51"/>
      <c r="B994" s="113"/>
      <c r="C994" s="114"/>
      <c r="D994" s="1253"/>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5"/>
      <c r="Z994" s="113"/>
      <c r="AA994" s="115"/>
      <c r="AB994" s="115"/>
      <c r="AC994" s="115"/>
      <c r="AD994" s="552"/>
      <c r="AE994" s="553"/>
      <c r="AF994" s="553"/>
      <c r="AG994" s="553"/>
      <c r="AH994" s="553"/>
      <c r="AI994" s="553"/>
      <c r="AJ994" s="553"/>
      <c r="AK994" s="554"/>
      <c r="AL994" s="105"/>
    </row>
    <row r="995" spans="1:38" ht="12.75" customHeight="1">
      <c r="A995" s="51"/>
      <c r="B995" s="113"/>
      <c r="C995" s="114"/>
      <c r="D995" s="1259"/>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6" t="s">
        <v>1625</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8"/>
      <c r="Z996" s="120"/>
      <c r="AA996" s="1288" t="str">
        <f>IF(X999&gt;0,"Yes","No")</f>
        <v>Yes</v>
      </c>
      <c r="AB996" s="1289"/>
      <c r="AC996" s="128"/>
      <c r="AD996" s="1279">
        <f>IF((X999=0),"",AO906*AD953)</f>
        <v>6351458.3999999994</v>
      </c>
      <c r="AE996" s="1280"/>
      <c r="AF996" s="1280"/>
      <c r="AG996" s="1280"/>
      <c r="AH996" s="1280"/>
      <c r="AI996" s="1280"/>
      <c r="AJ996" s="1280"/>
      <c r="AK996" s="1281"/>
      <c r="AL996" s="105"/>
    </row>
    <row r="997" spans="1:38" s="743" customFormat="1" ht="12.75" customHeight="1">
      <c r="A997" s="51"/>
      <c r="B997" s="113"/>
      <c r="C997" s="726"/>
      <c r="D997" s="1253" t="s">
        <v>1624</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5"/>
      <c r="Z997" s="113"/>
      <c r="AA997" s="727"/>
      <c r="AB997" s="727"/>
      <c r="AC997" s="124"/>
      <c r="AD997" s="1282"/>
      <c r="AE997" s="1283"/>
      <c r="AF997" s="1283"/>
      <c r="AG997" s="1283"/>
      <c r="AH997" s="1283"/>
      <c r="AI997" s="1283"/>
      <c r="AJ997" s="1283"/>
      <c r="AK997" s="1284"/>
      <c r="AL997" s="105"/>
    </row>
    <row r="998" spans="1:38" ht="12.75" customHeight="1">
      <c r="A998" s="51"/>
      <c r="B998" s="113"/>
      <c r="C998" s="726"/>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5"/>
      <c r="Z998" s="113"/>
      <c r="AA998" s="727"/>
      <c r="AB998" s="727"/>
      <c r="AC998" s="124"/>
      <c r="AD998" s="1282"/>
      <c r="AE998" s="1283"/>
      <c r="AF998" s="1283"/>
      <c r="AG998" s="1283"/>
      <c r="AH998" s="1283"/>
      <c r="AI998" s="1283"/>
      <c r="AJ998" s="1283"/>
      <c r="AK998" s="1284"/>
      <c r="AL998" s="105"/>
    </row>
    <row r="999" spans="1:38" ht="12.75" customHeight="1">
      <c r="A999" s="51"/>
      <c r="B999" s="118"/>
      <c r="C999" s="119"/>
      <c r="D999" s="207" t="s">
        <v>1079</v>
      </c>
      <c r="E999" s="208"/>
      <c r="F999" s="208"/>
      <c r="G999" s="208"/>
      <c r="H999" s="104"/>
      <c r="I999" s="1309">
        <f>AM905</f>
        <v>88</v>
      </c>
      <c r="J999" s="1310"/>
      <c r="K999" s="51"/>
      <c r="L999" s="104"/>
      <c r="M999" s="208"/>
      <c r="N999" s="208"/>
      <c r="O999" s="208"/>
      <c r="P999" s="208"/>
      <c r="Q999" s="208"/>
      <c r="R999" s="208"/>
      <c r="S999" s="208"/>
      <c r="T999" s="208"/>
      <c r="U999" s="208"/>
      <c r="V999" s="104"/>
      <c r="W999" s="209" t="s">
        <v>1080</v>
      </c>
      <c r="X999" s="1311">
        <f>AT614</f>
        <v>16</v>
      </c>
      <c r="Y999" s="1312"/>
      <c r="Z999" s="1290"/>
      <c r="AA999" s="1291"/>
      <c r="AB999" s="1291"/>
      <c r="AC999" s="1292"/>
      <c r="AD999" s="1285"/>
      <c r="AE999" s="1286"/>
      <c r="AF999" s="1286"/>
      <c r="AG999" s="1286"/>
      <c r="AH999" s="1286"/>
      <c r="AI999" s="1286"/>
      <c r="AJ999" s="1286"/>
      <c r="AK999" s="1287"/>
      <c r="AL999" s="105"/>
    </row>
    <row r="1000" spans="1:38" ht="12.75" customHeight="1">
      <c r="A1000" s="51"/>
      <c r="B1000" s="120"/>
      <c r="C1000" s="206" t="s">
        <v>1153</v>
      </c>
      <c r="D1000" s="1256" t="s">
        <v>1623</v>
      </c>
      <c r="E1000" s="1257"/>
      <c r="F1000" s="1257"/>
      <c r="G1000" s="1257"/>
      <c r="H1000" s="1257"/>
      <c r="I1000" s="1257"/>
      <c r="J1000" s="1257"/>
      <c r="K1000" s="1257"/>
      <c r="L1000" s="1257"/>
      <c r="M1000" s="1257"/>
      <c r="N1000" s="1257"/>
      <c r="O1000" s="1257"/>
      <c r="P1000" s="1257"/>
      <c r="Q1000" s="1257"/>
      <c r="R1000" s="1257"/>
      <c r="S1000" s="1257"/>
      <c r="T1000" s="1257"/>
      <c r="U1000" s="1257"/>
      <c r="V1000" s="1257"/>
      <c r="W1000" s="1257"/>
      <c r="X1000" s="1257"/>
      <c r="Y1000" s="1258"/>
      <c r="Z1000" s="113"/>
      <c r="AA1000" s="1288" t="str">
        <f>IF(X1003&gt;0,"Yes","No")</f>
        <v>Yes</v>
      </c>
      <c r="AB1000" s="1289"/>
      <c r="AC1000" s="124"/>
      <c r="AD1000" s="1279">
        <f>IF((X1003=0)," ",(2*AO907)*AD953)</f>
        <v>38814468</v>
      </c>
      <c r="AE1000" s="1280"/>
      <c r="AF1000" s="1280"/>
      <c r="AG1000" s="1280"/>
      <c r="AH1000" s="1280"/>
      <c r="AI1000" s="1280"/>
      <c r="AJ1000" s="1280"/>
      <c r="AK1000" s="1281"/>
      <c r="AL1000" s="105"/>
    </row>
    <row r="1001" spans="1:38" s="743" customFormat="1" ht="12.75" customHeight="1">
      <c r="A1001" s="51"/>
      <c r="B1001" s="113"/>
      <c r="C1001" s="726"/>
      <c r="D1001" s="1253" t="s">
        <v>1622</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5"/>
      <c r="Z1001" s="113"/>
      <c r="AA1001" s="727"/>
      <c r="AB1001" s="727"/>
      <c r="AC1001" s="124"/>
      <c r="AD1001" s="1282"/>
      <c r="AE1001" s="1283"/>
      <c r="AF1001" s="1283"/>
      <c r="AG1001" s="1283"/>
      <c r="AH1001" s="1283"/>
      <c r="AI1001" s="1283"/>
      <c r="AJ1001" s="1283"/>
      <c r="AK1001" s="1284"/>
      <c r="AL1001" s="105"/>
    </row>
    <row r="1002" spans="1:38" ht="12.75" customHeight="1">
      <c r="A1002" s="51"/>
      <c r="B1002" s="113"/>
      <c r="C1002" s="124"/>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5"/>
      <c r="Z1002" s="1320"/>
      <c r="AA1002" s="1318"/>
      <c r="AB1002" s="1318"/>
      <c r="AC1002" s="1319"/>
      <c r="AD1002" s="1282"/>
      <c r="AE1002" s="1283"/>
      <c r="AF1002" s="1283"/>
      <c r="AG1002" s="1283"/>
      <c r="AH1002" s="1283"/>
      <c r="AI1002" s="1283"/>
      <c r="AJ1002" s="1283"/>
      <c r="AK1002" s="1284"/>
      <c r="AL1002" s="105"/>
    </row>
    <row r="1003" spans="1:38" ht="12.75" customHeight="1">
      <c r="A1003" s="51"/>
      <c r="B1003" s="118"/>
      <c r="C1003" s="119"/>
      <c r="D1003" s="207" t="s">
        <v>1079</v>
      </c>
      <c r="E1003" s="208"/>
      <c r="F1003" s="208"/>
      <c r="G1003" s="208"/>
      <c r="H1003" s="208"/>
      <c r="I1003" s="1309">
        <f>AM905</f>
        <v>88</v>
      </c>
      <c r="J1003" s="1310"/>
      <c r="K1003" s="51"/>
      <c r="L1003" s="208"/>
      <c r="M1003" s="208"/>
      <c r="N1003" s="208"/>
      <c r="O1003" s="208"/>
      <c r="P1003" s="208"/>
      <c r="Q1003" s="208"/>
      <c r="R1003" s="208"/>
      <c r="S1003" s="208"/>
      <c r="T1003" s="208"/>
      <c r="U1003" s="208"/>
      <c r="V1003" s="208"/>
      <c r="W1003" s="209" t="s">
        <v>1081</v>
      </c>
      <c r="X1003" s="1311">
        <f>AX614</f>
        <v>49</v>
      </c>
      <c r="Y1003" s="1312"/>
      <c r="Z1003" s="1290"/>
      <c r="AA1003" s="1291"/>
      <c r="AB1003" s="1291"/>
      <c r="AC1003" s="1292"/>
      <c r="AD1003" s="1285"/>
      <c r="AE1003" s="1286"/>
      <c r="AF1003" s="1286"/>
      <c r="AG1003" s="1286"/>
      <c r="AH1003" s="1286"/>
      <c r="AI1003" s="1286"/>
      <c r="AJ1003" s="1286"/>
      <c r="AK1003" s="1287"/>
      <c r="AL1003" s="105"/>
    </row>
    <row r="1004" spans="1:38" ht="12.75" customHeight="1">
      <c r="A1004" s="51"/>
      <c r="B1004" s="161"/>
      <c r="C1004" s="162"/>
      <c r="D1004" s="1337" t="s">
        <v>559</v>
      </c>
      <c r="E1004" s="1337"/>
      <c r="F1004" s="1337"/>
      <c r="G1004" s="1337"/>
      <c r="H1004" s="1337"/>
      <c r="I1004" s="1337"/>
      <c r="J1004" s="1337"/>
      <c r="K1004" s="1337"/>
      <c r="L1004" s="1337"/>
      <c r="M1004" s="1337"/>
      <c r="N1004" s="1337"/>
      <c r="O1004" s="1337"/>
      <c r="P1004" s="1337"/>
      <c r="Q1004" s="1337"/>
      <c r="R1004" s="1337"/>
      <c r="S1004" s="1337"/>
      <c r="T1004" s="1337"/>
      <c r="U1004" s="1337"/>
      <c r="V1004" s="1337"/>
      <c r="W1004" s="1337"/>
      <c r="X1004" s="1337"/>
      <c r="Y1004" s="1337"/>
      <c r="Z1004" s="1337"/>
      <c r="AA1004" s="1337"/>
      <c r="AB1004" s="1337"/>
      <c r="AC1004" s="1338"/>
      <c r="AD1004" s="1272">
        <f>SUM(AD953:AK1003)</f>
        <v>93507582.400000006</v>
      </c>
      <c r="AE1004" s="1273"/>
      <c r="AF1004" s="1273"/>
      <c r="AG1004" s="1273"/>
      <c r="AH1004" s="1273"/>
      <c r="AI1004" s="1273"/>
      <c r="AJ1004" s="1273"/>
      <c r="AK1004" s="127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8"/>
      <c r="Y1007" s="1208"/>
      <c r="Z1007" s="1208"/>
      <c r="AA1007" s="1208"/>
      <c r="AB1007" s="1208"/>
      <c r="AC1007" s="120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9"/>
      <c r="Y1008" s="1209"/>
      <c r="Z1008" s="1209"/>
      <c r="AA1008" s="1209"/>
      <c r="AB1008" s="1209"/>
      <c r="AC1008" s="1209"/>
      <c r="AD1008" s="345"/>
      <c r="AE1008" s="345"/>
      <c r="AF1008" s="345"/>
      <c r="AG1008" s="345"/>
      <c r="AH1008" s="345"/>
      <c r="AI1008" s="345"/>
      <c r="AJ1008" s="345"/>
      <c r="AK1008" s="345"/>
      <c r="AL1008" s="105"/>
    </row>
    <row r="1009" spans="1:38" ht="12.75" customHeight="1">
      <c r="A1009" s="51"/>
      <c r="B1009" s="115"/>
      <c r="C1009" s="348"/>
      <c r="D1009" s="1567"/>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7"/>
      <c r="AF1009" s="1567"/>
      <c r="AG1009" s="1567"/>
      <c r="AH1009" s="1567"/>
      <c r="AI1009" s="1567"/>
      <c r="AJ1009" s="1567"/>
      <c r="AK1009" s="1567"/>
      <c r="AL1009" s="105"/>
    </row>
    <row r="1010" spans="1:38" ht="12.75" customHeight="1">
      <c r="A1010" s="51"/>
      <c r="B1010" s="115"/>
      <c r="C1010" s="348"/>
      <c r="D1010" s="1567"/>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7"/>
      <c r="AF1010" s="1567"/>
      <c r="AG1010" s="1567"/>
      <c r="AH1010" s="1567"/>
      <c r="AI1010" s="1567"/>
      <c r="AJ1010" s="1567"/>
      <c r="AK1010" s="1567"/>
      <c r="AL1010" s="105"/>
    </row>
    <row r="1011" spans="1:38" ht="12.75" customHeight="1">
      <c r="A1011" s="51"/>
      <c r="B1011" s="115"/>
      <c r="C1011" s="348"/>
      <c r="D1011" s="1567"/>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7"/>
      <c r="AF1011" s="1567"/>
      <c r="AG1011" s="1567"/>
      <c r="AH1011" s="1567"/>
      <c r="AI1011" s="1567"/>
      <c r="AJ1011" s="1567"/>
      <c r="AK1011" s="1567"/>
      <c r="AL1011" s="105"/>
    </row>
    <row r="1012" spans="1:38" ht="12.6"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 customHeight="1" thickBot="1">
      <c r="A1015" s="1271" t="s">
        <v>875</v>
      </c>
      <c r="B1015" s="1271"/>
      <c r="C1015" s="1271"/>
      <c r="D1015" s="1271"/>
      <c r="E1015" s="1271"/>
      <c r="F1015" s="1271"/>
      <c r="G1015" s="1271"/>
      <c r="H1015" s="1271"/>
      <c r="I1015" s="1271"/>
      <c r="J1015" s="1271"/>
      <c r="K1015" s="1271"/>
      <c r="L1015" s="1271"/>
      <c r="M1015" s="1271"/>
      <c r="N1015" s="1271"/>
      <c r="O1015" s="1271"/>
      <c r="P1015" s="1271"/>
      <c r="Q1015" s="1271"/>
      <c r="R1015" s="1271"/>
      <c r="S1015" s="1271"/>
      <c r="T1015" s="1271"/>
      <c r="U1015" s="1271"/>
      <c r="V1015" s="1271"/>
      <c r="W1015" s="1271"/>
      <c r="X1015" s="1271"/>
      <c r="Y1015" s="1271"/>
      <c r="Z1015" s="1271"/>
      <c r="AA1015" s="1271"/>
      <c r="AB1015" s="1271"/>
      <c r="AC1015" s="1271"/>
      <c r="AD1015" s="1271"/>
      <c r="AE1015" s="1271"/>
      <c r="AF1015" s="1271"/>
      <c r="AG1015" s="1271"/>
      <c r="AH1015" s="1271"/>
      <c r="AI1015" s="1271"/>
      <c r="AJ1015" s="1271"/>
      <c r="AK1015" s="1271"/>
      <c r="AL1015" s="127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641</v>
      </c>
      <c r="B1019" s="1106"/>
      <c r="C1019" s="13">
        <v>1</v>
      </c>
      <c r="D1019" s="1005" t="s">
        <v>1261</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641</v>
      </c>
      <c r="B1025" s="1106"/>
      <c r="C1025" s="13">
        <v>2</v>
      </c>
      <c r="D1025" s="1005" t="s">
        <v>1260</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641</v>
      </c>
      <c r="B1031" s="1106"/>
      <c r="C1031" s="13">
        <v>3</v>
      </c>
      <c r="D1031" s="1005" t="s">
        <v>1603</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641</v>
      </c>
      <c r="B1038" s="1106"/>
      <c r="C1038" s="13">
        <v>4</v>
      </c>
      <c r="D1038" s="1005" t="s">
        <v>1246</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641</v>
      </c>
      <c r="B1041" s="1106"/>
      <c r="C1041" s="13">
        <v>5</v>
      </c>
      <c r="D1041" s="1005" t="s">
        <v>1464</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641</v>
      </c>
      <c r="B1046" s="1106"/>
      <c r="C1046" s="13">
        <v>6</v>
      </c>
      <c r="D1046" s="1005" t="s">
        <v>1247</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641</v>
      </c>
      <c r="B1049" s="1106"/>
      <c r="C1049" s="328">
        <v>7</v>
      </c>
      <c r="D1049" s="1005" t="s">
        <v>1249</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641</v>
      </c>
      <c r="B1053" s="1106"/>
      <c r="C1053" s="328">
        <v>8</v>
      </c>
      <c r="D1053" s="1005" t="s">
        <v>1476</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641</v>
      </c>
      <c r="B1057" s="1106"/>
      <c r="C1057" s="328">
        <v>9</v>
      </c>
      <c r="D1057" s="1005" t="s">
        <v>1248</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2" priority="2" stopIfTrue="1" operator="equal">
      <formula>"Please Enter Amount:"</formula>
    </cfRule>
  </conditionalFormatting>
  <conditionalFormatting sqref="B1012">
    <cfRule type="cellIs" dxfId="131" priority="3" stopIfTrue="1" operator="equal">
      <formula>#N/A</formula>
    </cfRule>
  </conditionalFormatting>
  <conditionalFormatting sqref="AD996:AD998">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3" ySplit="3" topLeftCell="D97" activePane="bottomRight" state="frozen"/>
      <selection pane="topRight" activeCell="D1" sqref="D1"/>
      <selection pane="bottomLeft" activeCell="A4" sqref="A4"/>
      <selection pane="bottomRight" activeCell="E108" sqref="E10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3" t="s">
        <v>671</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406</v>
      </c>
      <c r="D2" s="216" t="s">
        <v>405</v>
      </c>
      <c r="E2" s="216" t="s">
        <v>27</v>
      </c>
      <c r="F2" s="217" t="str">
        <f>Application!B618&amp;Application!C618</f>
        <v>1)Citibank</v>
      </c>
      <c r="G2" s="217" t="str">
        <f>Application!B619&amp;Application!C619</f>
        <v>2)Los Angeles County Development Authority</v>
      </c>
      <c r="H2" s="217" t="str">
        <f>Application!B620&amp;Application!C620</f>
        <v>3)HCD-AHSC</v>
      </c>
      <c r="I2" s="217" t="str">
        <f>Application!B621&amp;Application!C621</f>
        <v>4)CIT Bank-AHP loan</v>
      </c>
      <c r="J2" s="217" t="str">
        <f>Application!B622&amp;Application!C622</f>
        <v>5)GP Capital Contribution</v>
      </c>
      <c r="K2" s="217" t="str">
        <f>Application!B623&amp;Application!C623</f>
        <v>6)GP Equity</v>
      </c>
      <c r="L2" s="217" t="str">
        <f>Application!B624&amp;Application!C624</f>
        <v xml:space="preserve">7) </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25100</v>
      </c>
      <c r="C4" s="955">
        <v>25100</v>
      </c>
      <c r="D4" s="225"/>
      <c r="E4" s="225">
        <v>25100</v>
      </c>
      <c r="F4" s="225"/>
      <c r="G4" s="225"/>
      <c r="H4" s="225">
        <v>0</v>
      </c>
      <c r="I4" s="225"/>
      <c r="J4" s="225"/>
      <c r="K4" s="225"/>
      <c r="L4" s="225"/>
      <c r="M4" s="225"/>
      <c r="N4" s="225"/>
      <c r="O4" s="225"/>
      <c r="P4" s="225"/>
      <c r="Q4" s="225"/>
      <c r="R4" s="916">
        <f>SUM(E4:Q4)</f>
        <v>25100</v>
      </c>
      <c r="S4" s="226"/>
      <c r="T4" s="226"/>
      <c r="U4" s="221"/>
    </row>
    <row r="5" spans="1:21" s="222" customFormat="1">
      <c r="A5" s="223" t="s">
        <v>31</v>
      </c>
      <c r="B5" s="224">
        <f>SUM(C5+D5)</f>
        <v>495684</v>
      </c>
      <c r="C5" s="955">
        <f>284832+210852</f>
        <v>495684</v>
      </c>
      <c r="D5" s="225"/>
      <c r="E5" s="225"/>
      <c r="F5" s="225"/>
      <c r="G5" s="225">
        <f>C5</f>
        <v>495684</v>
      </c>
      <c r="H5" s="225"/>
      <c r="I5" s="225"/>
      <c r="J5" s="225"/>
      <c r="K5" s="225"/>
      <c r="L5" s="225"/>
      <c r="M5" s="225"/>
      <c r="N5" s="225"/>
      <c r="O5" s="225"/>
      <c r="P5" s="225"/>
      <c r="Q5" s="225"/>
      <c r="R5" s="916">
        <f>SUM(E5:Q5)</f>
        <v>495684</v>
      </c>
      <c r="S5" s="226"/>
      <c r="T5" s="226"/>
      <c r="U5" s="221"/>
    </row>
    <row r="6" spans="1:21" s="222" customFormat="1">
      <c r="A6" s="223" t="s">
        <v>32</v>
      </c>
      <c r="B6" s="224">
        <f>SUM(C6+D6)</f>
        <v>7500</v>
      </c>
      <c r="C6" s="955">
        <v>7500</v>
      </c>
      <c r="D6" s="225"/>
      <c r="E6" s="225"/>
      <c r="F6" s="225"/>
      <c r="G6" s="225">
        <f>C6</f>
        <v>7500</v>
      </c>
      <c r="H6" s="225"/>
      <c r="I6" s="225"/>
      <c r="J6" s="225"/>
      <c r="K6" s="225"/>
      <c r="L6" s="225"/>
      <c r="M6" s="225"/>
      <c r="N6" s="225"/>
      <c r="O6" s="225"/>
      <c r="P6" s="225"/>
      <c r="Q6" s="225"/>
      <c r="R6" s="916">
        <f>SUM(E6:Q6)</f>
        <v>7500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528284</v>
      </c>
      <c r="C8" s="224">
        <f t="shared" ref="C8:Q8" si="0">SUM(C4:C7)</f>
        <v>528284</v>
      </c>
      <c r="D8" s="224">
        <f t="shared" si="0"/>
        <v>0</v>
      </c>
      <c r="E8" s="224">
        <f t="shared" si="0"/>
        <v>25100</v>
      </c>
      <c r="F8" s="224">
        <f t="shared" si="0"/>
        <v>0</v>
      </c>
      <c r="G8" s="224">
        <f t="shared" si="0"/>
        <v>503184</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528284</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42143</v>
      </c>
      <c r="C10" s="225">
        <v>42143</v>
      </c>
      <c r="D10" s="225"/>
      <c r="E10" s="225"/>
      <c r="F10" s="225"/>
      <c r="G10" s="225">
        <f>C10</f>
        <v>42143</v>
      </c>
      <c r="H10" s="225"/>
      <c r="I10" s="225"/>
      <c r="J10" s="225"/>
      <c r="K10" s="225"/>
      <c r="L10" s="225"/>
      <c r="M10" s="225"/>
      <c r="N10" s="225"/>
      <c r="O10" s="225"/>
      <c r="P10" s="225"/>
      <c r="Q10" s="225"/>
      <c r="R10" s="916">
        <f>SUM(E10:Q10)</f>
        <v>42143</v>
      </c>
      <c r="S10" s="225">
        <f>C10</f>
        <v>42143</v>
      </c>
      <c r="T10" s="225"/>
      <c r="U10" s="221"/>
    </row>
    <row r="11" spans="1:21" s="222" customFormat="1">
      <c r="A11" s="227" t="s">
        <v>646</v>
      </c>
      <c r="B11" s="224">
        <f>SUM(C11:D11)</f>
        <v>42143</v>
      </c>
      <c r="C11" s="224">
        <f t="shared" ref="C11:Q11" si="1">SUM(C9:C10)</f>
        <v>42143</v>
      </c>
      <c r="D11" s="224">
        <f t="shared" si="1"/>
        <v>0</v>
      </c>
      <c r="E11" s="224">
        <f t="shared" si="1"/>
        <v>0</v>
      </c>
      <c r="F11" s="224">
        <f t="shared" si="1"/>
        <v>0</v>
      </c>
      <c r="G11" s="224">
        <f t="shared" si="1"/>
        <v>42143</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42143</v>
      </c>
      <c r="S11" s="226"/>
      <c r="T11" s="228">
        <f>SUM(T9:T10)</f>
        <v>0</v>
      </c>
      <c r="U11" s="221"/>
    </row>
    <row r="12" spans="1:21" s="222" customFormat="1">
      <c r="A12" s="227" t="s">
        <v>91</v>
      </c>
      <c r="B12" s="224">
        <f t="shared" ref="B12:Q12" si="2">SUM(B8+B11)</f>
        <v>570427</v>
      </c>
      <c r="C12" s="224">
        <f t="shared" si="2"/>
        <v>570427</v>
      </c>
      <c r="D12" s="224">
        <f t="shared" si="2"/>
        <v>0</v>
      </c>
      <c r="E12" s="224">
        <f t="shared" si="2"/>
        <v>25100</v>
      </c>
      <c r="F12" s="224">
        <f t="shared" si="2"/>
        <v>0</v>
      </c>
      <c r="G12" s="224">
        <f t="shared" si="2"/>
        <v>545327</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570427</v>
      </c>
      <c r="S12" s="226"/>
      <c r="T12" s="226"/>
      <c r="U12" s="221"/>
    </row>
    <row r="13" spans="1:21" s="222" customFormat="1">
      <c r="A13" s="466" t="s">
        <v>1000</v>
      </c>
      <c r="B13" s="224">
        <f>SUM(C13+D13)</f>
        <v>273535</v>
      </c>
      <c r="C13" s="225">
        <f>237026+36509</f>
        <v>273535</v>
      </c>
      <c r="D13" s="225"/>
      <c r="E13" s="225"/>
      <c r="F13" s="225"/>
      <c r="G13" s="225"/>
      <c r="H13" s="225"/>
      <c r="I13" s="225">
        <v>273535</v>
      </c>
      <c r="J13" s="225">
        <v>0</v>
      </c>
      <c r="K13" s="225"/>
      <c r="L13" s="225"/>
      <c r="M13" s="225"/>
      <c r="N13" s="225"/>
      <c r="O13" s="225"/>
      <c r="P13" s="225"/>
      <c r="Q13" s="225"/>
      <c r="R13" s="916">
        <f>SUM(E13:Q13)</f>
        <v>273535</v>
      </c>
      <c r="S13" s="225">
        <f>C13</f>
        <v>273535</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964"/>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1019350</v>
      </c>
      <c r="C28" s="225">
        <v>1019350</v>
      </c>
      <c r="D28" s="225"/>
      <c r="E28" s="225"/>
      <c r="F28" s="225"/>
      <c r="G28" s="225">
        <f>C28</f>
        <v>1019350</v>
      </c>
      <c r="H28" s="225"/>
      <c r="I28" s="225"/>
      <c r="J28" s="225"/>
      <c r="K28" s="225"/>
      <c r="L28" s="225"/>
      <c r="M28" s="225"/>
      <c r="N28" s="225"/>
      <c r="O28" s="225"/>
      <c r="P28" s="225"/>
      <c r="Q28" s="225"/>
      <c r="R28" s="916">
        <f t="shared" ref="R28:R35" si="7">SUM(E28:Q28)</f>
        <v>1019350</v>
      </c>
      <c r="S28" s="225">
        <f>C28</f>
        <v>1019350</v>
      </c>
      <c r="T28" s="225"/>
      <c r="U28" s="221"/>
    </row>
    <row r="29" spans="1:21" s="222" customFormat="1">
      <c r="A29" s="223" t="s">
        <v>649</v>
      </c>
      <c r="B29" s="224">
        <f t="shared" si="6"/>
        <v>25917760</v>
      </c>
      <c r="C29" s="225">
        <v>25917760</v>
      </c>
      <c r="D29" s="225"/>
      <c r="E29" s="225">
        <f>C29-F29-G29-H29-I29-J29-K29-L29</f>
        <v>8380447</v>
      </c>
      <c r="F29" s="225">
        <v>5447135</v>
      </c>
      <c r="G29" s="225">
        <f>739990+30238-27000</f>
        <v>743228</v>
      </c>
      <c r="H29" s="225">
        <f>10786788+41133+314</f>
        <v>10828235</v>
      </c>
      <c r="I29" s="225">
        <v>518715</v>
      </c>
      <c r="J29" s="225">
        <v>0</v>
      </c>
      <c r="K29" s="225"/>
      <c r="L29" s="225"/>
      <c r="M29" s="225"/>
      <c r="N29" s="225"/>
      <c r="O29" s="225"/>
      <c r="P29" s="225"/>
      <c r="Q29" s="225"/>
      <c r="R29" s="916">
        <f t="shared" si="7"/>
        <v>25917760</v>
      </c>
      <c r="S29" s="225">
        <f t="shared" ref="S29:S34" si="8">C29</f>
        <v>25917760</v>
      </c>
      <c r="T29" s="225"/>
      <c r="U29" s="221"/>
    </row>
    <row r="30" spans="1:21" s="222" customFormat="1">
      <c r="A30" s="223" t="s">
        <v>650</v>
      </c>
      <c r="B30" s="224">
        <f t="shared" si="6"/>
        <v>1616227</v>
      </c>
      <c r="C30" s="225">
        <v>1616227</v>
      </c>
      <c r="D30" s="225"/>
      <c r="E30" s="225">
        <f t="shared" ref="E30:E34" si="9">C30-F30-G30-H30-I30-J30-K30-L30</f>
        <v>1616227</v>
      </c>
      <c r="F30" s="225"/>
      <c r="G30" s="225"/>
      <c r="H30" s="225"/>
      <c r="I30" s="225"/>
      <c r="J30" s="225"/>
      <c r="K30" s="225"/>
      <c r="L30" s="225"/>
      <c r="M30" s="225"/>
      <c r="N30" s="225"/>
      <c r="O30" s="225"/>
      <c r="P30" s="225"/>
      <c r="Q30" s="225"/>
      <c r="R30" s="916">
        <f t="shared" si="7"/>
        <v>1616227</v>
      </c>
      <c r="S30" s="225">
        <f t="shared" si="8"/>
        <v>1616227</v>
      </c>
      <c r="T30" s="225"/>
      <c r="U30" s="221"/>
    </row>
    <row r="31" spans="1:21" s="222" customFormat="1">
      <c r="A31" s="223" t="s">
        <v>144</v>
      </c>
      <c r="B31" s="224">
        <f t="shared" si="6"/>
        <v>538742</v>
      </c>
      <c r="C31" s="225">
        <v>538742</v>
      </c>
      <c r="D31" s="225"/>
      <c r="E31" s="225">
        <f t="shared" si="9"/>
        <v>538742</v>
      </c>
      <c r="F31" s="225"/>
      <c r="G31" s="225"/>
      <c r="H31" s="225"/>
      <c r="I31" s="225"/>
      <c r="J31" s="225"/>
      <c r="K31" s="225"/>
      <c r="L31" s="225"/>
      <c r="M31" s="225"/>
      <c r="N31" s="225"/>
      <c r="O31" s="225"/>
      <c r="P31" s="225"/>
      <c r="Q31" s="225"/>
      <c r="R31" s="916">
        <f t="shared" si="7"/>
        <v>538742</v>
      </c>
      <c r="S31" s="225">
        <f t="shared" si="8"/>
        <v>538742</v>
      </c>
      <c r="T31" s="225"/>
      <c r="U31" s="221"/>
    </row>
    <row r="32" spans="1:21" s="222" customFormat="1">
      <c r="A32" s="223" t="s">
        <v>145</v>
      </c>
      <c r="B32" s="224">
        <f t="shared" si="6"/>
        <v>875328</v>
      </c>
      <c r="C32" s="225">
        <v>875328</v>
      </c>
      <c r="D32" s="225"/>
      <c r="E32" s="225">
        <f t="shared" si="9"/>
        <v>875328</v>
      </c>
      <c r="F32" s="225"/>
      <c r="G32" s="225"/>
      <c r="H32" s="225"/>
      <c r="I32" s="225"/>
      <c r="J32" s="225"/>
      <c r="K32" s="225"/>
      <c r="L32" s="225"/>
      <c r="M32" s="225"/>
      <c r="N32" s="225"/>
      <c r="O32" s="225"/>
      <c r="P32" s="225"/>
      <c r="Q32" s="225"/>
      <c r="R32" s="916">
        <f t="shared" si="7"/>
        <v>875328</v>
      </c>
      <c r="S32" s="225">
        <f t="shared" si="8"/>
        <v>875328</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613156</v>
      </c>
      <c r="C34" s="225">
        <f>613156</f>
        <v>613156</v>
      </c>
      <c r="D34" s="225"/>
      <c r="E34" s="225">
        <f t="shared" si="9"/>
        <v>613156</v>
      </c>
      <c r="F34" s="225"/>
      <c r="G34" s="225"/>
      <c r="H34" s="225"/>
      <c r="I34" s="225"/>
      <c r="J34" s="225"/>
      <c r="K34" s="225"/>
      <c r="L34" s="225"/>
      <c r="M34" s="225"/>
      <c r="N34" s="225"/>
      <c r="O34" s="225"/>
      <c r="P34" s="225"/>
      <c r="Q34" s="225"/>
      <c r="R34" s="916">
        <f t="shared" si="7"/>
        <v>613156</v>
      </c>
      <c r="S34" s="225">
        <f t="shared" si="8"/>
        <v>613156</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30580563</v>
      </c>
      <c r="C36" s="224">
        <f>SUM(C28:C35)</f>
        <v>30580563</v>
      </c>
      <c r="D36" s="224">
        <f t="shared" ref="D36:Q36" si="10">SUM(D28:D35)</f>
        <v>0</v>
      </c>
      <c r="E36" s="224">
        <f t="shared" si="10"/>
        <v>12023900</v>
      </c>
      <c r="F36" s="224">
        <f t="shared" si="10"/>
        <v>5447135</v>
      </c>
      <c r="G36" s="224">
        <f t="shared" si="10"/>
        <v>1762578</v>
      </c>
      <c r="H36" s="224">
        <f t="shared" si="10"/>
        <v>10828235</v>
      </c>
      <c r="I36" s="224">
        <f t="shared" si="10"/>
        <v>518715</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30580563</v>
      </c>
      <c r="S36" s="228">
        <f>SUM(S28:S35)</f>
        <v>30580563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967722</v>
      </c>
      <c r="C38" s="225">
        <v>967722</v>
      </c>
      <c r="D38" s="225"/>
      <c r="E38" s="225"/>
      <c r="F38" s="225"/>
      <c r="G38" s="225">
        <f>C38</f>
        <v>967722</v>
      </c>
      <c r="H38" s="225"/>
      <c r="I38" s="225"/>
      <c r="J38" s="225"/>
      <c r="K38" s="225"/>
      <c r="L38" s="225"/>
      <c r="M38" s="225"/>
      <c r="N38" s="225"/>
      <c r="O38" s="225"/>
      <c r="P38" s="225"/>
      <c r="Q38" s="225"/>
      <c r="R38" s="916">
        <f>SUM(E38:Q38)</f>
        <v>967722</v>
      </c>
      <c r="S38" s="225">
        <f>C38</f>
        <v>967722</v>
      </c>
      <c r="T38" s="225"/>
      <c r="U38" s="221"/>
    </row>
    <row r="39" spans="1:21" s="222" customFormat="1">
      <c r="A39" s="223" t="s">
        <v>153</v>
      </c>
      <c r="B39" s="224">
        <f>SUM(C39+D39)</f>
        <v>89505</v>
      </c>
      <c r="C39" s="225">
        <v>89505</v>
      </c>
      <c r="D39" s="225"/>
      <c r="E39" s="225"/>
      <c r="F39" s="225"/>
      <c r="G39" s="225">
        <f>C39</f>
        <v>89505</v>
      </c>
      <c r="H39" s="225"/>
      <c r="I39" s="225"/>
      <c r="J39" s="225"/>
      <c r="K39" s="225"/>
      <c r="L39" s="225"/>
      <c r="M39" s="225"/>
      <c r="N39" s="225"/>
      <c r="O39" s="225"/>
      <c r="P39" s="225"/>
      <c r="Q39" s="225"/>
      <c r="R39" s="916">
        <f>SUM(E39:Q39)</f>
        <v>89505</v>
      </c>
      <c r="S39" s="225">
        <f>C39</f>
        <v>89505</v>
      </c>
      <c r="T39" s="225"/>
      <c r="U39" s="221"/>
    </row>
    <row r="40" spans="1:21" s="222" customFormat="1">
      <c r="A40" s="227" t="s">
        <v>154</v>
      </c>
      <c r="B40" s="224">
        <f>SUM(C40:D40)</f>
        <v>1057227</v>
      </c>
      <c r="C40" s="224">
        <f>SUM(C37:C39)</f>
        <v>1057227</v>
      </c>
      <c r="D40" s="224">
        <f>SUM(D37:D39)</f>
        <v>0</v>
      </c>
      <c r="E40" s="224">
        <f t="shared" ref="E40:T40" si="11">SUM(E38:E39)</f>
        <v>0</v>
      </c>
      <c r="F40" s="224">
        <f t="shared" si="11"/>
        <v>0</v>
      </c>
      <c r="G40" s="224">
        <f t="shared" si="11"/>
        <v>1057227</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1057227</v>
      </c>
      <c r="S40" s="228">
        <f t="shared" si="11"/>
        <v>1057227</v>
      </c>
      <c r="T40" s="228">
        <f t="shared" si="11"/>
        <v>0</v>
      </c>
      <c r="U40" s="221"/>
    </row>
    <row r="41" spans="1:21" s="222" customFormat="1">
      <c r="A41" s="227" t="s">
        <v>155</v>
      </c>
      <c r="B41" s="224">
        <f>SUM(C41:D41)</f>
        <v>534757</v>
      </c>
      <c r="C41" s="225">
        <f>531757+3000</f>
        <v>534757</v>
      </c>
      <c r="D41" s="225"/>
      <c r="E41" s="225"/>
      <c r="F41" s="225"/>
      <c r="G41" s="225">
        <f>C41</f>
        <v>534757</v>
      </c>
      <c r="H41" s="225"/>
      <c r="I41" s="225"/>
      <c r="J41" s="225"/>
      <c r="K41" s="225"/>
      <c r="L41" s="225"/>
      <c r="M41" s="225"/>
      <c r="N41" s="225"/>
      <c r="O41" s="225"/>
      <c r="P41" s="225"/>
      <c r="Q41" s="225"/>
      <c r="R41" s="916">
        <f>SUM(E41:Q41)</f>
        <v>534757</v>
      </c>
      <c r="S41" s="225">
        <v>531757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1858399</v>
      </c>
      <c r="C43" s="225">
        <v>1858399</v>
      </c>
      <c r="D43" s="225"/>
      <c r="E43" s="225"/>
      <c r="F43" s="225"/>
      <c r="G43" s="225"/>
      <c r="H43" s="225">
        <v>1858399</v>
      </c>
      <c r="I43" s="225">
        <v>0</v>
      </c>
      <c r="J43" s="225"/>
      <c r="K43" s="225"/>
      <c r="L43" s="225"/>
      <c r="M43" s="225"/>
      <c r="N43" s="225"/>
      <c r="O43" s="225"/>
      <c r="P43" s="225"/>
      <c r="Q43" s="225"/>
      <c r="R43" s="916">
        <f t="shared" ref="R43:R52" si="13">SUM(E43:Q43)</f>
        <v>1858399</v>
      </c>
      <c r="S43" s="225">
        <v>919026</v>
      </c>
      <c r="T43" s="225"/>
      <c r="U43" s="221"/>
    </row>
    <row r="44" spans="1:21" s="222" customFormat="1">
      <c r="A44" s="223" t="s">
        <v>158</v>
      </c>
      <c r="B44" s="224">
        <f t="shared" si="12"/>
        <v>256931</v>
      </c>
      <c r="C44" s="225">
        <v>256931</v>
      </c>
      <c r="D44" s="225"/>
      <c r="E44" s="225"/>
      <c r="F44" s="225"/>
      <c r="G44" s="225">
        <f>C44</f>
        <v>256931</v>
      </c>
      <c r="H44" s="225"/>
      <c r="I44" s="225"/>
      <c r="J44" s="225"/>
      <c r="K44" s="225"/>
      <c r="L44" s="225"/>
      <c r="M44" s="225"/>
      <c r="N44" s="225"/>
      <c r="O44" s="225"/>
      <c r="P44" s="225"/>
      <c r="Q44" s="225"/>
      <c r="R44" s="916">
        <f t="shared" si="13"/>
        <v>256931</v>
      </c>
      <c r="S44" s="225">
        <v>256931</v>
      </c>
      <c r="T44" s="225"/>
      <c r="U44" s="221"/>
    </row>
    <row r="45" spans="1:21" s="222" customFormat="1">
      <c r="A45" s="307" t="s">
        <v>159</v>
      </c>
      <c r="B45" s="224">
        <f t="shared" si="12"/>
        <v>0</v>
      </c>
      <c r="C45" s="225"/>
      <c r="D45" s="225"/>
      <c r="E45" s="225"/>
      <c r="F45" s="225"/>
      <c r="G45" s="225"/>
      <c r="H45" s="225"/>
      <c r="I45" s="225"/>
      <c r="J45" s="225"/>
      <c r="K45" s="225"/>
      <c r="L45" s="225"/>
      <c r="M45" s="225"/>
      <c r="N45" s="225"/>
      <c r="O45" s="225"/>
      <c r="P45" s="225"/>
      <c r="Q45" s="225"/>
      <c r="R45" s="916">
        <f t="shared" si="13"/>
        <v>0</v>
      </c>
      <c r="S45" s="225">
        <f t="shared" ref="S45:S46" si="14">C45</f>
        <v>0</v>
      </c>
      <c r="T45" s="225"/>
      <c r="U45" s="221"/>
    </row>
    <row r="46" spans="1:21" s="222" customFormat="1">
      <c r="A46" s="223" t="s">
        <v>160</v>
      </c>
      <c r="B46" s="224">
        <f t="shared" si="12"/>
        <v>0</v>
      </c>
      <c r="C46" s="225"/>
      <c r="D46" s="225"/>
      <c r="E46" s="225"/>
      <c r="F46" s="225"/>
      <c r="G46" s="225"/>
      <c r="H46" s="225"/>
      <c r="I46" s="225"/>
      <c r="J46" s="225"/>
      <c r="K46" s="225"/>
      <c r="L46" s="225"/>
      <c r="M46" s="225"/>
      <c r="N46" s="225"/>
      <c r="O46" s="225"/>
      <c r="P46" s="225"/>
      <c r="Q46" s="225"/>
      <c r="R46" s="916">
        <f t="shared" si="13"/>
        <v>0</v>
      </c>
      <c r="S46" s="225">
        <f t="shared" si="14"/>
        <v>0</v>
      </c>
      <c r="T46" s="225"/>
      <c r="U46" s="221"/>
    </row>
    <row r="47" spans="1:21" s="222" customFormat="1">
      <c r="A47" s="223" t="s">
        <v>62</v>
      </c>
      <c r="B47" s="224">
        <f t="shared" si="12"/>
        <v>371350</v>
      </c>
      <c r="C47" s="225">
        <f>234000+55000+82350</f>
        <v>371350</v>
      </c>
      <c r="D47" s="225"/>
      <c r="E47" s="225"/>
      <c r="F47" s="225"/>
      <c r="G47" s="225">
        <f>C47</f>
        <v>371350</v>
      </c>
      <c r="H47" s="225"/>
      <c r="I47" s="225"/>
      <c r="J47" s="225"/>
      <c r="K47" s="225"/>
      <c r="L47" s="225"/>
      <c r="M47" s="225"/>
      <c r="N47" s="225"/>
      <c r="O47" s="225"/>
      <c r="P47" s="225"/>
      <c r="Q47" s="225"/>
      <c r="R47" s="916">
        <f t="shared" si="13"/>
        <v>371350</v>
      </c>
      <c r="S47" s="225">
        <v>0</v>
      </c>
      <c r="T47" s="225"/>
      <c r="U47" s="221"/>
    </row>
    <row r="48" spans="1:21" s="222" customFormat="1">
      <c r="A48" s="223" t="s">
        <v>163</v>
      </c>
      <c r="B48" s="224">
        <f t="shared" si="12"/>
        <v>75000</v>
      </c>
      <c r="C48" s="225">
        <v>75000</v>
      </c>
      <c r="D48" s="225"/>
      <c r="E48" s="225"/>
      <c r="F48" s="225"/>
      <c r="G48" s="225">
        <f t="shared" ref="G48:G50" si="15">C48</f>
        <v>75000</v>
      </c>
      <c r="H48" s="225"/>
      <c r="I48" s="225"/>
      <c r="J48" s="225"/>
      <c r="K48" s="225"/>
      <c r="L48" s="225"/>
      <c r="M48" s="225"/>
      <c r="N48" s="225"/>
      <c r="O48" s="225"/>
      <c r="P48" s="225"/>
      <c r="Q48" s="225"/>
      <c r="R48" s="916">
        <f t="shared" si="13"/>
        <v>75000</v>
      </c>
      <c r="S48" s="225">
        <f>C48</f>
        <v>75000</v>
      </c>
      <c r="T48" s="225"/>
      <c r="U48" s="221"/>
    </row>
    <row r="49" spans="1:21" s="222" customFormat="1">
      <c r="A49" s="457" t="s">
        <v>161</v>
      </c>
      <c r="B49" s="224">
        <f t="shared" si="12"/>
        <v>10000</v>
      </c>
      <c r="C49" s="225">
        <v>10000</v>
      </c>
      <c r="D49" s="225"/>
      <c r="E49" s="225"/>
      <c r="F49" s="225"/>
      <c r="G49" s="225">
        <f t="shared" si="15"/>
        <v>10000</v>
      </c>
      <c r="H49" s="225"/>
      <c r="I49" s="225"/>
      <c r="J49" s="225"/>
      <c r="K49" s="225"/>
      <c r="L49" s="225"/>
      <c r="M49" s="225"/>
      <c r="N49" s="225"/>
      <c r="O49" s="225"/>
      <c r="P49" s="225"/>
      <c r="Q49" s="225"/>
      <c r="R49" s="916">
        <f t="shared" si="13"/>
        <v>10000</v>
      </c>
      <c r="S49" s="225">
        <f>C49</f>
        <v>10000</v>
      </c>
      <c r="T49" s="225"/>
      <c r="U49" s="221"/>
    </row>
    <row r="50" spans="1:21" s="222" customFormat="1">
      <c r="A50" s="223" t="s">
        <v>162</v>
      </c>
      <c r="B50" s="224">
        <f t="shared" si="12"/>
        <v>350000</v>
      </c>
      <c r="C50" s="225">
        <v>350000</v>
      </c>
      <c r="D50" s="225"/>
      <c r="E50" s="225"/>
      <c r="F50" s="225"/>
      <c r="G50" s="225">
        <f t="shared" si="15"/>
        <v>350000</v>
      </c>
      <c r="H50" s="225"/>
      <c r="I50" s="225"/>
      <c r="J50" s="225"/>
      <c r="K50" s="225"/>
      <c r="L50" s="225"/>
      <c r="M50" s="225"/>
      <c r="N50" s="225"/>
      <c r="O50" s="225"/>
      <c r="P50" s="225"/>
      <c r="Q50" s="225"/>
      <c r="R50" s="916">
        <f t="shared" si="13"/>
        <v>350000</v>
      </c>
      <c r="S50" s="225">
        <v>262500</v>
      </c>
      <c r="T50" s="225"/>
      <c r="U50" s="221"/>
    </row>
    <row r="51" spans="1:21" s="222" customFormat="1">
      <c r="A51" s="230" t="s">
        <v>37</v>
      </c>
      <c r="B51" s="224">
        <f t="shared" si="12"/>
        <v>0</v>
      </c>
      <c r="C51" s="22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2921680</v>
      </c>
      <c r="C53" s="228">
        <f t="shared" ref="C53:T53" si="16">SUM(C43:C52)</f>
        <v>2921680</v>
      </c>
      <c r="D53" s="228">
        <f t="shared" si="16"/>
        <v>0</v>
      </c>
      <c r="E53" s="228">
        <f t="shared" si="16"/>
        <v>0</v>
      </c>
      <c r="F53" s="228">
        <f t="shared" si="16"/>
        <v>0</v>
      </c>
      <c r="G53" s="228">
        <f t="shared" si="16"/>
        <v>1063281</v>
      </c>
      <c r="H53" s="228">
        <f t="shared" si="16"/>
        <v>1858399</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2921680</v>
      </c>
      <c r="S53" s="228">
        <f t="shared" si="16"/>
        <v>1523457</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77724</v>
      </c>
      <c r="C55" s="955">
        <v>77724</v>
      </c>
      <c r="D55" s="225"/>
      <c r="E55" s="225"/>
      <c r="F55" s="225"/>
      <c r="G55" s="225"/>
      <c r="H55" s="225">
        <v>77724</v>
      </c>
      <c r="I55" s="225"/>
      <c r="J55" s="225"/>
      <c r="K55" s="225"/>
      <c r="L55" s="225"/>
      <c r="M55" s="225"/>
      <c r="N55" s="225"/>
      <c r="O55" s="225"/>
      <c r="P55" s="225"/>
      <c r="Q55" s="225"/>
      <c r="R55" s="916">
        <f t="shared" ref="R55:R61" si="18">SUM(E55:Q55)</f>
        <v>77724</v>
      </c>
      <c r="S55" s="226"/>
      <c r="T55" s="226"/>
      <c r="U55" s="221"/>
    </row>
    <row r="56" spans="1:21" s="313" customFormat="1">
      <c r="A56" s="307" t="s">
        <v>159</v>
      </c>
      <c r="B56" s="314">
        <f t="shared" si="17"/>
        <v>0</v>
      </c>
      <c r="C56" s="956"/>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32000</v>
      </c>
      <c r="C57" s="955">
        <v>32000</v>
      </c>
      <c r="D57" s="225"/>
      <c r="E57" s="225"/>
      <c r="F57" s="225"/>
      <c r="G57" s="225"/>
      <c r="H57" s="225">
        <v>32000</v>
      </c>
      <c r="I57" s="225"/>
      <c r="J57" s="225"/>
      <c r="K57" s="225"/>
      <c r="L57" s="225"/>
      <c r="M57" s="225"/>
      <c r="N57" s="225"/>
      <c r="O57" s="225"/>
      <c r="P57" s="225"/>
      <c r="Q57" s="225"/>
      <c r="R57" s="916">
        <f t="shared" si="18"/>
        <v>32000</v>
      </c>
      <c r="S57" s="226"/>
      <c r="T57" s="226"/>
      <c r="U57" s="221"/>
    </row>
    <row r="58" spans="1:21" s="222" customFormat="1">
      <c r="A58" s="457" t="s">
        <v>161</v>
      </c>
      <c r="B58" s="224">
        <f t="shared" si="17"/>
        <v>0</v>
      </c>
      <c r="C58" s="95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95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1783</v>
      </c>
      <c r="B60" s="224">
        <f t="shared" si="17"/>
        <v>35000</v>
      </c>
      <c r="C60" s="955">
        <v>35000</v>
      </c>
      <c r="D60" s="225"/>
      <c r="E60" s="225"/>
      <c r="F60" s="225"/>
      <c r="G60" s="225"/>
      <c r="H60" s="225">
        <v>35000</v>
      </c>
      <c r="I60" s="225"/>
      <c r="J60" s="225"/>
      <c r="K60" s="225"/>
      <c r="L60" s="225"/>
      <c r="M60" s="225"/>
      <c r="N60" s="225"/>
      <c r="O60" s="225"/>
      <c r="P60" s="225"/>
      <c r="Q60" s="225"/>
      <c r="R60" s="916">
        <f t="shared" si="18"/>
        <v>35000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144724</v>
      </c>
      <c r="C62" s="224">
        <f t="shared" ref="C62:Q62" si="19">SUM(C55:C61)</f>
        <v>144724</v>
      </c>
      <c r="D62" s="224">
        <f t="shared" si="19"/>
        <v>0</v>
      </c>
      <c r="E62" s="224">
        <f t="shared" si="19"/>
        <v>0</v>
      </c>
      <c r="F62" s="224">
        <f t="shared" si="19"/>
        <v>0</v>
      </c>
      <c r="G62" s="224">
        <f t="shared" si="19"/>
        <v>0</v>
      </c>
      <c r="H62" s="224">
        <f t="shared" si="19"/>
        <v>144724</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144724</v>
      </c>
      <c r="S62" s="226"/>
      <c r="T62" s="226"/>
      <c r="U62" s="221"/>
    </row>
    <row r="63" spans="1:21" s="222" customFormat="1">
      <c r="A63" s="233" t="s">
        <v>321</v>
      </c>
      <c r="B63" s="224">
        <f>SUM(B8+B11+B13+B14+B15+B25+B26+B36+B40+B41+B53+B62)</f>
        <v>36082913</v>
      </c>
      <c r="C63" s="224">
        <f t="shared" ref="C63:Q63" si="20">SUM(C8+C11+C13+C14+C15+C25+C26+C36+C40+C41+C53+C62)</f>
        <v>36082913</v>
      </c>
      <c r="D63" s="224">
        <f t="shared" si="20"/>
        <v>0</v>
      </c>
      <c r="E63" s="224">
        <f t="shared" si="20"/>
        <v>12049000</v>
      </c>
      <c r="F63" s="224">
        <f t="shared" si="20"/>
        <v>5447135</v>
      </c>
      <c r="G63" s="224">
        <f t="shared" si="20"/>
        <v>4963170</v>
      </c>
      <c r="H63" s="224">
        <f t="shared" si="20"/>
        <v>12831358</v>
      </c>
      <c r="I63" s="224">
        <f t="shared" si="20"/>
        <v>792250</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36082913</v>
      </c>
      <c r="S63" s="224">
        <f>SUM(S10+S13+S14+S15+S25+S26+S36+S40+S41+S53)</f>
        <v>34008682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40000</v>
      </c>
      <c r="C65" s="955">
        <f>40000</f>
        <v>40000</v>
      </c>
      <c r="D65" s="225"/>
      <c r="E65" s="225"/>
      <c r="F65" s="225"/>
      <c r="G65" s="225">
        <f>C65</f>
        <v>40000</v>
      </c>
      <c r="H65" s="225"/>
      <c r="I65" s="225"/>
      <c r="J65" s="225"/>
      <c r="K65" s="225"/>
      <c r="L65" s="225"/>
      <c r="M65" s="225"/>
      <c r="N65" s="225"/>
      <c r="O65" s="225"/>
      <c r="P65" s="225"/>
      <c r="Q65" s="225"/>
      <c r="R65" s="916">
        <f>SUM(E65:Q65)</f>
        <v>40000</v>
      </c>
      <c r="S65" s="225">
        <f>C65</f>
        <v>40000</v>
      </c>
      <c r="T65" s="225"/>
      <c r="U65" s="221"/>
    </row>
    <row r="66" spans="1:21" s="222" customFormat="1">
      <c r="A66" s="957" t="s">
        <v>1782</v>
      </c>
      <c r="B66" s="224">
        <f>SUM(C66+D66)</f>
        <v>57000</v>
      </c>
      <c r="C66" s="955">
        <f>47000+10000</f>
        <v>57000</v>
      </c>
      <c r="D66" s="225"/>
      <c r="E66" s="225"/>
      <c r="F66" s="225"/>
      <c r="G66" s="225">
        <f>C66</f>
        <v>57000</v>
      </c>
      <c r="H66" s="225"/>
      <c r="I66" s="225"/>
      <c r="J66" s="225"/>
      <c r="K66" s="225"/>
      <c r="L66" s="225"/>
      <c r="M66" s="225"/>
      <c r="N66" s="225"/>
      <c r="O66" s="225"/>
      <c r="P66" s="225"/>
      <c r="Q66" s="225"/>
      <c r="R66" s="916">
        <f>SUM(E66:Q66)</f>
        <v>57000</v>
      </c>
      <c r="S66" s="225">
        <v>47000</v>
      </c>
      <c r="T66" s="225"/>
      <c r="U66" s="221"/>
    </row>
    <row r="67" spans="1:21" s="222" customFormat="1">
      <c r="A67" s="227" t="s">
        <v>651</v>
      </c>
      <c r="B67" s="224">
        <f>SUM(C67:D67)</f>
        <v>97000</v>
      </c>
      <c r="C67" s="224">
        <f>SUM(C64:C66)</f>
        <v>97000</v>
      </c>
      <c r="D67" s="224">
        <f>SUM(D64:D66)</f>
        <v>0</v>
      </c>
      <c r="E67" s="224">
        <f t="shared" ref="E67:T67" si="21">SUM(E65:E66)</f>
        <v>0</v>
      </c>
      <c r="F67" s="224">
        <f t="shared" si="21"/>
        <v>0</v>
      </c>
      <c r="G67" s="224">
        <f t="shared" si="21"/>
        <v>97000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97000</v>
      </c>
      <c r="S67" s="228">
        <f>SUM(S65:S66)</f>
        <v>87000</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200000</v>
      </c>
      <c r="C69" s="955">
        <v>200000</v>
      </c>
      <c r="D69" s="225"/>
      <c r="E69" s="225">
        <f>C69</f>
        <v>200000</v>
      </c>
      <c r="F69" s="225"/>
      <c r="G69" s="225"/>
      <c r="H69" s="225"/>
      <c r="I69" s="225"/>
      <c r="J69" s="225"/>
      <c r="K69" s="225"/>
      <c r="L69" s="225"/>
      <c r="M69" s="225"/>
      <c r="N69" s="225"/>
      <c r="O69" s="225"/>
      <c r="P69" s="225"/>
      <c r="Q69" s="225"/>
      <c r="R69" s="916">
        <f>SUM(E69:Q69)</f>
        <v>200000</v>
      </c>
      <c r="S69" s="226"/>
      <c r="T69" s="226"/>
      <c r="U69" s="221"/>
    </row>
    <row r="70" spans="1:21" s="222" customFormat="1">
      <c r="A70" s="223" t="s">
        <v>654</v>
      </c>
      <c r="B70" s="224">
        <f>SUM(C70+D70)</f>
        <v>0</v>
      </c>
      <c r="C70" s="955"/>
      <c r="D70" s="225"/>
      <c r="E70" s="225">
        <f t="shared" ref="E70:E73" si="22">C70</f>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955"/>
      <c r="D71" s="225"/>
      <c r="E71" s="225">
        <f t="shared" si="22"/>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591720</v>
      </c>
      <c r="C72" s="955">
        <v>591720</v>
      </c>
      <c r="D72" s="225"/>
      <c r="E72" s="225">
        <f t="shared" si="22"/>
        <v>591720</v>
      </c>
      <c r="F72" s="225"/>
      <c r="G72" s="225"/>
      <c r="H72" s="225"/>
      <c r="I72" s="225"/>
      <c r="J72" s="225"/>
      <c r="K72" s="225"/>
      <c r="L72" s="225"/>
      <c r="M72" s="225"/>
      <c r="N72" s="225"/>
      <c r="O72" s="225"/>
      <c r="P72" s="225"/>
      <c r="Q72" s="225"/>
      <c r="R72" s="916">
        <f>SUM(E72:Q72)</f>
        <v>591720</v>
      </c>
      <c r="S72" s="226"/>
      <c r="T72" s="226"/>
      <c r="U72" s="221"/>
    </row>
    <row r="73" spans="1:21" s="222" customFormat="1">
      <c r="A73" s="957" t="s">
        <v>1781</v>
      </c>
      <c r="B73" s="224">
        <f>SUM(C73+D73)</f>
        <v>40000</v>
      </c>
      <c r="C73" s="955">
        <v>40000</v>
      </c>
      <c r="D73" s="964"/>
      <c r="E73" s="225">
        <f t="shared" si="22"/>
        <v>40000</v>
      </c>
      <c r="F73" s="225"/>
      <c r="G73" s="225"/>
      <c r="H73" s="225"/>
      <c r="I73" s="225"/>
      <c r="J73" s="225"/>
      <c r="K73" s="225"/>
      <c r="L73" s="225"/>
      <c r="M73" s="225"/>
      <c r="N73" s="225"/>
      <c r="O73" s="225"/>
      <c r="P73" s="225"/>
      <c r="Q73" s="225"/>
      <c r="R73" s="916">
        <f>SUM(E73:Q73)</f>
        <v>40000</v>
      </c>
      <c r="S73" s="226"/>
      <c r="T73" s="226"/>
      <c r="U73" s="221"/>
    </row>
    <row r="74" spans="1:21" s="222" customFormat="1">
      <c r="A74" s="227" t="s">
        <v>656</v>
      </c>
      <c r="B74" s="224">
        <f>SUM(C74:D74)</f>
        <v>831720</v>
      </c>
      <c r="C74" s="224">
        <f>SUM(C69:C73)</f>
        <v>831720</v>
      </c>
      <c r="D74" s="224">
        <f>SUM(D69:D73)</f>
        <v>0</v>
      </c>
      <c r="E74" s="224">
        <f t="shared" ref="E74:Q74" si="23">SUM(E69:E73)</f>
        <v>831720</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831720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3111839</v>
      </c>
      <c r="C76" s="955">
        <v>3111839</v>
      </c>
      <c r="D76" s="225"/>
      <c r="E76" s="225"/>
      <c r="F76" s="225"/>
      <c r="G76" s="225"/>
      <c r="H76" s="225">
        <v>3111839</v>
      </c>
      <c r="I76" s="225">
        <v>0</v>
      </c>
      <c r="J76" s="225"/>
      <c r="K76" s="225"/>
      <c r="L76" s="225"/>
      <c r="M76" s="225"/>
      <c r="N76" s="225"/>
      <c r="O76" s="225"/>
      <c r="P76" s="225"/>
      <c r="Q76" s="225"/>
      <c r="R76" s="916">
        <f>SUM(E76:Q76)</f>
        <v>3111839</v>
      </c>
      <c r="S76" s="225">
        <f>C76</f>
        <v>3111839</v>
      </c>
      <c r="T76" s="225"/>
      <c r="U76" s="221"/>
    </row>
    <row r="77" spans="1:21" s="222" customFormat="1">
      <c r="A77" s="457" t="s">
        <v>63</v>
      </c>
      <c r="B77" s="224">
        <f>SUM(C77:D77)</f>
        <v>285000</v>
      </c>
      <c r="C77" s="955">
        <v>285000</v>
      </c>
      <c r="D77" s="225"/>
      <c r="E77" s="225"/>
      <c r="F77" s="225"/>
      <c r="G77" s="225">
        <f>C77</f>
        <v>285000</v>
      </c>
      <c r="H77" s="225"/>
      <c r="I77" s="225"/>
      <c r="J77" s="225">
        <v>0</v>
      </c>
      <c r="K77" s="225"/>
      <c r="L77" s="225"/>
      <c r="M77" s="225"/>
      <c r="N77" s="225"/>
      <c r="O77" s="225"/>
      <c r="P77" s="225"/>
      <c r="Q77" s="225"/>
      <c r="R77" s="916">
        <f>SUM(E77:Q77)</f>
        <v>285000</v>
      </c>
      <c r="S77" s="225">
        <f>C77</f>
        <v>285000</v>
      </c>
      <c r="T77" s="225"/>
      <c r="U77" s="221"/>
    </row>
    <row r="78" spans="1:21" s="222" customFormat="1">
      <c r="A78" s="227" t="s">
        <v>1466</v>
      </c>
      <c r="B78" s="224">
        <f>SUM(C78:D78)</f>
        <v>3396839</v>
      </c>
      <c r="C78" s="890">
        <f>SUM(C76:C77)</f>
        <v>3396839</v>
      </c>
      <c r="D78" s="890">
        <f t="shared" ref="D78:T78" si="24">SUM(D76:D77)</f>
        <v>0</v>
      </c>
      <c r="E78" s="890">
        <f t="shared" si="24"/>
        <v>0</v>
      </c>
      <c r="F78" s="890">
        <f t="shared" si="24"/>
        <v>0</v>
      </c>
      <c r="G78" s="890">
        <f t="shared" si="24"/>
        <v>285000</v>
      </c>
      <c r="H78" s="890">
        <f t="shared" si="24"/>
        <v>3111839</v>
      </c>
      <c r="I78" s="890">
        <f t="shared" si="24"/>
        <v>0</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3396839</v>
      </c>
      <c r="S78" s="890">
        <f t="shared" si="24"/>
        <v>3396839</v>
      </c>
      <c r="T78" s="890">
        <f t="shared" si="24"/>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5">SUM(C80+D80)</f>
        <v>39561</v>
      </c>
      <c r="C80" s="955">
        <v>39561</v>
      </c>
      <c r="D80" s="225"/>
      <c r="E80" s="225"/>
      <c r="F80" s="225"/>
      <c r="G80" s="225">
        <f>C80</f>
        <v>39561</v>
      </c>
      <c r="H80" s="225"/>
      <c r="I80" s="225"/>
      <c r="J80" s="225"/>
      <c r="K80" s="225"/>
      <c r="L80" s="225"/>
      <c r="M80" s="225"/>
      <c r="N80" s="225"/>
      <c r="O80" s="225"/>
      <c r="P80" s="225"/>
      <c r="Q80" s="225"/>
      <c r="R80" s="916">
        <f t="shared" ref="R80:R94" si="26">SUM(E80:Q80)</f>
        <v>39561</v>
      </c>
      <c r="S80" s="226"/>
      <c r="T80" s="226"/>
      <c r="U80" s="221"/>
    </row>
    <row r="81" spans="1:21" s="222" customFormat="1">
      <c r="A81" s="223" t="s">
        <v>845</v>
      </c>
      <c r="B81" s="224">
        <f t="shared" si="25"/>
        <v>202605</v>
      </c>
      <c r="C81" s="955">
        <v>202605</v>
      </c>
      <c r="D81" s="225"/>
      <c r="E81" s="225"/>
      <c r="F81" s="225"/>
      <c r="G81" s="225">
        <f t="shared" ref="G81:G83" si="27">C81</f>
        <v>202605</v>
      </c>
      <c r="H81" s="225"/>
      <c r="I81" s="225"/>
      <c r="J81" s="225"/>
      <c r="K81" s="225"/>
      <c r="L81" s="225"/>
      <c r="M81" s="225"/>
      <c r="N81" s="225"/>
      <c r="O81" s="225"/>
      <c r="P81" s="225"/>
      <c r="Q81" s="225"/>
      <c r="R81" s="916">
        <f t="shared" si="26"/>
        <v>202605</v>
      </c>
      <c r="S81" s="225">
        <f>C81</f>
        <v>202605</v>
      </c>
      <c r="T81" s="225"/>
      <c r="U81" s="221"/>
    </row>
    <row r="82" spans="1:21" s="222" customFormat="1">
      <c r="A82" s="223" t="s">
        <v>846</v>
      </c>
      <c r="B82" s="224">
        <f t="shared" si="25"/>
        <v>584430</v>
      </c>
      <c r="C82" s="955">
        <v>584430</v>
      </c>
      <c r="D82" s="225"/>
      <c r="E82" s="225"/>
      <c r="F82" s="225"/>
      <c r="G82" s="225">
        <f t="shared" si="27"/>
        <v>584430</v>
      </c>
      <c r="H82" s="225"/>
      <c r="I82" s="225"/>
      <c r="J82" s="225"/>
      <c r="K82" s="225"/>
      <c r="L82" s="225"/>
      <c r="M82" s="225"/>
      <c r="N82" s="225"/>
      <c r="O82" s="225"/>
      <c r="P82" s="225"/>
      <c r="Q82" s="225"/>
      <c r="R82" s="916">
        <f t="shared" si="26"/>
        <v>584430</v>
      </c>
      <c r="S82" s="225">
        <f t="shared" ref="S82:S83" si="28">C82</f>
        <v>584430</v>
      </c>
      <c r="T82" s="225"/>
      <c r="U82" s="221"/>
    </row>
    <row r="83" spans="1:21" s="222" customFormat="1">
      <c r="A83" s="223" t="s">
        <v>847</v>
      </c>
      <c r="B83" s="224">
        <f t="shared" si="25"/>
        <v>163618</v>
      </c>
      <c r="C83" s="955">
        <v>163618</v>
      </c>
      <c r="D83" s="225"/>
      <c r="E83" s="225"/>
      <c r="F83" s="225"/>
      <c r="G83" s="225">
        <f t="shared" si="27"/>
        <v>163618</v>
      </c>
      <c r="H83" s="225"/>
      <c r="I83" s="225"/>
      <c r="J83" s="225"/>
      <c r="K83" s="225"/>
      <c r="L83" s="225"/>
      <c r="M83" s="225"/>
      <c r="N83" s="225"/>
      <c r="O83" s="225"/>
      <c r="P83" s="225"/>
      <c r="Q83" s="225"/>
      <c r="R83" s="916">
        <f t="shared" si="26"/>
        <v>163618</v>
      </c>
      <c r="S83" s="225">
        <f t="shared" si="28"/>
        <v>163618</v>
      </c>
      <c r="T83" s="225"/>
      <c r="U83" s="221"/>
    </row>
    <row r="84" spans="1:21" s="222" customFormat="1">
      <c r="A84" s="223" t="s">
        <v>848</v>
      </c>
      <c r="B84" s="224">
        <f t="shared" si="25"/>
        <v>0</v>
      </c>
      <c r="C84" s="955"/>
      <c r="D84" s="225"/>
      <c r="E84" s="225"/>
      <c r="F84" s="225"/>
      <c r="G84" s="225"/>
      <c r="H84" s="225"/>
      <c r="I84" s="225"/>
      <c r="J84" s="225"/>
      <c r="K84" s="225"/>
      <c r="L84" s="225"/>
      <c r="M84" s="225"/>
      <c r="N84" s="225"/>
      <c r="O84" s="225"/>
      <c r="P84" s="225"/>
      <c r="Q84" s="225"/>
      <c r="R84" s="916">
        <f t="shared" si="26"/>
        <v>0</v>
      </c>
      <c r="S84" s="225"/>
      <c r="T84" s="225"/>
      <c r="U84" s="221"/>
    </row>
    <row r="85" spans="1:21" s="222" customFormat="1">
      <c r="A85" s="223" t="s">
        <v>849</v>
      </c>
      <c r="B85" s="224">
        <f t="shared" si="25"/>
        <v>10000</v>
      </c>
      <c r="C85" s="955">
        <v>10000</v>
      </c>
      <c r="D85" s="225"/>
      <c r="E85" s="225">
        <v>9900</v>
      </c>
      <c r="F85" s="225"/>
      <c r="G85" s="225"/>
      <c r="H85" s="225"/>
      <c r="I85" s="225"/>
      <c r="J85" s="225"/>
      <c r="K85" s="225">
        <v>100</v>
      </c>
      <c r="L85" s="225"/>
      <c r="M85" s="225"/>
      <c r="N85" s="225"/>
      <c r="O85" s="225"/>
      <c r="P85" s="225"/>
      <c r="Q85" s="225"/>
      <c r="R85" s="916">
        <f t="shared" si="26"/>
        <v>10000</v>
      </c>
      <c r="S85" s="226"/>
      <c r="T85" s="226"/>
      <c r="U85" s="221"/>
    </row>
    <row r="86" spans="1:21" s="222" customFormat="1">
      <c r="A86" s="223" t="s">
        <v>850</v>
      </c>
      <c r="B86" s="224">
        <f t="shared" si="25"/>
        <v>207750</v>
      </c>
      <c r="C86" s="955">
        <v>207750</v>
      </c>
      <c r="D86" s="225"/>
      <c r="E86" s="225"/>
      <c r="F86" s="225"/>
      <c r="G86" s="225"/>
      <c r="H86" s="225">
        <v>0</v>
      </c>
      <c r="I86" s="225">
        <v>207750</v>
      </c>
      <c r="J86" s="225">
        <v>0</v>
      </c>
      <c r="K86" s="225"/>
      <c r="L86" s="225"/>
      <c r="M86" s="225"/>
      <c r="N86" s="225"/>
      <c r="O86" s="225"/>
      <c r="P86" s="225"/>
      <c r="Q86" s="225"/>
      <c r="R86" s="916">
        <f t="shared" si="26"/>
        <v>207750</v>
      </c>
      <c r="S86" s="225">
        <f>C86</f>
        <v>207750</v>
      </c>
      <c r="T86" s="225"/>
      <c r="U86" s="221"/>
    </row>
    <row r="87" spans="1:21" s="222" customFormat="1">
      <c r="A87" s="223" t="s">
        <v>851</v>
      </c>
      <c r="B87" s="224">
        <f t="shared" si="25"/>
        <v>5500</v>
      </c>
      <c r="C87" s="955">
        <v>5500</v>
      </c>
      <c r="D87" s="225"/>
      <c r="E87" s="225"/>
      <c r="F87" s="225"/>
      <c r="G87" s="225">
        <f>C87</f>
        <v>5500</v>
      </c>
      <c r="H87" s="225"/>
      <c r="I87" s="225"/>
      <c r="J87" s="225"/>
      <c r="K87" s="225"/>
      <c r="L87" s="225"/>
      <c r="M87" s="225"/>
      <c r="N87" s="225"/>
      <c r="O87" s="225"/>
      <c r="P87" s="225"/>
      <c r="Q87" s="225"/>
      <c r="R87" s="916">
        <f t="shared" si="26"/>
        <v>5500</v>
      </c>
      <c r="S87" s="225"/>
      <c r="T87" s="225"/>
      <c r="U87" s="221"/>
    </row>
    <row r="88" spans="1:21" s="222" customFormat="1">
      <c r="A88" s="234" t="s">
        <v>404</v>
      </c>
      <c r="B88" s="224">
        <f t="shared" si="25"/>
        <v>34000</v>
      </c>
      <c r="C88" s="955">
        <v>34000</v>
      </c>
      <c r="D88" s="225"/>
      <c r="E88" s="225"/>
      <c r="F88" s="225"/>
      <c r="G88" s="225">
        <f t="shared" ref="G88:G92" si="29">C88</f>
        <v>34000</v>
      </c>
      <c r="H88" s="225"/>
      <c r="I88" s="225"/>
      <c r="J88" s="225"/>
      <c r="K88" s="225"/>
      <c r="L88" s="225"/>
      <c r="M88" s="225"/>
      <c r="N88" s="225"/>
      <c r="O88" s="225"/>
      <c r="P88" s="225"/>
      <c r="Q88" s="225"/>
      <c r="R88" s="916">
        <f t="shared" si="26"/>
        <v>34000</v>
      </c>
      <c r="S88" s="225">
        <v>8500</v>
      </c>
      <c r="T88" s="225"/>
      <c r="U88" s="221"/>
    </row>
    <row r="89" spans="1:21" s="222" customFormat="1">
      <c r="A89" s="889" t="s">
        <v>1468</v>
      </c>
      <c r="B89" s="224">
        <f t="shared" si="25"/>
        <v>5000</v>
      </c>
      <c r="C89" s="955">
        <v>5000</v>
      </c>
      <c r="D89" s="225"/>
      <c r="E89" s="225"/>
      <c r="F89" s="225"/>
      <c r="G89" s="225">
        <f t="shared" si="29"/>
        <v>5000</v>
      </c>
      <c r="H89" s="225"/>
      <c r="I89" s="225"/>
      <c r="J89" s="225"/>
      <c r="K89" s="225"/>
      <c r="L89" s="225"/>
      <c r="M89" s="225"/>
      <c r="N89" s="225"/>
      <c r="O89" s="225"/>
      <c r="P89" s="225"/>
      <c r="Q89" s="225"/>
      <c r="R89" s="916">
        <f t="shared" si="26"/>
        <v>5000</v>
      </c>
      <c r="S89" s="225">
        <v>5000</v>
      </c>
      <c r="T89" s="225"/>
      <c r="U89" s="221"/>
    </row>
    <row r="90" spans="1:21" s="222" customFormat="1">
      <c r="A90" s="957" t="s">
        <v>1777</v>
      </c>
      <c r="B90" s="224">
        <f t="shared" si="25"/>
        <v>230000</v>
      </c>
      <c r="C90" s="955">
        <f>60000+170000</f>
        <v>230000</v>
      </c>
      <c r="D90" s="225"/>
      <c r="E90" s="225"/>
      <c r="F90" s="225"/>
      <c r="G90" s="225">
        <f t="shared" si="29"/>
        <v>230000</v>
      </c>
      <c r="H90" s="225"/>
      <c r="I90" s="225"/>
      <c r="J90" s="225"/>
      <c r="K90" s="225"/>
      <c r="L90" s="225"/>
      <c r="M90" s="225"/>
      <c r="N90" s="225"/>
      <c r="O90" s="225"/>
      <c r="P90" s="225"/>
      <c r="Q90" s="225"/>
      <c r="R90" s="916">
        <f t="shared" si="26"/>
        <v>230000</v>
      </c>
      <c r="S90" s="225">
        <f>C90</f>
        <v>230000</v>
      </c>
      <c r="T90" s="225"/>
      <c r="U90" s="221"/>
    </row>
    <row r="91" spans="1:21" s="222" customFormat="1" ht="24">
      <c r="A91" s="957" t="s">
        <v>1778</v>
      </c>
      <c r="B91" s="224">
        <f t="shared" si="25"/>
        <v>319366</v>
      </c>
      <c r="C91" s="955">
        <f>30787+50000+197279+41300</f>
        <v>319366</v>
      </c>
      <c r="D91" s="225"/>
      <c r="E91" s="225"/>
      <c r="F91" s="225"/>
      <c r="G91" s="225">
        <f t="shared" si="29"/>
        <v>319366</v>
      </c>
      <c r="H91" s="225"/>
      <c r="I91" s="225"/>
      <c r="J91" s="225"/>
      <c r="K91" s="225"/>
      <c r="L91" s="225"/>
      <c r="M91" s="225"/>
      <c r="N91" s="225"/>
      <c r="O91" s="225"/>
      <c r="P91" s="225"/>
      <c r="Q91" s="225"/>
      <c r="R91" s="916">
        <f t="shared" si="26"/>
        <v>319366</v>
      </c>
      <c r="S91" s="225">
        <f>C91</f>
        <v>319366</v>
      </c>
      <c r="T91" s="225"/>
      <c r="U91" s="221"/>
    </row>
    <row r="92" spans="1:21" s="222" customFormat="1">
      <c r="A92" s="957" t="s">
        <v>1795</v>
      </c>
      <c r="B92" s="224">
        <f t="shared" si="25"/>
        <v>50000</v>
      </c>
      <c r="C92" s="955">
        <v>50000</v>
      </c>
      <c r="D92" s="964"/>
      <c r="E92" s="225"/>
      <c r="F92" s="225"/>
      <c r="G92" s="225">
        <f t="shared" si="29"/>
        <v>50000</v>
      </c>
      <c r="H92" s="225"/>
      <c r="I92" s="225"/>
      <c r="J92" s="225"/>
      <c r="K92" s="225"/>
      <c r="L92" s="225"/>
      <c r="M92" s="225"/>
      <c r="N92" s="225"/>
      <c r="O92" s="225"/>
      <c r="P92" s="225"/>
      <c r="Q92" s="225"/>
      <c r="R92" s="916">
        <f t="shared" si="26"/>
        <v>50000</v>
      </c>
      <c r="S92" s="225">
        <f>C92</f>
        <v>50000</v>
      </c>
      <c r="T92" s="225"/>
      <c r="U92" s="221"/>
    </row>
    <row r="93" spans="1:21" s="222" customFormat="1">
      <c r="A93" s="957" t="s">
        <v>1779</v>
      </c>
      <c r="B93" s="224">
        <f t="shared" si="25"/>
        <v>7150</v>
      </c>
      <c r="C93" s="955">
        <v>7150</v>
      </c>
      <c r="D93" s="225"/>
      <c r="E93" s="225">
        <f>C93</f>
        <v>7150</v>
      </c>
      <c r="F93" s="225"/>
      <c r="G93" s="225"/>
      <c r="H93" s="225"/>
      <c r="I93" s="225"/>
      <c r="J93" s="225"/>
      <c r="K93" s="225"/>
      <c r="L93" s="225"/>
      <c r="M93" s="225"/>
      <c r="N93" s="225"/>
      <c r="O93" s="225"/>
      <c r="P93" s="225"/>
      <c r="Q93" s="225"/>
      <c r="R93" s="916">
        <f t="shared" si="26"/>
        <v>7150</v>
      </c>
      <c r="S93" s="225">
        <v>0</v>
      </c>
      <c r="T93" s="225"/>
      <c r="U93" s="221"/>
    </row>
    <row r="94" spans="1:21" s="222" customFormat="1">
      <c r="A94" s="957" t="s">
        <v>1780</v>
      </c>
      <c r="B94" s="224">
        <f t="shared" si="25"/>
        <v>20750</v>
      </c>
      <c r="C94" s="955">
        <f>750+20000</f>
        <v>20750</v>
      </c>
      <c r="D94" s="225"/>
      <c r="E94" s="225"/>
      <c r="F94" s="225"/>
      <c r="G94" s="225">
        <f>C94</f>
        <v>20750</v>
      </c>
      <c r="H94" s="225"/>
      <c r="I94" s="225"/>
      <c r="J94" s="225"/>
      <c r="K94" s="225"/>
      <c r="L94" s="225"/>
      <c r="M94" s="225"/>
      <c r="N94" s="225"/>
      <c r="O94" s="225"/>
      <c r="P94" s="225"/>
      <c r="Q94" s="225"/>
      <c r="R94" s="916">
        <f t="shared" si="26"/>
        <v>20750</v>
      </c>
      <c r="S94" s="225">
        <f>C94</f>
        <v>20750</v>
      </c>
      <c r="T94" s="225"/>
      <c r="U94" s="221"/>
    </row>
    <row r="95" spans="1:21" s="222" customFormat="1">
      <c r="A95" s="227" t="s">
        <v>852</v>
      </c>
      <c r="B95" s="224">
        <f>SUM(C95:D95)</f>
        <v>1879730</v>
      </c>
      <c r="C95" s="224">
        <f t="shared" ref="C95:Q95" si="30">SUM(C80:C94)</f>
        <v>1879730</v>
      </c>
      <c r="D95" s="224">
        <f t="shared" si="30"/>
        <v>0</v>
      </c>
      <c r="E95" s="224">
        <f t="shared" si="30"/>
        <v>17050</v>
      </c>
      <c r="F95" s="224">
        <f t="shared" si="30"/>
        <v>0</v>
      </c>
      <c r="G95" s="224">
        <f t="shared" si="30"/>
        <v>1654830</v>
      </c>
      <c r="H95" s="224">
        <f t="shared" si="30"/>
        <v>0</v>
      </c>
      <c r="I95" s="224">
        <f t="shared" si="30"/>
        <v>207750</v>
      </c>
      <c r="J95" s="224">
        <f t="shared" si="30"/>
        <v>0</v>
      </c>
      <c r="K95" s="224">
        <f t="shared" si="30"/>
        <v>100</v>
      </c>
      <c r="L95" s="224">
        <f t="shared" si="30"/>
        <v>0</v>
      </c>
      <c r="M95" s="224">
        <f t="shared" si="30"/>
        <v>0</v>
      </c>
      <c r="N95" s="224">
        <f t="shared" si="30"/>
        <v>0</v>
      </c>
      <c r="O95" s="224">
        <f t="shared" si="30"/>
        <v>0</v>
      </c>
      <c r="P95" s="224">
        <f t="shared" si="30"/>
        <v>0</v>
      </c>
      <c r="Q95" s="224">
        <f t="shared" si="30"/>
        <v>0</v>
      </c>
      <c r="R95" s="558">
        <f>SUM(R80:R94)</f>
        <v>1879730</v>
      </c>
      <c r="S95" s="228">
        <f>SUM(S81:S84,S86:S94)</f>
        <v>1792019</v>
      </c>
      <c r="T95" s="224">
        <f>SUM(T81:T84,T86:T94)</f>
        <v>0</v>
      </c>
      <c r="U95" s="221"/>
    </row>
    <row r="96" spans="1:21" s="222" customFormat="1">
      <c r="A96" s="227" t="s">
        <v>853</v>
      </c>
      <c r="B96" s="224">
        <f>SUM(C96:D96)</f>
        <v>42288202</v>
      </c>
      <c r="C96" s="224">
        <f>SUM(C63+C67+C74+C78+C95)</f>
        <v>42288202</v>
      </c>
      <c r="D96" s="224">
        <f t="shared" ref="D96:R96" si="31">SUM(D63+D67+D74+D78+D95)</f>
        <v>0</v>
      </c>
      <c r="E96" s="224">
        <f t="shared" si="31"/>
        <v>12897770</v>
      </c>
      <c r="F96" s="224">
        <f t="shared" si="31"/>
        <v>5447135</v>
      </c>
      <c r="G96" s="224">
        <f t="shared" si="31"/>
        <v>7000000</v>
      </c>
      <c r="H96" s="224">
        <f t="shared" si="31"/>
        <v>15943197</v>
      </c>
      <c r="I96" s="224">
        <f t="shared" si="31"/>
        <v>1000000</v>
      </c>
      <c r="J96" s="224">
        <f t="shared" si="31"/>
        <v>0</v>
      </c>
      <c r="K96" s="224">
        <f t="shared" si="31"/>
        <v>100</v>
      </c>
      <c r="L96" s="224">
        <f t="shared" si="31"/>
        <v>0</v>
      </c>
      <c r="M96" s="224">
        <f t="shared" si="31"/>
        <v>0</v>
      </c>
      <c r="N96" s="224">
        <f t="shared" si="31"/>
        <v>0</v>
      </c>
      <c r="O96" s="224">
        <f t="shared" si="31"/>
        <v>0</v>
      </c>
      <c r="P96" s="224">
        <f t="shared" si="31"/>
        <v>0</v>
      </c>
      <c r="Q96" s="224">
        <f t="shared" si="31"/>
        <v>0</v>
      </c>
      <c r="R96" s="224">
        <f t="shared" si="31"/>
        <v>42288202</v>
      </c>
      <c r="S96" s="224">
        <f>SUM(S63+S67+S78+S95)</f>
        <v>39284540</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2">SUM(C98+D98)</f>
        <v>5303413</v>
      </c>
      <c r="C98" s="225">
        <v>5303413</v>
      </c>
      <c r="D98" s="225"/>
      <c r="E98" s="225">
        <f>C98-K98-L98-J98</f>
        <v>2500000</v>
      </c>
      <c r="F98" s="225"/>
      <c r="G98" s="225"/>
      <c r="H98" s="225"/>
      <c r="I98" s="225"/>
      <c r="J98" s="225">
        <v>2803413</v>
      </c>
      <c r="K98" s="225"/>
      <c r="L98" s="225">
        <v>0</v>
      </c>
      <c r="M98" s="225"/>
      <c r="N98" s="225"/>
      <c r="O98" s="225"/>
      <c r="P98" s="225"/>
      <c r="Q98" s="225"/>
      <c r="R98" s="916">
        <f t="shared" ref="R98:R103" si="33">SUM(E98:Q98)</f>
        <v>5303413</v>
      </c>
      <c r="S98" s="225">
        <f>C98</f>
        <v>5303413</v>
      </c>
      <c r="T98" s="225"/>
      <c r="U98" s="221"/>
    </row>
    <row r="99" spans="1:21" s="222" customFormat="1">
      <c r="A99" s="223" t="s">
        <v>856</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857</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858</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1126</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860</v>
      </c>
      <c r="B104" s="224">
        <f>SUM(C104:D104)</f>
        <v>5303413</v>
      </c>
      <c r="C104" s="224">
        <f t="shared" ref="C104:T104" si="34">SUM(C98:C103)</f>
        <v>5303413</v>
      </c>
      <c r="D104" s="224">
        <f t="shared" si="34"/>
        <v>0</v>
      </c>
      <c r="E104" s="224">
        <f t="shared" si="34"/>
        <v>2500000</v>
      </c>
      <c r="F104" s="224">
        <f t="shared" si="34"/>
        <v>0</v>
      </c>
      <c r="G104" s="224">
        <f t="shared" si="34"/>
        <v>0</v>
      </c>
      <c r="H104" s="224">
        <f t="shared" si="34"/>
        <v>0</v>
      </c>
      <c r="I104" s="224">
        <f t="shared" si="34"/>
        <v>0</v>
      </c>
      <c r="J104" s="224">
        <f t="shared" si="34"/>
        <v>2803413</v>
      </c>
      <c r="K104" s="224">
        <f t="shared" si="34"/>
        <v>0</v>
      </c>
      <c r="L104" s="224">
        <f t="shared" si="34"/>
        <v>0</v>
      </c>
      <c r="M104" s="224">
        <f t="shared" si="34"/>
        <v>0</v>
      </c>
      <c r="N104" s="224">
        <f t="shared" si="34"/>
        <v>0</v>
      </c>
      <c r="O104" s="224">
        <f t="shared" si="34"/>
        <v>0</v>
      </c>
      <c r="P104" s="224">
        <f t="shared" si="34"/>
        <v>0</v>
      </c>
      <c r="Q104" s="224">
        <f t="shared" si="34"/>
        <v>0</v>
      </c>
      <c r="R104" s="558">
        <f>SUM(R98:R103)</f>
        <v>5303413</v>
      </c>
      <c r="S104" s="228">
        <f t="shared" si="34"/>
        <v>5303413</v>
      </c>
      <c r="T104" s="228">
        <f t="shared" si="34"/>
        <v>0</v>
      </c>
      <c r="U104" s="221"/>
    </row>
    <row r="105" spans="1:21" s="222" customFormat="1">
      <c r="A105" s="227" t="s">
        <v>861</v>
      </c>
      <c r="B105" s="228">
        <f>SUM(C105:D105)</f>
        <v>47591615</v>
      </c>
      <c r="C105" s="228">
        <f t="shared" ref="C105:R105" si="35">SUM(C96+C104)</f>
        <v>47591615</v>
      </c>
      <c r="D105" s="228">
        <f t="shared" si="35"/>
        <v>0</v>
      </c>
      <c r="E105" s="228">
        <f t="shared" si="35"/>
        <v>15397770</v>
      </c>
      <c r="F105" s="228">
        <f t="shared" si="35"/>
        <v>5447135</v>
      </c>
      <c r="G105" s="228">
        <f t="shared" si="35"/>
        <v>7000000</v>
      </c>
      <c r="H105" s="228">
        <f t="shared" si="35"/>
        <v>15943197</v>
      </c>
      <c r="I105" s="228">
        <f t="shared" si="35"/>
        <v>1000000</v>
      </c>
      <c r="J105" s="228">
        <f t="shared" si="35"/>
        <v>2803413</v>
      </c>
      <c r="K105" s="228">
        <f t="shared" si="35"/>
        <v>100</v>
      </c>
      <c r="L105" s="228">
        <f t="shared" si="35"/>
        <v>0</v>
      </c>
      <c r="M105" s="228">
        <f t="shared" si="35"/>
        <v>0</v>
      </c>
      <c r="N105" s="228">
        <f t="shared" si="35"/>
        <v>0</v>
      </c>
      <c r="O105" s="228">
        <f t="shared" si="35"/>
        <v>0</v>
      </c>
      <c r="P105" s="228">
        <f t="shared" si="35"/>
        <v>0</v>
      </c>
      <c r="Q105" s="228">
        <f t="shared" si="35"/>
        <v>0</v>
      </c>
      <c r="R105" s="558">
        <f t="shared" si="35"/>
        <v>47591615</v>
      </c>
      <c r="S105" s="228">
        <f>S96+S104</f>
        <v>44587953</v>
      </c>
      <c r="T105" s="228">
        <f>T96+T104</f>
        <v>0</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44587953</v>
      </c>
      <c r="T107" s="242">
        <f>T105+T106</f>
        <v>0</v>
      </c>
    </row>
    <row r="108" spans="1:21" s="310" customFormat="1">
      <c r="A108" s="241" t="s">
        <v>973</v>
      </c>
      <c r="B108" s="236"/>
      <c r="C108" s="236"/>
      <c r="D108" s="236"/>
      <c r="E108" s="481">
        <f>Application!AG631</f>
        <v>15397770</v>
      </c>
      <c r="F108" s="481">
        <f>Application!AG618</f>
        <v>5447135</v>
      </c>
      <c r="G108" s="481">
        <f>Application!AG619</f>
        <v>7000000</v>
      </c>
      <c r="H108" s="481">
        <f>Application!AG620</f>
        <v>15943197</v>
      </c>
      <c r="I108" s="481">
        <f>Application!AG621</f>
        <v>1000000</v>
      </c>
      <c r="J108" s="481">
        <f>Application!AG622</f>
        <v>2803413</v>
      </c>
      <c r="K108" s="481">
        <f>Application!AG623</f>
        <v>100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9" t="s">
        <v>1132</v>
      </c>
      <c r="E122" s="1619"/>
      <c r="F122" s="1619"/>
      <c r="G122" s="535"/>
      <c r="H122" s="535"/>
      <c r="I122" s="535"/>
      <c r="J122" s="535"/>
      <c r="K122" s="535"/>
      <c r="L122" s="535"/>
      <c r="M122" s="535"/>
      <c r="N122" s="535"/>
      <c r="O122" s="535"/>
      <c r="P122" s="535"/>
      <c r="Q122" s="535"/>
      <c r="R122" s="535"/>
      <c r="S122" s="535"/>
      <c r="T122" s="535"/>
      <c r="U122" s="537"/>
    </row>
    <row r="123" spans="1:21">
      <c r="A123" s="535" t="s">
        <v>1133</v>
      </c>
      <c r="B123" s="963"/>
      <c r="C123" s="535"/>
      <c r="D123" s="1622" t="s">
        <v>1490</v>
      </c>
      <c r="E123" s="1623"/>
      <c r="F123" s="1623"/>
      <c r="G123" s="1623"/>
      <c r="H123" s="1623"/>
      <c r="I123" s="1623"/>
      <c r="J123" s="1623"/>
      <c r="K123" s="1623"/>
      <c r="L123" s="1623"/>
      <c r="M123" s="1623"/>
      <c r="N123" s="1623"/>
      <c r="O123" s="1623"/>
      <c r="P123" s="1623"/>
      <c r="Q123" s="1623"/>
      <c r="R123" s="1623"/>
      <c r="S123" s="1623"/>
      <c r="T123" s="535"/>
      <c r="U123" s="537"/>
    </row>
    <row r="124" spans="1:21" ht="12.75">
      <c r="A124" s="534" t="s">
        <v>1134</v>
      </c>
      <c r="B124" s="544"/>
      <c r="C124" s="534"/>
      <c r="D124" s="1623"/>
      <c r="E124" s="1623"/>
      <c r="F124" s="1623"/>
      <c r="G124" s="1623"/>
      <c r="H124" s="1623"/>
      <c r="I124" s="1623"/>
      <c r="J124" s="1623"/>
      <c r="K124" s="1623"/>
      <c r="L124" s="1623"/>
      <c r="M124" s="1623"/>
      <c r="N124" s="1623"/>
      <c r="O124" s="1623"/>
      <c r="P124" s="1623"/>
      <c r="Q124" s="1623"/>
      <c r="R124" s="1623"/>
      <c r="S124" s="1623"/>
      <c r="T124" s="535"/>
      <c r="U124" s="537"/>
    </row>
    <row r="125" spans="1:21" ht="12.75">
      <c r="A125" s="534" t="s">
        <v>1135</v>
      </c>
      <c r="B125" s="544"/>
      <c r="C125" s="534"/>
      <c r="D125" s="1623"/>
      <c r="E125" s="1623"/>
      <c r="F125" s="1623"/>
      <c r="G125" s="1623"/>
      <c r="H125" s="1623"/>
      <c r="I125" s="1623"/>
      <c r="J125" s="1623"/>
      <c r="K125" s="1623"/>
      <c r="L125" s="1623"/>
      <c r="M125" s="1623"/>
      <c r="N125" s="1623"/>
      <c r="O125" s="1623"/>
      <c r="P125" s="1623"/>
      <c r="Q125" s="1623"/>
      <c r="R125" s="1623"/>
      <c r="S125" s="1623"/>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16"/>
      <c r="E128" s="1616"/>
      <c r="F128" s="1616"/>
      <c r="G128" s="1616"/>
      <c r="H128" s="1616"/>
      <c r="I128" s="534"/>
      <c r="J128" s="1617"/>
      <c r="K128" s="1617"/>
      <c r="L128" s="534"/>
      <c r="M128" s="534"/>
      <c r="N128" s="534"/>
      <c r="O128" s="534"/>
      <c r="P128" s="534"/>
      <c r="Q128" s="534"/>
      <c r="R128" s="534"/>
      <c r="S128" s="534"/>
      <c r="T128" s="535"/>
      <c r="U128" s="537"/>
    </row>
    <row r="129" spans="1:21" ht="12.75">
      <c r="A129" s="534" t="s">
        <v>319</v>
      </c>
      <c r="B129" s="544"/>
      <c r="C129" s="534"/>
      <c r="D129" s="1618" t="s">
        <v>1139</v>
      </c>
      <c r="E129" s="1618"/>
      <c r="F129" s="1618"/>
      <c r="G129" s="1618"/>
      <c r="H129" s="1618"/>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593"/>
      <c r="E131" s="1593"/>
      <c r="F131" s="1593"/>
      <c r="G131" s="1593"/>
      <c r="H131" s="1593"/>
      <c r="I131" s="534"/>
      <c r="J131" s="1593"/>
      <c r="K131" s="1593"/>
      <c r="L131" s="1593"/>
      <c r="M131" s="1593"/>
      <c r="N131" s="534"/>
      <c r="O131" s="534"/>
      <c r="P131" s="534"/>
      <c r="Q131" s="534"/>
      <c r="R131" s="534"/>
      <c r="S131" s="534"/>
      <c r="T131" s="535"/>
      <c r="U131" s="537"/>
    </row>
    <row r="132" spans="1:21" ht="12" customHeight="1">
      <c r="A132" s="548"/>
      <c r="B132" s="534"/>
      <c r="C132" s="534"/>
      <c r="D132" s="1624" t="s">
        <v>1142</v>
      </c>
      <c r="E132" s="1624"/>
      <c r="F132" s="1624"/>
      <c r="G132" s="1624"/>
      <c r="H132" s="1624"/>
      <c r="I132" s="534"/>
      <c r="J132" s="1624" t="s">
        <v>1143</v>
      </c>
      <c r="K132" s="1624"/>
      <c r="L132" s="1624"/>
      <c r="M132" s="162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5"/>
      <c r="B138" s="1626"/>
      <c r="C138" s="1626"/>
      <c r="D138" s="539"/>
      <c r="E138" s="1617"/>
      <c r="F138" s="1617"/>
      <c r="G138" s="534"/>
      <c r="H138" s="534"/>
      <c r="I138" s="534"/>
      <c r="J138" s="534"/>
      <c r="K138" s="534"/>
      <c r="L138" s="534"/>
      <c r="M138" s="534"/>
      <c r="N138" s="534"/>
      <c r="O138" s="534"/>
      <c r="P138" s="534"/>
      <c r="Q138" s="534"/>
      <c r="R138" s="534"/>
      <c r="S138" s="534"/>
      <c r="T138" s="541"/>
      <c r="U138" s="542"/>
    </row>
    <row r="139" spans="1:21" ht="12.75">
      <c r="A139" s="1620" t="s">
        <v>1146</v>
      </c>
      <c r="B139" s="1621"/>
      <c r="C139" s="1621"/>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5">
    <cfRule type="cellIs" dxfId="121" priority="229" stopIfTrue="1" operator="notEqual">
      <formula>$B25</formula>
    </cfRule>
    <cfRule type="cellIs" priority="230" stopIfTrue="1" operator="notEqual">
      <formula>$B25</formula>
    </cfRule>
  </conditionalFormatting>
  <conditionalFormatting sqref="R17:R24">
    <cfRule type="cellIs" dxfId="120" priority="228" stopIfTrue="1" operator="notEqual">
      <formula>$B17</formula>
    </cfRule>
  </conditionalFormatting>
  <conditionalFormatting sqref="R26">
    <cfRule type="cellIs" dxfId="119" priority="227" stopIfTrue="1" operator="notEqual">
      <formula>$B26</formula>
    </cfRule>
  </conditionalFormatting>
  <conditionalFormatting sqref="R36">
    <cfRule type="cellIs" dxfId="118" priority="225" stopIfTrue="1" operator="notEqual">
      <formula>$B36</formula>
    </cfRule>
    <cfRule type="cellIs" priority="226" stopIfTrue="1" operator="notEqual">
      <formula>$B36</formula>
    </cfRule>
  </conditionalFormatting>
  <conditionalFormatting sqref="R28:R35">
    <cfRule type="cellIs" dxfId="117" priority="224" stopIfTrue="1" operator="notEqual">
      <formula>$B28</formula>
    </cfRule>
  </conditionalFormatting>
  <conditionalFormatting sqref="R40">
    <cfRule type="cellIs" dxfId="116" priority="222" stopIfTrue="1" operator="notEqual">
      <formula>$B40</formula>
    </cfRule>
    <cfRule type="cellIs" priority="223" stopIfTrue="1" operator="notEqual">
      <formula>$B40</formula>
    </cfRule>
  </conditionalFormatting>
  <conditionalFormatting sqref="R38:R39">
    <cfRule type="cellIs" dxfId="115" priority="221" stopIfTrue="1" operator="notEqual">
      <formula>$B38</formula>
    </cfRule>
  </conditionalFormatting>
  <conditionalFormatting sqref="R41">
    <cfRule type="cellIs" dxfId="114" priority="220" stopIfTrue="1" operator="notEqual">
      <formula>$B41</formula>
    </cfRule>
  </conditionalFormatting>
  <conditionalFormatting sqref="R53">
    <cfRule type="cellIs" dxfId="113" priority="218" stopIfTrue="1" operator="notEqual">
      <formula>$B53</formula>
    </cfRule>
    <cfRule type="cellIs" priority="219" stopIfTrue="1" operator="notEqual">
      <formula>$B53</formula>
    </cfRule>
  </conditionalFormatting>
  <conditionalFormatting sqref="R43:R52">
    <cfRule type="cellIs" dxfId="112" priority="217" stopIfTrue="1" operator="notEqual">
      <formula>$B43</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55:R61">
    <cfRule type="cellIs" dxfId="110" priority="214" stopIfTrue="1" operator="notEqual">
      <formula>$B55</formula>
    </cfRule>
  </conditionalFormatting>
  <conditionalFormatting sqref="R67">
    <cfRule type="cellIs" dxfId="109" priority="212" stopIfTrue="1" operator="notEqual">
      <formula>$B67</formula>
    </cfRule>
    <cfRule type="cellIs" priority="213" stopIfTrue="1" operator="notEqual">
      <formula>$B67</formula>
    </cfRule>
  </conditionalFormatting>
  <conditionalFormatting sqref="R65:R66">
    <cfRule type="cellIs" dxfId="108" priority="211" stopIfTrue="1" operator="notEqual">
      <formula>$B65</formula>
    </cfRule>
  </conditionalFormatting>
  <conditionalFormatting sqref="R74">
    <cfRule type="cellIs" dxfId="107" priority="209" stopIfTrue="1" operator="notEqual">
      <formula>$B74</formula>
    </cfRule>
    <cfRule type="cellIs" priority="210" stopIfTrue="1" operator="notEqual">
      <formula>$B74</formula>
    </cfRule>
  </conditionalFormatting>
  <conditionalFormatting sqref="R95">
    <cfRule type="cellIs" dxfId="106" priority="207" stopIfTrue="1" operator="notEqual">
      <formula>$B95</formula>
    </cfRule>
    <cfRule type="cellIs" priority="208" stopIfTrue="1" operator="notEqual">
      <formula>$B95</formula>
    </cfRule>
  </conditionalFormatting>
  <conditionalFormatting sqref="R69:R73">
    <cfRule type="cellIs" dxfId="105" priority="206" stopIfTrue="1" operator="notEqual">
      <formula>$B69</formula>
    </cfRule>
  </conditionalFormatting>
  <conditionalFormatting sqref="R76:R77">
    <cfRule type="cellIs" dxfId="104" priority="205" stopIfTrue="1" operator="notEqual">
      <formula>$B76</formula>
    </cfRule>
  </conditionalFormatting>
  <conditionalFormatting sqref="R80:R94">
    <cfRule type="cellIs" dxfId="103" priority="204" stopIfTrue="1" operator="notEqual">
      <formula>$B80</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R98:R103">
    <cfRule type="cellIs" dxfId="101" priority="201" stopIfTrue="1" operator="notEqual">
      <formula>$B98</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
    <cfRule type="expression" dxfId="97" priority="193" stopIfTrue="1">
      <formula>(S17+T17)&gt;C17</formula>
    </cfRule>
  </conditionalFormatting>
  <conditionalFormatting sqref="S18">
    <cfRule type="expression" dxfId="96" priority="185" stopIfTrue="1">
      <formula>(S18+T18)&gt;C18</formula>
    </cfRule>
  </conditionalFormatting>
  <conditionalFormatting sqref="S19">
    <cfRule type="expression" dxfId="95" priority="183" stopIfTrue="1">
      <formula>(S19+T19)&gt;C19</formula>
    </cfRule>
  </conditionalFormatting>
  <conditionalFormatting sqref="S20">
    <cfRule type="expression" dxfId="94" priority="182" stopIfTrue="1">
      <formula>(S20+T20)&gt;C20</formula>
    </cfRule>
  </conditionalFormatting>
  <conditionalFormatting sqref="S21">
    <cfRule type="expression" dxfId="93" priority="181" stopIfTrue="1">
      <formula>(S21+T21)&gt;C21</formula>
    </cfRule>
  </conditionalFormatting>
  <conditionalFormatting sqref="S22">
    <cfRule type="expression" dxfId="92" priority="180" stopIfTrue="1">
      <formula>(S22+T22)&gt;C22</formula>
    </cfRule>
  </conditionalFormatting>
  <conditionalFormatting sqref="S23">
    <cfRule type="expression" dxfId="91" priority="179" stopIfTrue="1">
      <formula>(S23+T23)&gt;C23</formula>
    </cfRule>
  </conditionalFormatting>
  <conditionalFormatting sqref="S24">
    <cfRule type="expression" dxfId="90" priority="178" stopIfTrue="1">
      <formula>(S24+T24)&gt;C24</formula>
    </cfRule>
  </conditionalFormatting>
  <conditionalFormatting sqref="S26">
    <cfRule type="expression" dxfId="89" priority="171" stopIfTrue="1">
      <formula>(S26+T26)&gt;C26</formula>
    </cfRule>
  </conditionalFormatting>
  <conditionalFormatting sqref="S28:S34">
    <cfRule type="expression" dxfId="88" priority="169" stopIfTrue="1">
      <formula>(S28+T28)&gt;C28</formula>
    </cfRule>
  </conditionalFormatting>
  <conditionalFormatting sqref="S35">
    <cfRule type="expression" dxfId="87" priority="161" stopIfTrue="1">
      <formula>(S35+T35)&gt;C35</formula>
    </cfRule>
  </conditionalFormatting>
  <conditionalFormatting sqref="S38:S39">
    <cfRule type="expression" dxfId="86" priority="153" stopIfTrue="1">
      <formula>(S38+T38)&gt;C38</formula>
    </cfRule>
  </conditionalFormatting>
  <conditionalFormatting sqref="S41">
    <cfRule type="expression" dxfId="85" priority="149" stopIfTrue="1">
      <formula>(S41+T41)&gt;C41</formula>
    </cfRule>
  </conditionalFormatting>
  <conditionalFormatting sqref="S43">
    <cfRule type="expression" dxfId="84" priority="147" stopIfTrue="1">
      <formula>(S43+T43)&gt;C43</formula>
    </cfRule>
  </conditionalFormatting>
  <conditionalFormatting sqref="S44:S47">
    <cfRule type="expression" dxfId="83" priority="142" stopIfTrue="1">
      <formula>(S44+T44)&gt;C44</formula>
    </cfRule>
  </conditionalFormatting>
  <conditionalFormatting sqref="S48:S49">
    <cfRule type="expression" dxfId="82" priority="138" stopIfTrue="1">
      <formula>(S48+T48)&gt;C48</formula>
    </cfRule>
  </conditionalFormatting>
  <conditionalFormatting sqref="S50">
    <cfRule type="expression" dxfId="81" priority="136" stopIfTrue="1">
      <formula>(S50+T50)&gt;C50</formula>
    </cfRule>
  </conditionalFormatting>
  <conditionalFormatting sqref="S51">
    <cfRule type="expression" dxfId="80" priority="135" stopIfTrue="1">
      <formula>(S51+T51)&gt;C51</formula>
    </cfRule>
  </conditionalFormatting>
  <conditionalFormatting sqref="S52">
    <cfRule type="expression" dxfId="79" priority="134" stopIfTrue="1">
      <formula>(S52+T52)&gt;C52</formula>
    </cfRule>
  </conditionalFormatting>
  <conditionalFormatting sqref="S65:S66">
    <cfRule type="expression" dxfId="78" priority="124" stopIfTrue="1">
      <formula>(S65+T65)&gt;C65</formula>
    </cfRule>
  </conditionalFormatting>
  <conditionalFormatting sqref="S76:S77">
    <cfRule type="expression" dxfId="77" priority="120" stopIfTrue="1">
      <formula>(S76+T76)&gt;C76</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
    <cfRule type="expression" dxfId="72" priority="106" stopIfTrue="1">
      <formula>(S88+T88)&gt;C88</formula>
    </cfRule>
  </conditionalFormatting>
  <conditionalFormatting sqref="S89">
    <cfRule type="expression" dxfId="71" priority="105" stopIfTrue="1">
      <formula>(S89+T89)&gt;C89</formula>
    </cfRule>
  </conditionalFormatting>
  <conditionalFormatting sqref="S90:S93">
    <cfRule type="expression" dxfId="70" priority="104" stopIfTrue="1">
      <formula>(S90+T90)&gt;C90</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91" zoomScaleNormal="100" zoomScaleSheetLayoutView="100" workbookViewId="0">
      <selection activeCell="E31" sqref="E31:E3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3" t="s">
        <v>1493</v>
      </c>
      <c r="B1" s="1634"/>
      <c r="C1" s="1634"/>
      <c r="D1" s="1634"/>
      <c r="E1" s="1634"/>
      <c r="F1" s="1634"/>
      <c r="G1" s="1634"/>
      <c r="H1" s="1634"/>
      <c r="I1" s="1634"/>
      <c r="J1" s="1635"/>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25100</v>
      </c>
      <c r="C4" s="590"/>
      <c r="D4" s="590"/>
      <c r="E4" s="591"/>
      <c r="F4" s="591"/>
      <c r="G4" s="591"/>
      <c r="H4" s="591"/>
      <c r="I4" s="591"/>
      <c r="J4" s="591"/>
      <c r="K4" s="587"/>
    </row>
    <row r="5" spans="1:11" s="588" customFormat="1">
      <c r="A5" s="592" t="s">
        <v>31</v>
      </c>
      <c r="B5" s="589">
        <f>'Sources and Uses Budget'!C5</f>
        <v>495684</v>
      </c>
      <c r="C5" s="590"/>
      <c r="D5" s="590"/>
      <c r="E5" s="591"/>
      <c r="F5" s="591"/>
      <c r="G5" s="591"/>
      <c r="H5" s="591"/>
      <c r="I5" s="591"/>
      <c r="J5" s="591"/>
      <c r="K5" s="587"/>
    </row>
    <row r="6" spans="1:11" s="588" customFormat="1">
      <c r="A6" s="592" t="s">
        <v>32</v>
      </c>
      <c r="B6" s="589">
        <f>'Sources and Uses Budget'!C6</f>
        <v>7500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528284</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42143</v>
      </c>
      <c r="C10" s="590"/>
      <c r="D10" s="590"/>
      <c r="E10" s="589">
        <f>'Sources and Uses Budget'!S10</f>
        <v>42143</v>
      </c>
      <c r="F10" s="590"/>
      <c r="G10" s="590"/>
      <c r="H10" s="589">
        <f>'Sources and Uses Budget'!T10</f>
        <v>0</v>
      </c>
      <c r="I10" s="590"/>
      <c r="J10" s="590"/>
      <c r="K10" s="587"/>
    </row>
    <row r="11" spans="1:11" s="588" customFormat="1">
      <c r="A11" s="593" t="s">
        <v>646</v>
      </c>
      <c r="B11" s="589">
        <f>'Sources and Uses Budget'!C11</f>
        <v>42143</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570427</v>
      </c>
      <c r="C12" s="589">
        <f>SUM(C8+C11)</f>
        <v>0</v>
      </c>
      <c r="D12" s="589">
        <f>SUM(D8+D11)</f>
        <v>0</v>
      </c>
      <c r="E12" s="591"/>
      <c r="F12" s="591"/>
      <c r="G12" s="591"/>
      <c r="H12" s="591"/>
      <c r="I12" s="591"/>
      <c r="J12" s="591"/>
      <c r="K12" s="587"/>
    </row>
    <row r="13" spans="1:11" s="588" customFormat="1">
      <c r="A13" s="594" t="s">
        <v>1000</v>
      </c>
      <c r="B13" s="589">
        <f>'Sources and Uses Budget'!C13</f>
        <v>273535</v>
      </c>
      <c r="C13" s="590"/>
      <c r="D13" s="590"/>
      <c r="E13" s="589">
        <f>'Sources and Uses Budget'!S13</f>
        <v>273535</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1019350</v>
      </c>
      <c r="C28" s="590"/>
      <c r="D28" s="590"/>
      <c r="E28" s="589">
        <f>'Sources and Uses Budget'!S28</f>
        <v>1019350</v>
      </c>
      <c r="F28" s="590"/>
      <c r="G28" s="590"/>
      <c r="H28" s="589">
        <f>'Sources and Uses Budget'!T28</f>
        <v>0</v>
      </c>
      <c r="I28" s="590"/>
      <c r="J28" s="590"/>
      <c r="K28" s="587"/>
    </row>
    <row r="29" spans="1:11" s="588" customFormat="1">
      <c r="A29" s="223" t="s">
        <v>649</v>
      </c>
      <c r="B29" s="589">
        <f>'Sources and Uses Budget'!C29</f>
        <v>25917760</v>
      </c>
      <c r="C29" s="590"/>
      <c r="D29" s="590"/>
      <c r="E29" s="589">
        <f>'Sources and Uses Budget'!S29</f>
        <v>25917760</v>
      </c>
      <c r="F29" s="590"/>
      <c r="G29" s="590"/>
      <c r="H29" s="589">
        <f>'Sources and Uses Budget'!T29</f>
        <v>0</v>
      </c>
      <c r="I29" s="590"/>
      <c r="J29" s="590"/>
      <c r="K29" s="587"/>
    </row>
    <row r="30" spans="1:11" s="588" customFormat="1">
      <c r="A30" s="223" t="s">
        <v>650</v>
      </c>
      <c r="B30" s="589">
        <f>'Sources and Uses Budget'!C30</f>
        <v>1616227</v>
      </c>
      <c r="C30" s="590"/>
      <c r="D30" s="590"/>
      <c r="E30" s="589">
        <f>'Sources and Uses Budget'!S30</f>
        <v>1616227</v>
      </c>
      <c r="F30" s="590"/>
      <c r="G30" s="590"/>
      <c r="H30" s="589">
        <f>'Sources and Uses Budget'!T30</f>
        <v>0</v>
      </c>
      <c r="I30" s="590"/>
      <c r="J30" s="590"/>
      <c r="K30" s="587"/>
    </row>
    <row r="31" spans="1:11" s="588" customFormat="1">
      <c r="A31" s="223" t="s">
        <v>144</v>
      </c>
      <c r="B31" s="589">
        <f>'Sources and Uses Budget'!C31</f>
        <v>538742</v>
      </c>
      <c r="C31" s="590"/>
      <c r="D31" s="590"/>
      <c r="E31" s="589">
        <f>'Sources and Uses Budget'!S31</f>
        <v>538742</v>
      </c>
      <c r="F31" s="590"/>
      <c r="G31" s="590"/>
      <c r="H31" s="589">
        <f>'Sources and Uses Budget'!T31</f>
        <v>0</v>
      </c>
      <c r="I31" s="590"/>
      <c r="J31" s="590"/>
      <c r="K31" s="587"/>
    </row>
    <row r="32" spans="1:11" s="588" customFormat="1">
      <c r="A32" s="223" t="s">
        <v>145</v>
      </c>
      <c r="B32" s="589">
        <f>'Sources and Uses Budget'!C32</f>
        <v>875328</v>
      </c>
      <c r="C32" s="590"/>
      <c r="D32" s="590"/>
      <c r="E32" s="589">
        <f>'Sources and Uses Budget'!S32</f>
        <v>875328</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613156</v>
      </c>
      <c r="C34" s="590"/>
      <c r="D34" s="590"/>
      <c r="E34" s="589">
        <f>'Sources and Uses Budget'!S34</f>
        <v>613156</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30580563</v>
      </c>
      <c r="C36" s="589">
        <f>SUM(C28:C35)</f>
        <v>0</v>
      </c>
      <c r="D36" s="589">
        <f>SUM(D28:D35)</f>
        <v>0</v>
      </c>
      <c r="E36" s="589">
        <f>'Sources and Uses Budget'!S36</f>
        <v>30580563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967722</v>
      </c>
      <c r="C38" s="590"/>
      <c r="D38" s="590"/>
      <c r="E38" s="589">
        <f>'Sources and Uses Budget'!S38</f>
        <v>967722</v>
      </c>
      <c r="F38" s="590"/>
      <c r="G38" s="590"/>
      <c r="H38" s="589">
        <f>'Sources and Uses Budget'!T38</f>
        <v>0</v>
      </c>
      <c r="I38" s="590"/>
      <c r="J38" s="590"/>
      <c r="K38" s="587"/>
    </row>
    <row r="39" spans="1:11" s="588" customFormat="1">
      <c r="A39" s="592" t="s">
        <v>153</v>
      </c>
      <c r="B39" s="589">
        <f>'Sources and Uses Budget'!C39</f>
        <v>89505</v>
      </c>
      <c r="C39" s="590"/>
      <c r="D39" s="590"/>
      <c r="E39" s="589">
        <f>'Sources and Uses Budget'!S39</f>
        <v>89505</v>
      </c>
      <c r="F39" s="590"/>
      <c r="G39" s="590"/>
      <c r="H39" s="589">
        <f>'Sources and Uses Budget'!T39</f>
        <v>0</v>
      </c>
      <c r="I39" s="590"/>
      <c r="J39" s="590"/>
      <c r="K39" s="587"/>
    </row>
    <row r="40" spans="1:11" s="588" customFormat="1">
      <c r="A40" s="593" t="s">
        <v>154</v>
      </c>
      <c r="B40" s="589">
        <f>'Sources and Uses Budget'!C40</f>
        <v>1057227</v>
      </c>
      <c r="C40" s="589">
        <f>SUM(C37:C39)</f>
        <v>0</v>
      </c>
      <c r="D40" s="589">
        <f>SUM(D37:D39)</f>
        <v>0</v>
      </c>
      <c r="E40" s="589">
        <f>'Sources and Uses Budget'!S40</f>
        <v>1057227</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534757</v>
      </c>
      <c r="C41" s="590"/>
      <c r="D41" s="590"/>
      <c r="E41" s="589">
        <f>'Sources and Uses Budget'!S41</f>
        <v>531757</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1858399</v>
      </c>
      <c r="C43" s="590"/>
      <c r="D43" s="590"/>
      <c r="E43" s="589">
        <f>'Sources and Uses Budget'!S43</f>
        <v>919026</v>
      </c>
      <c r="F43" s="590"/>
      <c r="G43" s="590"/>
      <c r="H43" s="589">
        <f>'Sources and Uses Budget'!T43</f>
        <v>0</v>
      </c>
      <c r="I43" s="590"/>
      <c r="J43" s="590"/>
      <c r="K43" s="587"/>
    </row>
    <row r="44" spans="1:11" s="588" customFormat="1">
      <c r="A44" s="592" t="s">
        <v>158</v>
      </c>
      <c r="B44" s="589">
        <f>'Sources and Uses Budget'!C44</f>
        <v>256931</v>
      </c>
      <c r="C44" s="590"/>
      <c r="D44" s="590"/>
      <c r="E44" s="589">
        <f>'Sources and Uses Budget'!S44</f>
        <v>256931</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371350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10000</v>
      </c>
      <c r="C49" s="590"/>
      <c r="D49" s="590"/>
      <c r="E49" s="589">
        <f>'Sources and Uses Budget'!S49</f>
        <v>10000</v>
      </c>
      <c r="F49" s="590"/>
      <c r="G49" s="590"/>
      <c r="H49" s="589">
        <f>'Sources and Uses Budget'!T49</f>
        <v>0</v>
      </c>
      <c r="I49" s="590"/>
      <c r="J49" s="590"/>
      <c r="K49" s="587"/>
    </row>
    <row r="50" spans="1:11" s="588" customFormat="1">
      <c r="A50" s="592" t="s">
        <v>162</v>
      </c>
      <c r="B50" s="589">
        <f>'Sources and Uses Budget'!C50</f>
        <v>350000</v>
      </c>
      <c r="C50" s="590"/>
      <c r="D50" s="590"/>
      <c r="E50" s="589">
        <f>'Sources and Uses Budget'!S50</f>
        <v>262500</v>
      </c>
      <c r="F50" s="590"/>
      <c r="G50" s="590"/>
      <c r="H50" s="589">
        <f>'Sources and Uses Budget'!T50</f>
        <v>0</v>
      </c>
      <c r="I50" s="590"/>
      <c r="J50" s="590"/>
      <c r="K50" s="587"/>
    </row>
    <row r="51" spans="1:11" s="588" customFormat="1">
      <c r="A51" s="595" t="str">
        <f>'Sources and Uses Budget'!$A60</f>
        <v>Other: (Lender legal)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2921680</v>
      </c>
      <c r="C53" s="596">
        <f>SUM(C43:C52)</f>
        <v>0</v>
      </c>
      <c r="D53" s="596">
        <f>SUM(D43:D52)</f>
        <v>0</v>
      </c>
      <c r="E53" s="589">
        <f>'Sources and Uses Budget'!S53</f>
        <v>1523457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77724</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32000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legal)</v>
      </c>
      <c r="B60" s="589">
        <f>'Sources and Uses Budget'!C60</f>
        <v>35000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144724</v>
      </c>
      <c r="C62" s="589">
        <f>SUM(C55:C61)</f>
        <v>0</v>
      </c>
      <c r="D62" s="589">
        <f>SUM(D55:D61)</f>
        <v>0</v>
      </c>
      <c r="E62" s="591"/>
      <c r="F62" s="591"/>
      <c r="G62" s="591"/>
      <c r="H62" s="591"/>
      <c r="I62" s="591"/>
      <c r="J62" s="591"/>
      <c r="K62" s="587"/>
    </row>
    <row r="63" spans="1:11" s="588" customFormat="1">
      <c r="A63" s="600" t="s">
        <v>321</v>
      </c>
      <c r="B63" s="589">
        <f>'Sources and Uses Budget'!C63</f>
        <v>36082913</v>
      </c>
      <c r="C63" s="589">
        <f>SUM(C8+C11+C13+C14+C15+C25+C26+C36+C40+C41+C53+C62)</f>
        <v>0</v>
      </c>
      <c r="D63" s="589">
        <f>SUM(D8+D11+D13+D14+D15+D25+D26+D36+D40+D41+D53+D62)</f>
        <v>0</v>
      </c>
      <c r="E63" s="589">
        <f>'Sources and Uses Budget'!S63</f>
        <v>34008682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40000</v>
      </c>
      <c r="C65" s="590"/>
      <c r="D65" s="590"/>
      <c r="E65" s="589">
        <f>'Sources and Uses Budget'!S65</f>
        <v>40000</v>
      </c>
      <c r="F65" s="590"/>
      <c r="G65" s="590"/>
      <c r="H65" s="589">
        <f>'Sources and Uses Budget'!T65</f>
        <v>0</v>
      </c>
      <c r="I65" s="590"/>
      <c r="J65" s="590"/>
      <c r="K65" s="587"/>
    </row>
    <row r="66" spans="1:11" s="588" customFormat="1">
      <c r="A66" s="595" t="str">
        <f>'Sources and Uses Budget'!$A73</f>
        <v>Lease-up Reserve</v>
      </c>
      <c r="B66" s="589">
        <f>'Sources and Uses Budget'!C66</f>
        <v>57000</v>
      </c>
      <c r="C66" s="590"/>
      <c r="D66" s="590"/>
      <c r="E66" s="589">
        <f>'Sources and Uses Budget'!S66</f>
        <v>47000</v>
      </c>
      <c r="F66" s="590"/>
      <c r="G66" s="590"/>
      <c r="H66" s="589">
        <f>'Sources and Uses Budget'!T66</f>
        <v>0</v>
      </c>
      <c r="I66" s="590"/>
      <c r="J66" s="590"/>
      <c r="K66" s="587"/>
    </row>
    <row r="67" spans="1:11" s="588" customFormat="1">
      <c r="A67" s="593" t="s">
        <v>651</v>
      </c>
      <c r="B67" s="589">
        <f>'Sources and Uses Budget'!C67</f>
        <v>97000</v>
      </c>
      <c r="C67" s="589">
        <f>SUM(C64:C66)</f>
        <v>0</v>
      </c>
      <c r="D67" s="589">
        <f>SUM(D64:D66)</f>
        <v>0</v>
      </c>
      <c r="E67" s="589">
        <f>'Sources and Uses Budget'!S67</f>
        <v>87000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200000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655</v>
      </c>
      <c r="B72" s="589">
        <f>'Sources and Uses Budget'!C72</f>
        <v>591720</v>
      </c>
      <c r="C72" s="590"/>
      <c r="D72" s="590"/>
      <c r="E72" s="591"/>
      <c r="F72" s="591"/>
      <c r="G72" s="591"/>
      <c r="H72" s="591"/>
      <c r="I72" s="591"/>
      <c r="J72" s="591"/>
      <c r="K72" s="587"/>
    </row>
    <row r="73" spans="1:11" s="588" customFormat="1">
      <c r="A73" s="595" t="str">
        <f>'Sources and Uses Budget'!$A73</f>
        <v>Lease-up Reserve</v>
      </c>
      <c r="B73" s="589">
        <f>'Sources and Uses Budget'!C73</f>
        <v>40000</v>
      </c>
      <c r="C73" s="590"/>
      <c r="D73" s="590"/>
      <c r="E73" s="591"/>
      <c r="F73" s="591"/>
      <c r="G73" s="591"/>
      <c r="H73" s="591"/>
      <c r="I73" s="591"/>
      <c r="J73" s="591"/>
      <c r="K73" s="587"/>
    </row>
    <row r="74" spans="1:11" s="588" customFormat="1">
      <c r="A74" s="593" t="s">
        <v>656</v>
      </c>
      <c r="B74" s="589">
        <f>'Sources and Uses Budget'!C74</f>
        <v>831720</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3111839</v>
      </c>
      <c r="C76" s="590"/>
      <c r="D76" s="590"/>
      <c r="E76" s="589">
        <f>'Sources and Uses Budget'!S76</f>
        <v>3111839</v>
      </c>
      <c r="F76" s="590"/>
      <c r="G76" s="590"/>
      <c r="H76" s="589">
        <f>'Sources and Uses Budget'!T76</f>
        <v>0</v>
      </c>
      <c r="I76" s="590"/>
      <c r="J76" s="590"/>
      <c r="K76" s="587"/>
    </row>
    <row r="77" spans="1:11" s="588" customFormat="1">
      <c r="A77" s="592" t="s">
        <v>63</v>
      </c>
      <c r="B77" s="589">
        <f>'Sources and Uses Budget'!C77</f>
        <v>285000</v>
      </c>
      <c r="C77" s="590"/>
      <c r="D77" s="590"/>
      <c r="E77" s="589">
        <f>'Sources and Uses Budget'!S77</f>
        <v>285000</v>
      </c>
      <c r="F77" s="590"/>
      <c r="G77" s="590"/>
      <c r="H77" s="589">
        <f>'Sources and Uses Budget'!T77</f>
        <v>0</v>
      </c>
      <c r="I77" s="590"/>
      <c r="J77" s="590"/>
      <c r="K77" s="587"/>
    </row>
    <row r="78" spans="1:11" s="588" customFormat="1">
      <c r="A78" s="593" t="s">
        <v>1466</v>
      </c>
      <c r="B78" s="589">
        <f>'Sources and Uses Budget'!C78</f>
        <v>3396839</v>
      </c>
      <c r="C78" s="589">
        <f>SUM(C76:C77)</f>
        <v>0</v>
      </c>
      <c r="D78" s="589">
        <f>SUM(D76:D77)</f>
        <v>0</v>
      </c>
      <c r="E78" s="589">
        <f>'Sources and Uses Budget'!S78</f>
        <v>3396839</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39561</v>
      </c>
      <c r="C80" s="590"/>
      <c r="D80" s="590"/>
      <c r="E80" s="591"/>
      <c r="F80" s="591"/>
      <c r="G80" s="591"/>
      <c r="H80" s="591"/>
      <c r="I80" s="591"/>
      <c r="J80" s="591"/>
      <c r="K80" s="587"/>
    </row>
    <row r="81" spans="1:11" s="588" customFormat="1">
      <c r="A81" s="223" t="s">
        <v>845</v>
      </c>
      <c r="B81" s="589">
        <f>'Sources and Uses Budget'!C81</f>
        <v>202605</v>
      </c>
      <c r="C81" s="590"/>
      <c r="D81" s="590"/>
      <c r="E81" s="589">
        <f>'Sources and Uses Budget'!S81</f>
        <v>202605</v>
      </c>
      <c r="F81" s="590"/>
      <c r="G81" s="590"/>
      <c r="H81" s="589">
        <f>'Sources and Uses Budget'!T81</f>
        <v>0</v>
      </c>
      <c r="I81" s="590"/>
      <c r="J81" s="590"/>
      <c r="K81" s="587"/>
    </row>
    <row r="82" spans="1:11" s="588" customFormat="1">
      <c r="A82" s="223" t="s">
        <v>846</v>
      </c>
      <c r="B82" s="589">
        <f>'Sources and Uses Budget'!C82</f>
        <v>584430</v>
      </c>
      <c r="C82" s="590"/>
      <c r="D82" s="590"/>
      <c r="E82" s="589">
        <f>'Sources and Uses Budget'!S82</f>
        <v>584430</v>
      </c>
      <c r="F82" s="590"/>
      <c r="G82" s="590"/>
      <c r="H82" s="589">
        <f>'Sources and Uses Budget'!T82</f>
        <v>0</v>
      </c>
      <c r="I82" s="590"/>
      <c r="J82" s="590"/>
      <c r="K82" s="587"/>
    </row>
    <row r="83" spans="1:11" s="588" customFormat="1">
      <c r="A83" s="223" t="s">
        <v>847</v>
      </c>
      <c r="B83" s="589">
        <f>'Sources and Uses Budget'!C83</f>
        <v>163618</v>
      </c>
      <c r="C83" s="590"/>
      <c r="D83" s="590"/>
      <c r="E83" s="589">
        <f>'Sources and Uses Budget'!S83</f>
        <v>163618</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10000</v>
      </c>
      <c r="C85" s="590"/>
      <c r="D85" s="590"/>
      <c r="E85" s="591"/>
      <c r="F85" s="591"/>
      <c r="G85" s="591"/>
      <c r="H85" s="591"/>
      <c r="I85" s="591"/>
      <c r="J85" s="591"/>
      <c r="K85" s="587"/>
    </row>
    <row r="86" spans="1:11" s="588" customFormat="1">
      <c r="A86" s="223" t="s">
        <v>850</v>
      </c>
      <c r="B86" s="589">
        <f>'Sources and Uses Budget'!C86</f>
        <v>207750</v>
      </c>
      <c r="C86" s="590"/>
      <c r="D86" s="590"/>
      <c r="E86" s="589">
        <f>'Sources and Uses Budget'!S86</f>
        <v>207750</v>
      </c>
      <c r="F86" s="590"/>
      <c r="G86" s="590"/>
      <c r="H86" s="589">
        <f>'Sources and Uses Budget'!T86</f>
        <v>0</v>
      </c>
      <c r="I86" s="590"/>
      <c r="J86" s="590"/>
      <c r="K86" s="587"/>
    </row>
    <row r="87" spans="1:11" s="588" customFormat="1">
      <c r="A87" s="223" t="s">
        <v>851</v>
      </c>
      <c r="B87" s="589">
        <f>'Sources and Uses Budget'!C87</f>
        <v>5500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34000</v>
      </c>
      <c r="C88" s="590"/>
      <c r="D88" s="590"/>
      <c r="E88" s="589">
        <f>'Sources and Uses Budget'!S88</f>
        <v>8500</v>
      </c>
      <c r="F88" s="590"/>
      <c r="G88" s="590"/>
      <c r="H88" s="589">
        <f>'Sources and Uses Budget'!T88</f>
        <v>0</v>
      </c>
      <c r="I88" s="590"/>
      <c r="J88" s="590"/>
      <c r="K88" s="587"/>
    </row>
    <row r="89" spans="1:11" s="588" customFormat="1">
      <c r="A89" s="889" t="s">
        <v>1468</v>
      </c>
      <c r="B89" s="589">
        <f>'Sources and Uses Budget'!C89</f>
        <v>5000</v>
      </c>
      <c r="C89" s="590"/>
      <c r="D89" s="590"/>
      <c r="E89" s="589">
        <f>'Sources and Uses Budget'!S89</f>
        <v>5000</v>
      </c>
      <c r="F89" s="590"/>
      <c r="G89" s="590"/>
      <c r="H89" s="589">
        <f>'Sources and Uses Budget'!T89</f>
        <v>0</v>
      </c>
      <c r="I89" s="590"/>
      <c r="J89" s="590"/>
      <c r="K89" s="587"/>
    </row>
    <row r="90" spans="1:11" s="588" customFormat="1">
      <c r="A90" s="595" t="str">
        <f>'Sources and Uses Budget'!$A90</f>
        <v>Construction Mgt (3rd party)</v>
      </c>
      <c r="B90" s="589">
        <f>'Sources and Uses Budget'!C90</f>
        <v>230000</v>
      </c>
      <c r="C90" s="590"/>
      <c r="D90" s="590"/>
      <c r="E90" s="589">
        <f>'Sources and Uses Budget'!S90</f>
        <v>230000</v>
      </c>
      <c r="F90" s="590"/>
      <c r="G90" s="590"/>
      <c r="H90" s="589">
        <f>'Sources and Uses Budget'!T90</f>
        <v>0</v>
      </c>
      <c r="I90" s="590"/>
      <c r="J90" s="590"/>
      <c r="K90" s="587"/>
    </row>
    <row r="91" spans="1:11" s="588" customFormat="1" ht="24">
      <c r="A91" s="595" t="str">
        <f>'Sources and Uses Budget'!$A91</f>
        <v>Soils Report, Deputy Inspection, CASp, LEED, Utility Consultants, misc.</v>
      </c>
      <c r="B91" s="589">
        <f>'Sources and Uses Budget'!C91</f>
        <v>319366</v>
      </c>
      <c r="C91" s="590"/>
      <c r="D91" s="590"/>
      <c r="E91" s="589">
        <f>'Sources and Uses Budget'!S91</f>
        <v>319366</v>
      </c>
      <c r="F91" s="590"/>
      <c r="G91" s="590"/>
      <c r="H91" s="589">
        <f>'Sources and Uses Budget'!T91</f>
        <v>0</v>
      </c>
      <c r="I91" s="590"/>
      <c r="J91" s="590"/>
      <c r="K91" s="587"/>
    </row>
    <row r="92" spans="1:11" s="588" customFormat="1">
      <c r="A92" s="595" t="str">
        <f>'Sources and Uses Budget'!$A92</f>
        <v>Jobs Coordinator &amp; Labor Compliance</v>
      </c>
      <c r="B92" s="589">
        <f>'Sources and Uses Budget'!C92</f>
        <v>50000</v>
      </c>
      <c r="C92" s="590"/>
      <c r="D92" s="590"/>
      <c r="E92" s="589">
        <f>'Sources and Uses Budget'!S92</f>
        <v>50000</v>
      </c>
      <c r="F92" s="590"/>
      <c r="G92" s="590"/>
      <c r="H92" s="589">
        <f>'Sources and Uses Budget'!T92</f>
        <v>0</v>
      </c>
      <c r="I92" s="590"/>
      <c r="J92" s="590"/>
      <c r="K92" s="587"/>
    </row>
    <row r="93" spans="1:11" s="588" customFormat="1">
      <c r="A93" s="595" t="str">
        <f>'Sources and Uses Budget'!$A93</f>
        <v>LACDA Monitoring fee</v>
      </c>
      <c r="B93" s="589">
        <f>'Sources and Uses Budget'!C93</f>
        <v>7150</v>
      </c>
      <c r="C93" s="590"/>
      <c r="D93" s="590"/>
      <c r="E93" s="589">
        <f>'Sources and Uses Budget'!S93</f>
        <v>0</v>
      </c>
      <c r="F93" s="590"/>
      <c r="G93" s="590"/>
      <c r="H93" s="589">
        <f>'Sources and Uses Budget'!T93</f>
        <v>0</v>
      </c>
      <c r="I93" s="590"/>
      <c r="J93" s="590"/>
      <c r="K93" s="587"/>
    </row>
    <row r="94" spans="1:11" s="588" customFormat="1">
      <c r="A94" s="595" t="str">
        <f>'Sources and Uses Budget'!$A94</f>
        <v>Community Outreach &amp; Security</v>
      </c>
      <c r="B94" s="589">
        <f>'Sources and Uses Budget'!C94</f>
        <v>20750</v>
      </c>
      <c r="C94" s="590"/>
      <c r="D94" s="590"/>
      <c r="E94" s="589">
        <f>'Sources and Uses Budget'!S94</f>
        <v>20750</v>
      </c>
      <c r="F94" s="590"/>
      <c r="G94" s="590"/>
      <c r="H94" s="589">
        <f>'Sources and Uses Budget'!T94</f>
        <v>0</v>
      </c>
      <c r="I94" s="590"/>
      <c r="J94" s="590"/>
      <c r="K94" s="587"/>
    </row>
    <row r="95" spans="1:11" s="588" customFormat="1">
      <c r="A95" s="593" t="s">
        <v>852</v>
      </c>
      <c r="B95" s="589">
        <f>'Sources and Uses Budget'!C95</f>
        <v>1879730</v>
      </c>
      <c r="C95" s="589">
        <f>SUM(C80:C94)</f>
        <v>0</v>
      </c>
      <c r="D95" s="589">
        <f>SUM(D80:D94)</f>
        <v>0</v>
      </c>
      <c r="E95" s="589">
        <f>'Sources and Uses Budget'!S95</f>
        <v>1792019</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42288202</v>
      </c>
      <c r="C96" s="589">
        <f>SUM(C63+C67+C74+C78+C95)</f>
        <v>0</v>
      </c>
      <c r="D96" s="589">
        <f>SUM(D63+D67+D74+D78+D95)</f>
        <v>0</v>
      </c>
      <c r="E96" s="589">
        <f>'Sources and Uses Budget'!S96</f>
        <v>39284540</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5303413</v>
      </c>
      <c r="C98" s="590"/>
      <c r="D98" s="590"/>
      <c r="E98" s="589">
        <f>'Sources and Uses Budget'!S98</f>
        <v>5303413</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5303413</v>
      </c>
      <c r="C104" s="589">
        <f>SUM(C98:C103)</f>
        <v>0</v>
      </c>
      <c r="D104" s="589">
        <f>SUM(D98:D103)</f>
        <v>0</v>
      </c>
      <c r="E104" s="589">
        <f>'Sources and Uses Budget'!S104</f>
        <v>5303413</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47591615</v>
      </c>
      <c r="C105" s="596">
        <f>SUM(C96+C104)</f>
        <v>0</v>
      </c>
      <c r="D105" s="596">
        <f>SUM(D96+D104)</f>
        <v>0</v>
      </c>
      <c r="E105" s="589">
        <f>'Sources and Uses Budget'!S105</f>
        <v>44587953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44587953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7"/>
      <c r="E124" s="1628"/>
      <c r="F124" s="1628"/>
      <c r="G124" s="1628"/>
      <c r="H124" s="1628"/>
      <c r="I124" s="1628"/>
      <c r="J124" s="607"/>
      <c r="K124" s="587"/>
    </row>
    <row r="125" spans="1:11" s="588" customFormat="1" ht="12.75">
      <c r="A125" s="618"/>
      <c r="B125" s="617"/>
      <c r="C125" s="618"/>
      <c r="D125" s="1628"/>
      <c r="E125" s="1628"/>
      <c r="F125" s="1628"/>
      <c r="G125" s="1628"/>
      <c r="H125" s="1628"/>
      <c r="I125" s="1628"/>
      <c r="J125" s="607"/>
      <c r="K125" s="587"/>
    </row>
    <row r="126" spans="1:11" s="588" customFormat="1" ht="12.75">
      <c r="A126" s="618"/>
      <c r="B126" s="617"/>
      <c r="C126" s="618"/>
      <c r="D126" s="1628"/>
      <c r="E126" s="1628"/>
      <c r="F126" s="1628"/>
      <c r="G126" s="1628"/>
      <c r="H126" s="1628"/>
      <c r="I126" s="162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9"/>
      <c r="B139" s="1630"/>
      <c r="C139" s="1630"/>
      <c r="D139" s="630"/>
      <c r="E139" s="618"/>
      <c r="F139" s="618"/>
      <c r="G139" s="618"/>
    </row>
    <row r="140" spans="1:11" ht="12" customHeight="1">
      <c r="A140" s="1631"/>
      <c r="B140" s="1632"/>
      <c r="C140" s="163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4" zoomScaleNormal="100" zoomScaleSheetLayoutView="100" workbookViewId="0">
      <selection activeCell="AB48" sqref="AB48:AF4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3" t="s">
        <v>1597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4"/>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69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0" t="str">
        <f xml:space="preserve"> IF(T25=100%,'Sources and Basis Breakdown'!G2,'Sources and Basis Breakdown'!F2)</f>
        <v>30% PVC for New Const/
Rehabilitation
DDA/QCT
Building(s)</v>
      </c>
      <c r="U7" s="1670"/>
      <c r="V7" s="1670"/>
      <c r="W7" s="1670"/>
      <c r="X7" s="1670"/>
      <c r="Y7" s="1670" t="str">
        <f>IF(T25=100%," ",'Sources and Basis Breakdown'!G2)</f>
        <v>30% PVC for New Const/
Rehabilitation
NON-DDA/
NON-QCT Building(s)</v>
      </c>
      <c r="Z7" s="1670"/>
      <c r="AA7" s="1670"/>
      <c r="AB7" s="1670"/>
      <c r="AC7" s="1670"/>
      <c r="AD7" s="1670" t="str">
        <f xml:space="preserve"> IF(T25=100%, 'Sources and Basis Breakdown'!J2,'Sources and Basis Breakdown'!I2)</f>
        <v>30% PVC for Acquisition
DDA/QCT Building(s)</v>
      </c>
      <c r="AE7" s="1670"/>
      <c r="AF7" s="1670"/>
      <c r="AG7" s="1670"/>
      <c r="AH7" s="1670"/>
      <c r="AI7" s="1670" t="str">
        <f>IF(T25=100%," ",'Sources and Basis Breakdown'!J2)</f>
        <v>30% PVC for Acquisition
NON-DDA/
NON-QCT Building(s)</v>
      </c>
      <c r="AJ7" s="1670"/>
      <c r="AK7" s="1670"/>
      <c r="AL7" s="1670"/>
      <c r="AM7" s="167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0"/>
      <c r="U8" s="1670"/>
      <c r="V8" s="1670"/>
      <c r="W8" s="1670"/>
      <c r="X8" s="1670"/>
      <c r="Y8" s="1670"/>
      <c r="Z8" s="1670"/>
      <c r="AA8" s="1670"/>
      <c r="AB8" s="1670"/>
      <c r="AC8" s="1670"/>
      <c r="AD8" s="1670"/>
      <c r="AE8" s="1670"/>
      <c r="AF8" s="1670"/>
      <c r="AG8" s="1670"/>
      <c r="AH8" s="1670"/>
      <c r="AI8" s="1670"/>
      <c r="AJ8" s="1670"/>
      <c r="AK8" s="1670"/>
      <c r="AL8" s="1670"/>
      <c r="AM8" s="167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0"/>
      <c r="U9" s="1670"/>
      <c r="V9" s="1670"/>
      <c r="W9" s="1670"/>
      <c r="X9" s="1670"/>
      <c r="Y9" s="1670"/>
      <c r="Z9" s="1670"/>
      <c r="AA9" s="1670"/>
      <c r="AB9" s="1670"/>
      <c r="AC9" s="1670"/>
      <c r="AD9" s="1670"/>
      <c r="AE9" s="1670"/>
      <c r="AF9" s="1670"/>
      <c r="AG9" s="1670"/>
      <c r="AH9" s="1670"/>
      <c r="AI9" s="1670"/>
      <c r="AJ9" s="1670"/>
      <c r="AK9" s="1670"/>
      <c r="AL9" s="1670"/>
      <c r="AM9" s="167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1" t="s">
        <v>407</v>
      </c>
      <c r="C11" s="1652"/>
      <c r="D11" s="1652"/>
      <c r="E11" s="1652"/>
      <c r="F11" s="1652"/>
      <c r="G11" s="1652"/>
      <c r="H11" s="1652"/>
      <c r="I11" s="1652"/>
      <c r="J11" s="1652"/>
      <c r="K11" s="1652"/>
      <c r="L11" s="1652"/>
      <c r="M11" s="1652"/>
      <c r="N11" s="1652"/>
      <c r="O11" s="1652"/>
      <c r="P11" s="1652"/>
      <c r="Q11" s="1652"/>
      <c r="R11" s="1652"/>
      <c r="S11" s="1653"/>
      <c r="T11" s="1695">
        <f>IF('Sources and Basis Breakdown'!F107=0,'Sources and Basis Breakdown'!E107,'Sources and Basis Breakdown'!F107)</f>
        <v>44587953</v>
      </c>
      <c r="U11" s="1696"/>
      <c r="V11" s="1696"/>
      <c r="W11" s="1696"/>
      <c r="X11" s="1696"/>
      <c r="Y11" s="1695">
        <f>IF(Y7=" ",0,IF('Sources and Basis Breakdown'!G107+'Sources and Basis Breakdown'!F107='Sources and Basis Breakdown'!E107,'Sources and Basis Breakdown'!G107,0))</f>
        <v>0</v>
      </c>
      <c r="Z11" s="1696"/>
      <c r="AA11" s="1696"/>
      <c r="AB11" s="1696"/>
      <c r="AC11" s="1696"/>
      <c r="AD11" s="1696">
        <f>IF('Sources and Basis Breakdown'!I107=0,'Sources and Basis Breakdown'!H107,'Sources and Basis Breakdown'!I107)</f>
        <v>0</v>
      </c>
      <c r="AE11" s="1696"/>
      <c r="AF11" s="1696"/>
      <c r="AG11" s="1696"/>
      <c r="AH11" s="1696"/>
      <c r="AI11" s="1696">
        <f>IF(Y7=" ",0,IF('Sources and Basis Breakdown'!I107+'Sources and Basis Breakdown'!J107='Sources and Basis Breakdown'!H107,'Sources and Basis Breakdown'!J107,0))</f>
        <v>0</v>
      </c>
      <c r="AJ11" s="1696"/>
      <c r="AK11" s="1696"/>
      <c r="AL11" s="1696"/>
      <c r="AM11" s="169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9" t="s">
        <v>543</v>
      </c>
      <c r="C12" s="1700"/>
      <c r="D12" s="1700"/>
      <c r="E12" s="1700"/>
      <c r="F12" s="1700"/>
      <c r="G12" s="1700"/>
      <c r="H12" s="1700"/>
      <c r="I12" s="1700"/>
      <c r="J12" s="1700"/>
      <c r="K12" s="1700"/>
      <c r="L12" s="1700"/>
      <c r="M12" s="1700"/>
      <c r="N12" s="1700"/>
      <c r="O12" s="1700"/>
      <c r="P12" s="1700"/>
      <c r="Q12" s="1700"/>
      <c r="R12" s="1700"/>
      <c r="S12" s="1701"/>
      <c r="T12" s="1675"/>
      <c r="U12" s="1676"/>
      <c r="V12" s="1676"/>
      <c r="W12" s="1676"/>
      <c r="X12" s="1677"/>
      <c r="Y12" s="1675"/>
      <c r="Z12" s="1676"/>
      <c r="AA12" s="1676"/>
      <c r="AB12" s="1676"/>
      <c r="AC12" s="1677"/>
      <c r="AD12" s="1675"/>
      <c r="AE12" s="1676"/>
      <c r="AF12" s="1676"/>
      <c r="AG12" s="1676"/>
      <c r="AH12" s="1677"/>
      <c r="AI12" s="1675"/>
      <c r="AJ12" s="1676"/>
      <c r="AK12" s="1676"/>
      <c r="AL12" s="1676"/>
      <c r="AM12" s="167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2" t="s">
        <v>544</v>
      </c>
      <c r="D13" s="1702"/>
      <c r="E13" s="1702"/>
      <c r="F13" s="1702"/>
      <c r="G13" s="1702"/>
      <c r="H13" s="1702"/>
      <c r="I13" s="1702"/>
      <c r="J13" s="1702"/>
      <c r="K13" s="1702"/>
      <c r="L13" s="1702"/>
      <c r="M13" s="1702"/>
      <c r="N13" s="1702"/>
      <c r="O13" s="1702"/>
      <c r="P13" s="1702"/>
      <c r="Q13" s="1702"/>
      <c r="R13" s="1702"/>
      <c r="S13" s="1703"/>
      <c r="T13" s="1691"/>
      <c r="U13" s="1692"/>
      <c r="V13" s="1692"/>
      <c r="W13" s="1692"/>
      <c r="X13" s="1692"/>
      <c r="Y13" s="1691"/>
      <c r="Z13" s="1692"/>
      <c r="AA13" s="1692"/>
      <c r="AB13" s="1692"/>
      <c r="AC13" s="1692"/>
      <c r="AD13" s="1692"/>
      <c r="AE13" s="1692"/>
      <c r="AF13" s="1692"/>
      <c r="AG13" s="1692"/>
      <c r="AH13" s="1692"/>
      <c r="AI13" s="1692"/>
      <c r="AJ13" s="1692"/>
      <c r="AK13" s="1692"/>
      <c r="AL13" s="1692"/>
      <c r="AM13" s="169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2" t="s">
        <v>545</v>
      </c>
      <c r="D14" s="1702"/>
      <c r="E14" s="1702"/>
      <c r="F14" s="1702"/>
      <c r="G14" s="1702"/>
      <c r="H14" s="1702"/>
      <c r="I14" s="1702"/>
      <c r="J14" s="1702"/>
      <c r="K14" s="1702"/>
      <c r="L14" s="1702"/>
      <c r="M14" s="1702"/>
      <c r="N14" s="1702"/>
      <c r="O14" s="1702"/>
      <c r="P14" s="1702"/>
      <c r="Q14" s="1702"/>
      <c r="R14" s="1702"/>
      <c r="S14" s="1703"/>
      <c r="T14" s="1689"/>
      <c r="U14" s="1690"/>
      <c r="V14" s="1690"/>
      <c r="W14" s="1690"/>
      <c r="X14" s="1690"/>
      <c r="Y14" s="1689"/>
      <c r="Z14" s="1690"/>
      <c r="AA14" s="1690"/>
      <c r="AB14" s="1690"/>
      <c r="AC14" s="1690"/>
      <c r="AD14" s="1690"/>
      <c r="AE14" s="1690"/>
      <c r="AF14" s="1690"/>
      <c r="AG14" s="1690"/>
      <c r="AH14" s="1690"/>
      <c r="AI14" s="1690"/>
      <c r="AJ14" s="1690"/>
      <c r="AK14" s="1690"/>
      <c r="AL14" s="1690"/>
      <c r="AM14" s="169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2" t="s">
        <v>546</v>
      </c>
      <c r="D15" s="1702"/>
      <c r="E15" s="1702"/>
      <c r="F15" s="1702"/>
      <c r="G15" s="1702"/>
      <c r="H15" s="1702"/>
      <c r="I15" s="1702"/>
      <c r="J15" s="1702"/>
      <c r="K15" s="1702"/>
      <c r="L15" s="1702"/>
      <c r="M15" s="1702"/>
      <c r="N15" s="1702"/>
      <c r="O15" s="1702"/>
      <c r="P15" s="1702"/>
      <c r="Q15" s="1702"/>
      <c r="R15" s="1702"/>
      <c r="S15" s="1703"/>
      <c r="T15" s="1689"/>
      <c r="U15" s="1690"/>
      <c r="V15" s="1690"/>
      <c r="W15" s="1690"/>
      <c r="X15" s="1690"/>
      <c r="Y15" s="1689"/>
      <c r="Z15" s="1690"/>
      <c r="AA15" s="1690"/>
      <c r="AB15" s="1690"/>
      <c r="AC15" s="1690"/>
      <c r="AD15" s="1690"/>
      <c r="AE15" s="1690"/>
      <c r="AF15" s="1690"/>
      <c r="AG15" s="1690"/>
      <c r="AH15" s="1690"/>
      <c r="AI15" s="1690"/>
      <c r="AJ15" s="1690"/>
      <c r="AK15" s="1690"/>
      <c r="AL15" s="1690"/>
      <c r="AM15" s="169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2" t="s">
        <v>887</v>
      </c>
      <c r="D16" s="1702"/>
      <c r="E16" s="1702"/>
      <c r="F16" s="1702"/>
      <c r="G16" s="1702"/>
      <c r="H16" s="1702"/>
      <c r="I16" s="1702"/>
      <c r="J16" s="1702"/>
      <c r="K16" s="1702"/>
      <c r="L16" s="1702"/>
      <c r="M16" s="1702"/>
      <c r="N16" s="1702"/>
      <c r="O16" s="1702"/>
      <c r="P16" s="1702"/>
      <c r="Q16" s="1702"/>
      <c r="R16" s="1702"/>
      <c r="S16" s="1703"/>
      <c r="T16" s="1689"/>
      <c r="U16" s="1690"/>
      <c r="V16" s="1690"/>
      <c r="W16" s="1690"/>
      <c r="X16" s="1690"/>
      <c r="Y16" s="1689"/>
      <c r="Z16" s="1690"/>
      <c r="AA16" s="1690"/>
      <c r="AB16" s="1690"/>
      <c r="AC16" s="1690"/>
      <c r="AD16" s="1690"/>
      <c r="AE16" s="1690"/>
      <c r="AF16" s="1690"/>
      <c r="AG16" s="1690"/>
      <c r="AH16" s="1690"/>
      <c r="AI16" s="1690"/>
      <c r="AJ16" s="1690"/>
      <c r="AK16" s="1690"/>
      <c r="AL16" s="1690"/>
      <c r="AM16" s="169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2" t="s">
        <v>547</v>
      </c>
      <c r="D17" s="1702"/>
      <c r="E17" s="1702"/>
      <c r="F17" s="1702"/>
      <c r="G17" s="1702"/>
      <c r="H17" s="1702"/>
      <c r="I17" s="1702"/>
      <c r="J17" s="1702"/>
      <c r="K17" s="1702"/>
      <c r="L17" s="1702"/>
      <c r="M17" s="1702"/>
      <c r="N17" s="1702"/>
      <c r="O17" s="1702"/>
      <c r="P17" s="1702"/>
      <c r="Q17" s="1702"/>
      <c r="R17" s="1702"/>
      <c r="S17" s="1703"/>
      <c r="T17" s="1689"/>
      <c r="U17" s="1690"/>
      <c r="V17" s="1690"/>
      <c r="W17" s="1690"/>
      <c r="X17" s="1690"/>
      <c r="Y17" s="1689"/>
      <c r="Z17" s="1690"/>
      <c r="AA17" s="1690"/>
      <c r="AB17" s="1690"/>
      <c r="AC17" s="1690"/>
      <c r="AD17" s="1690"/>
      <c r="AE17" s="1690"/>
      <c r="AF17" s="1690"/>
      <c r="AG17" s="1690"/>
      <c r="AH17" s="1690"/>
      <c r="AI17" s="1690"/>
      <c r="AJ17" s="1690"/>
      <c r="AK17" s="1690"/>
      <c r="AL17" s="1690"/>
      <c r="AM17" s="169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7" t="s">
        <v>1068</v>
      </c>
      <c r="D18" s="1697"/>
      <c r="E18" s="1697"/>
      <c r="F18" s="1697"/>
      <c r="G18" s="1697"/>
      <c r="H18" s="1697"/>
      <c r="I18" s="1697"/>
      <c r="J18" s="1697"/>
      <c r="K18" s="1697"/>
      <c r="L18" s="1697"/>
      <c r="M18" s="1697"/>
      <c r="N18" s="1697"/>
      <c r="O18" s="1697"/>
      <c r="P18" s="1697"/>
      <c r="Q18" s="1697"/>
      <c r="R18" s="1697"/>
      <c r="S18" s="1698"/>
      <c r="T18" s="1689"/>
      <c r="U18" s="1690"/>
      <c r="V18" s="1690"/>
      <c r="W18" s="1690"/>
      <c r="X18" s="1690"/>
      <c r="Y18" s="1689"/>
      <c r="Z18" s="1690"/>
      <c r="AA18" s="1690"/>
      <c r="AB18" s="1690"/>
      <c r="AC18" s="1690"/>
      <c r="AD18" s="1690"/>
      <c r="AE18" s="1690"/>
      <c r="AF18" s="1690"/>
      <c r="AG18" s="1690"/>
      <c r="AH18" s="1690"/>
      <c r="AI18" s="1690"/>
      <c r="AJ18" s="1690"/>
      <c r="AK18" s="1690"/>
      <c r="AL18" s="1690"/>
      <c r="AM18" s="169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7" t="s">
        <v>1068</v>
      </c>
      <c r="D19" s="1697"/>
      <c r="E19" s="1697"/>
      <c r="F19" s="1697"/>
      <c r="G19" s="1697"/>
      <c r="H19" s="1697"/>
      <c r="I19" s="1697"/>
      <c r="J19" s="1697"/>
      <c r="K19" s="1697"/>
      <c r="L19" s="1697"/>
      <c r="M19" s="1697"/>
      <c r="N19" s="1697"/>
      <c r="O19" s="1697"/>
      <c r="P19" s="1697"/>
      <c r="Q19" s="1697"/>
      <c r="R19" s="1697"/>
      <c r="S19" s="1698"/>
      <c r="T19" s="1689"/>
      <c r="U19" s="1690"/>
      <c r="V19" s="1690"/>
      <c r="W19" s="1690"/>
      <c r="X19" s="1690"/>
      <c r="Y19" s="1689"/>
      <c r="Z19" s="1690"/>
      <c r="AA19" s="1690"/>
      <c r="AB19" s="1690"/>
      <c r="AC19" s="1690"/>
      <c r="AD19" s="1690"/>
      <c r="AE19" s="1690"/>
      <c r="AF19" s="1690"/>
      <c r="AG19" s="1690"/>
      <c r="AH19" s="1690"/>
      <c r="AI19" s="1690"/>
      <c r="AJ19" s="1690"/>
      <c r="AK19" s="1690"/>
      <c r="AL19" s="1690"/>
      <c r="AM19" s="169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1" t="s">
        <v>548</v>
      </c>
      <c r="C20" s="1652"/>
      <c r="D20" s="1652"/>
      <c r="E20" s="1652"/>
      <c r="F20" s="1652"/>
      <c r="G20" s="1652"/>
      <c r="H20" s="1652"/>
      <c r="I20" s="1652"/>
      <c r="J20" s="1652"/>
      <c r="K20" s="1652"/>
      <c r="L20" s="1652"/>
      <c r="M20" s="1652"/>
      <c r="N20" s="1652"/>
      <c r="O20" s="1652"/>
      <c r="P20" s="1652"/>
      <c r="Q20" s="1652"/>
      <c r="R20" s="1652"/>
      <c r="S20" s="1653"/>
      <c r="T20" s="1669">
        <f>SUM(T13:X19)</f>
        <v>0</v>
      </c>
      <c r="U20" s="1672"/>
      <c r="V20" s="1672"/>
      <c r="W20" s="1672"/>
      <c r="X20" s="1672"/>
      <c r="Y20" s="1669">
        <f>SUM(Y13:AC19)</f>
        <v>0</v>
      </c>
      <c r="Z20" s="1672"/>
      <c r="AA20" s="1672"/>
      <c r="AB20" s="1672"/>
      <c r="AC20" s="1672"/>
      <c r="AD20" s="1667">
        <f>SUM(AD13:AH19)</f>
        <v>0</v>
      </c>
      <c r="AE20" s="1668"/>
      <c r="AF20" s="1668"/>
      <c r="AG20" s="1668"/>
      <c r="AH20" s="1669"/>
      <c r="AI20" s="1667">
        <f>SUM(AI13:AM19)</f>
        <v>0</v>
      </c>
      <c r="AJ20" s="1668"/>
      <c r="AK20" s="1668"/>
      <c r="AL20" s="1668"/>
      <c r="AM20" s="166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1" t="s">
        <v>1549</v>
      </c>
      <c r="C21" s="1652"/>
      <c r="D21" s="1652"/>
      <c r="E21" s="1652"/>
      <c r="F21" s="1652"/>
      <c r="G21" s="1652"/>
      <c r="H21" s="1652"/>
      <c r="I21" s="1652"/>
      <c r="J21" s="1652"/>
      <c r="K21" s="1652"/>
      <c r="L21" s="1652"/>
      <c r="M21" s="1652"/>
      <c r="N21" s="1652"/>
      <c r="O21" s="1652"/>
      <c r="P21" s="1652"/>
      <c r="Q21" s="1652"/>
      <c r="R21" s="1652"/>
      <c r="S21" s="1653"/>
      <c r="T21" s="1689"/>
      <c r="U21" s="1690"/>
      <c r="V21" s="1690"/>
      <c r="W21" s="1690"/>
      <c r="X21" s="1690"/>
      <c r="Y21" s="1689"/>
      <c r="Z21" s="1690"/>
      <c r="AA21" s="1690"/>
      <c r="AB21" s="1690"/>
      <c r="AC21" s="1690"/>
      <c r="AD21" s="1675"/>
      <c r="AE21" s="1676"/>
      <c r="AF21" s="1676"/>
      <c r="AG21" s="1676"/>
      <c r="AH21" s="1677"/>
      <c r="AI21" s="1675"/>
      <c r="AJ21" s="1676"/>
      <c r="AK21" s="1676"/>
      <c r="AL21" s="1676"/>
      <c r="AM21" s="167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1" t="s">
        <v>549</v>
      </c>
      <c r="C22" s="1652"/>
      <c r="D22" s="1652"/>
      <c r="E22" s="1652"/>
      <c r="F22" s="1652"/>
      <c r="G22" s="1652"/>
      <c r="H22" s="1652"/>
      <c r="I22" s="1652"/>
      <c r="J22" s="1652"/>
      <c r="K22" s="1652"/>
      <c r="L22" s="1652"/>
      <c r="M22" s="1652"/>
      <c r="N22" s="1652"/>
      <c r="O22" s="1652"/>
      <c r="P22" s="1652"/>
      <c r="Q22" s="1652"/>
      <c r="R22" s="1652"/>
      <c r="S22" s="1653"/>
      <c r="T22" s="1685">
        <f>(T20+T21)*-1</f>
        <v>0</v>
      </c>
      <c r="U22" s="1686"/>
      <c r="V22" s="1686"/>
      <c r="W22" s="1686"/>
      <c r="X22" s="1686"/>
      <c r="Y22" s="1685">
        <f>(Y20+Y21)*-1</f>
        <v>0</v>
      </c>
      <c r="Z22" s="1686"/>
      <c r="AA22" s="1686"/>
      <c r="AB22" s="1686"/>
      <c r="AC22" s="1686"/>
      <c r="AD22" s="1687">
        <f>(AD20)*-1</f>
        <v>0</v>
      </c>
      <c r="AE22" s="1688"/>
      <c r="AF22" s="1688"/>
      <c r="AG22" s="1688"/>
      <c r="AH22" s="1685"/>
      <c r="AI22" s="1687">
        <f>(AI20)*-1</f>
        <v>0</v>
      </c>
      <c r="AJ22" s="1688"/>
      <c r="AK22" s="1688"/>
      <c r="AL22" s="1688"/>
      <c r="AM22" s="168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6" t="s">
        <v>550</v>
      </c>
      <c r="C23" s="1707"/>
      <c r="D23" s="1707"/>
      <c r="E23" s="1707"/>
      <c r="F23" s="1707"/>
      <c r="G23" s="1707"/>
      <c r="H23" s="1707"/>
      <c r="I23" s="1707"/>
      <c r="J23" s="1707"/>
      <c r="K23" s="1707"/>
      <c r="L23" s="1707"/>
      <c r="M23" s="1707"/>
      <c r="N23" s="1707"/>
      <c r="O23" s="1707"/>
      <c r="P23" s="1707"/>
      <c r="Q23" s="1707"/>
      <c r="R23" s="1707"/>
      <c r="S23" s="1708"/>
      <c r="T23" s="1669">
        <f>T11+T22</f>
        <v>44587953</v>
      </c>
      <c r="U23" s="1672"/>
      <c r="V23" s="1672"/>
      <c r="W23" s="1672"/>
      <c r="X23" s="1672"/>
      <c r="Y23" s="1669">
        <f>Y11+Y22</f>
        <v>0</v>
      </c>
      <c r="Z23" s="1672"/>
      <c r="AA23" s="1672"/>
      <c r="AB23" s="1672"/>
      <c r="AC23" s="1672"/>
      <c r="AD23" s="1669">
        <f>AD11+AD22</f>
        <v>0</v>
      </c>
      <c r="AE23" s="1672"/>
      <c r="AF23" s="1672"/>
      <c r="AG23" s="1672"/>
      <c r="AH23" s="1672"/>
      <c r="AI23" s="1669">
        <f>AI11+AI22</f>
        <v>0</v>
      </c>
      <c r="AJ23" s="1672"/>
      <c r="AK23" s="1672"/>
      <c r="AL23" s="1672"/>
      <c r="AM23" s="167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1" t="s">
        <v>1069</v>
      </c>
      <c r="C24" s="1652"/>
      <c r="D24" s="1652"/>
      <c r="E24" s="1652"/>
      <c r="F24" s="1652"/>
      <c r="G24" s="1652"/>
      <c r="H24" s="1652"/>
      <c r="I24" s="1652"/>
      <c r="J24" s="1652"/>
      <c r="K24" s="1652"/>
      <c r="L24" s="1652"/>
      <c r="M24" s="1652"/>
      <c r="N24" s="1652"/>
      <c r="O24" s="1652"/>
      <c r="P24" s="1652"/>
      <c r="Q24" s="1652"/>
      <c r="R24" s="1652"/>
      <c r="S24" s="1653"/>
      <c r="T24" s="1667">
        <f>Application!AD1004</f>
        <v>93507582.400000006</v>
      </c>
      <c r="U24" s="1668"/>
      <c r="V24" s="1668"/>
      <c r="W24" s="1668"/>
      <c r="X24" s="1668"/>
      <c r="Y24" s="1668"/>
      <c r="Z24" s="1668"/>
      <c r="AA24" s="1668"/>
      <c r="AB24" s="1668"/>
      <c r="AC24" s="1668"/>
      <c r="AD24" s="1668"/>
      <c r="AE24" s="1668"/>
      <c r="AF24" s="1668"/>
      <c r="AG24" s="1668"/>
      <c r="AH24" s="1668"/>
      <c r="AI24" s="1668"/>
      <c r="AJ24" s="1668"/>
      <c r="AK24" s="1668"/>
      <c r="AL24" s="1668"/>
      <c r="AM24" s="166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0" t="s">
        <v>1550</v>
      </c>
      <c r="C25" s="1711"/>
      <c r="D25" s="1711"/>
      <c r="E25" s="1711"/>
      <c r="F25" s="1711"/>
      <c r="G25" s="1711"/>
      <c r="H25" s="1711"/>
      <c r="I25" s="1711"/>
      <c r="J25" s="1711"/>
      <c r="K25" s="1711"/>
      <c r="L25" s="1711"/>
      <c r="M25" s="1711"/>
      <c r="N25" s="1711"/>
      <c r="O25" s="1711"/>
      <c r="P25" s="1711"/>
      <c r="Q25" s="1711"/>
      <c r="R25" s="1711"/>
      <c r="S25" s="1712"/>
      <c r="T25" s="1680">
        <f>IF(OR(Application!T196="yes",Application!T195="yes"),1.3,1)</f>
        <v>1.3</v>
      </c>
      <c r="U25" s="1681"/>
      <c r="V25" s="1681"/>
      <c r="W25" s="1681"/>
      <c r="X25" s="1681"/>
      <c r="Y25" s="1680">
        <v>1</v>
      </c>
      <c r="Z25" s="1681"/>
      <c r="AA25" s="1681"/>
      <c r="AB25" s="1681"/>
      <c r="AC25" s="1681"/>
      <c r="AD25" s="1680">
        <v>1</v>
      </c>
      <c r="AE25" s="1681"/>
      <c r="AF25" s="1681"/>
      <c r="AG25" s="1681"/>
      <c r="AH25" s="1682"/>
      <c r="AI25" s="1680">
        <v>1</v>
      </c>
      <c r="AJ25" s="1681"/>
      <c r="AK25" s="1681"/>
      <c r="AL25" s="1681"/>
      <c r="AM25" s="168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1" t="s">
        <v>551</v>
      </c>
      <c r="C26" s="1652"/>
      <c r="D26" s="1652"/>
      <c r="E26" s="1652"/>
      <c r="F26" s="1652"/>
      <c r="G26" s="1652"/>
      <c r="H26" s="1652"/>
      <c r="I26" s="1652"/>
      <c r="J26" s="1652"/>
      <c r="K26" s="1652"/>
      <c r="L26" s="1652"/>
      <c r="M26" s="1652"/>
      <c r="N26" s="1652"/>
      <c r="O26" s="1652"/>
      <c r="P26" s="1652"/>
      <c r="Q26" s="1652"/>
      <c r="R26" s="1652"/>
      <c r="S26" s="1653"/>
      <c r="T26" s="1683">
        <f>T23*T25</f>
        <v>57964338.899999999</v>
      </c>
      <c r="U26" s="1684"/>
      <c r="V26" s="1684"/>
      <c r="W26" s="1684"/>
      <c r="X26" s="1684"/>
      <c r="Y26" s="1683">
        <f>Y23*Y25</f>
        <v>0</v>
      </c>
      <c r="Z26" s="1684"/>
      <c r="AA26" s="1684"/>
      <c r="AB26" s="1684"/>
      <c r="AC26" s="1684"/>
      <c r="AD26" s="1683">
        <f>AD23*AD25</f>
        <v>0</v>
      </c>
      <c r="AE26" s="1684"/>
      <c r="AF26" s="1684"/>
      <c r="AG26" s="1684"/>
      <c r="AH26" s="1684"/>
      <c r="AI26" s="1683">
        <f>AI23*AI25</f>
        <v>0</v>
      </c>
      <c r="AJ26" s="1684"/>
      <c r="AK26" s="1684"/>
      <c r="AL26" s="1684"/>
      <c r="AM26" s="168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3" t="s">
        <v>461</v>
      </c>
      <c r="C27" s="1714"/>
      <c r="D27" s="1714"/>
      <c r="E27" s="1714"/>
      <c r="F27" s="1714"/>
      <c r="G27" s="1714"/>
      <c r="H27" s="1714"/>
      <c r="I27" s="1714"/>
      <c r="J27" s="1714"/>
      <c r="K27" s="1714"/>
      <c r="L27" s="1714"/>
      <c r="M27" s="1714"/>
      <c r="N27" s="1714"/>
      <c r="O27" s="1714"/>
      <c r="P27" s="1714"/>
      <c r="Q27" s="1714"/>
      <c r="R27" s="1714"/>
      <c r="S27" s="1715"/>
      <c r="T27" s="1678">
        <f>Application!$AG$432</f>
        <v>1</v>
      </c>
      <c r="U27" s="1679"/>
      <c r="V27" s="1679"/>
      <c r="W27" s="1679"/>
      <c r="X27" s="1679"/>
      <c r="Y27" s="1678">
        <f>Application!$AG$432</f>
        <v>1</v>
      </c>
      <c r="Z27" s="1679"/>
      <c r="AA27" s="1679"/>
      <c r="AB27" s="1679"/>
      <c r="AC27" s="1679"/>
      <c r="AD27" s="1678">
        <f>Application!$AG$432</f>
        <v>1</v>
      </c>
      <c r="AE27" s="1679"/>
      <c r="AF27" s="1679"/>
      <c r="AG27" s="1679"/>
      <c r="AH27" s="1679"/>
      <c r="AI27" s="1678">
        <f>Application!$AG$432</f>
        <v>1</v>
      </c>
      <c r="AJ27" s="1679"/>
      <c r="AK27" s="1679"/>
      <c r="AL27" s="1679"/>
      <c r="AM27" s="167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1" t="s">
        <v>552</v>
      </c>
      <c r="C28" s="1652"/>
      <c r="D28" s="1652"/>
      <c r="E28" s="1652"/>
      <c r="F28" s="1652"/>
      <c r="G28" s="1652"/>
      <c r="H28" s="1652"/>
      <c r="I28" s="1652"/>
      <c r="J28" s="1652"/>
      <c r="K28" s="1652"/>
      <c r="L28" s="1652"/>
      <c r="M28" s="1652"/>
      <c r="N28" s="1652"/>
      <c r="O28" s="1652"/>
      <c r="P28" s="1652"/>
      <c r="Q28" s="1652"/>
      <c r="R28" s="1652"/>
      <c r="S28" s="1653"/>
      <c r="T28" s="1649">
        <f>IF(ISERROR((T26*T27)),0,(T26*T27))</f>
        <v>57964338.899999999</v>
      </c>
      <c r="U28" s="1650"/>
      <c r="V28" s="1650"/>
      <c r="W28" s="1650"/>
      <c r="X28" s="1650"/>
      <c r="Y28" s="1649">
        <f>IF(ISERROR((Y26*Y27)),0,(Y26*Y27))</f>
        <v>0</v>
      </c>
      <c r="Z28" s="1650"/>
      <c r="AA28" s="1650"/>
      <c r="AB28" s="1650"/>
      <c r="AC28" s="1650"/>
      <c r="AD28" s="1649">
        <f>IF(ISERROR((AD26*AD27)),0,(AD26*AD27))</f>
        <v>0</v>
      </c>
      <c r="AE28" s="1650"/>
      <c r="AF28" s="1650"/>
      <c r="AG28" s="1650"/>
      <c r="AH28" s="1650"/>
      <c r="AI28" s="1649">
        <f>IF(ISERROR((AI26*AI27)),0,(AI26*AI27))</f>
        <v>0</v>
      </c>
      <c r="AJ28" s="1650"/>
      <c r="AK28" s="1650"/>
      <c r="AL28" s="1650"/>
      <c r="AM28" s="165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1" t="s">
        <v>569</v>
      </c>
      <c r="C29" s="1652"/>
      <c r="D29" s="1652"/>
      <c r="E29" s="1652"/>
      <c r="F29" s="1652"/>
      <c r="G29" s="1652"/>
      <c r="H29" s="1652"/>
      <c r="I29" s="1652"/>
      <c r="J29" s="1652"/>
      <c r="K29" s="1652"/>
      <c r="L29" s="1652"/>
      <c r="M29" s="1652"/>
      <c r="N29" s="1652"/>
      <c r="O29" s="1652"/>
      <c r="P29" s="1652"/>
      <c r="Q29" s="1652"/>
      <c r="R29" s="1652"/>
      <c r="S29" s="1653"/>
      <c r="T29" s="1667">
        <f>T28+Y28+AD28+AI28</f>
        <v>57964338.899999999</v>
      </c>
      <c r="U29" s="1668"/>
      <c r="V29" s="1668"/>
      <c r="W29" s="1668"/>
      <c r="X29" s="1668"/>
      <c r="Y29" s="1668"/>
      <c r="Z29" s="1668"/>
      <c r="AA29" s="1668"/>
      <c r="AB29" s="1668"/>
      <c r="AC29" s="1668"/>
      <c r="AD29" s="1668"/>
      <c r="AE29" s="1668"/>
      <c r="AF29" s="1668"/>
      <c r="AG29" s="1668"/>
      <c r="AH29" s="1668"/>
      <c r="AI29" s="1668"/>
      <c r="AJ29" s="1668"/>
      <c r="AK29" s="1668"/>
      <c r="AL29" s="1668"/>
      <c r="AM29" s="166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4" t="s">
        <v>1554</v>
      </c>
      <c r="C30" s="1674"/>
      <c r="D30" s="1674"/>
      <c r="E30" s="1674"/>
      <c r="F30" s="1674"/>
      <c r="G30" s="1674"/>
      <c r="H30" s="1674"/>
      <c r="I30" s="1674"/>
      <c r="J30" s="1674"/>
      <c r="K30" s="1674"/>
      <c r="L30" s="1674"/>
      <c r="M30" s="1674"/>
      <c r="N30" s="1674"/>
      <c r="O30" s="1674"/>
      <c r="P30" s="1674"/>
      <c r="Q30" s="1674"/>
      <c r="R30" s="1674"/>
      <c r="S30" s="1674"/>
      <c r="T30" s="1674"/>
      <c r="U30" s="1674"/>
      <c r="V30" s="1674"/>
      <c r="W30" s="1674"/>
      <c r="X30" s="1674"/>
      <c r="Y30" s="1674"/>
      <c r="Z30" s="1674"/>
      <c r="AA30" s="1674"/>
      <c r="AB30" s="1674"/>
      <c r="AC30" s="1674"/>
      <c r="AD30" s="1674"/>
      <c r="AE30" s="1674"/>
      <c r="AF30" s="1674"/>
      <c r="AG30" s="1674"/>
      <c r="AH30" s="1674"/>
      <c r="AI30" s="1674"/>
      <c r="AJ30" s="1674"/>
      <c r="AK30" s="1674"/>
      <c r="AL30" s="1674"/>
      <c r="AM30" s="167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4" t="s">
        <v>1551</v>
      </c>
      <c r="C31" s="1674"/>
      <c r="D31" s="1674"/>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1674"/>
      <c r="AI31" s="1674"/>
      <c r="AJ31" s="1674"/>
      <c r="AK31" s="1674"/>
      <c r="AL31" s="1674"/>
      <c r="AM31" s="167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0" t="s">
        <v>1384</v>
      </c>
      <c r="Z35" s="1670"/>
      <c r="AA35" s="1670"/>
      <c r="AB35" s="1670"/>
      <c r="AC35" s="1670"/>
      <c r="AD35" s="1671" t="s">
        <v>394</v>
      </c>
      <c r="AE35" s="1671"/>
      <c r="AF35" s="1671"/>
      <c r="AG35" s="1671"/>
      <c r="AH35" s="167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0"/>
      <c r="Z36" s="1670"/>
      <c r="AA36" s="1670"/>
      <c r="AB36" s="1670"/>
      <c r="AC36" s="1670"/>
      <c r="AD36" s="1671"/>
      <c r="AE36" s="1671"/>
      <c r="AF36" s="1671"/>
      <c r="AG36" s="1671"/>
      <c r="AH36" s="167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0"/>
      <c r="Z37" s="1670"/>
      <c r="AA37" s="1670"/>
      <c r="AB37" s="1670"/>
      <c r="AC37" s="1670"/>
      <c r="AD37" s="1671"/>
      <c r="AE37" s="1671"/>
      <c r="AF37" s="1671"/>
      <c r="AG37" s="1671"/>
      <c r="AH37" s="167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1" t="s">
        <v>552</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3"/>
      <c r="Y38" s="1672">
        <f>IF(T24&gt;=(T23+Y23+AD23+AI23),T28+Y28,0)</f>
        <v>57964338.899999999</v>
      </c>
      <c r="Z38" s="1672"/>
      <c r="AA38" s="1672"/>
      <c r="AB38" s="1672"/>
      <c r="AC38" s="1672"/>
      <c r="AD38" s="1672">
        <f>IF(T24&gt;=(T23+Y23+AD23+AI23),AD28+AI28,0)</f>
        <v>0</v>
      </c>
      <c r="AE38" s="1672"/>
      <c r="AF38" s="1672"/>
      <c r="AG38" s="1672"/>
      <c r="AH38" s="167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1" t="s">
        <v>1552</v>
      </c>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3"/>
      <c r="Y39" s="1673">
        <v>3.2399999999999998E-2</v>
      </c>
      <c r="Z39" s="1673"/>
      <c r="AA39" s="1673"/>
      <c r="AB39" s="1673"/>
      <c r="AC39" s="1673"/>
      <c r="AD39" s="1673">
        <v>3.2399999999999998E-2</v>
      </c>
      <c r="AE39" s="1673"/>
      <c r="AF39" s="1673"/>
      <c r="AG39" s="1673"/>
      <c r="AH39" s="167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1" t="s">
        <v>692</v>
      </c>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1672">
        <f>ROUND(Y38*Y39,0)</f>
        <v>1878045</v>
      </c>
      <c r="Z40" s="1672"/>
      <c r="AA40" s="1672"/>
      <c r="AB40" s="1672"/>
      <c r="AC40" s="1672"/>
      <c r="AD40" s="1669">
        <f>ROUND(AD38*AD39,0)</f>
        <v>0</v>
      </c>
      <c r="AE40" s="1672"/>
      <c r="AF40" s="1672"/>
      <c r="AG40" s="1672"/>
      <c r="AH40" s="167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1" t="s">
        <v>693</v>
      </c>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3"/>
      <c r="Y41" s="1716">
        <f>Y40+AD40</f>
        <v>1878045</v>
      </c>
      <c r="Z41" s="1717"/>
      <c r="AA41" s="1717"/>
      <c r="AB41" s="1717"/>
      <c r="AC41" s="1717"/>
      <c r="AD41" s="1717"/>
      <c r="AE41" s="1717"/>
      <c r="AF41" s="1717"/>
      <c r="AG41" s="1717"/>
      <c r="AH41" s="171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9" t="s">
        <v>1553</v>
      </c>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1709"/>
      <c r="AB42" s="1709"/>
      <c r="AC42" s="1709"/>
      <c r="AD42" s="1709"/>
      <c r="AE42" s="1709"/>
      <c r="AF42" s="1709"/>
      <c r="AG42" s="1709"/>
      <c r="AH42" s="170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6" t="s">
        <v>1584</v>
      </c>
      <c r="B44" s="1666"/>
      <c r="C44" s="1666"/>
      <c r="D44" s="1666"/>
      <c r="E44" s="1666"/>
      <c r="F44" s="1666"/>
      <c r="G44" s="1666"/>
      <c r="H44" s="1666"/>
      <c r="I44" s="1666"/>
      <c r="J44" s="1666"/>
      <c r="K44" s="1666"/>
      <c r="L44" s="1666"/>
      <c r="M44" s="1666"/>
      <c r="N44" s="1666"/>
      <c r="O44" s="1666"/>
      <c r="P44" s="1666"/>
      <c r="Q44" s="1666"/>
      <c r="R44" s="1666"/>
      <c r="S44" s="1666"/>
      <c r="T44" s="1666"/>
      <c r="U44" s="1666"/>
      <c r="V44" s="1666"/>
      <c r="W44" s="1666"/>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66"/>
      <c r="AS44" s="1666"/>
      <c r="AT44" s="1666"/>
      <c r="AU44" s="1666"/>
      <c r="AV44" s="1666"/>
      <c r="AW44" s="1666"/>
      <c r="AX44" s="1666"/>
      <c r="AY44" s="1666"/>
      <c r="AZ44" s="1666"/>
      <c r="BA44" s="1666"/>
      <c r="BB44" s="1666"/>
      <c r="BC44" s="1666"/>
      <c r="BD44" s="1666"/>
      <c r="BE44" s="1666"/>
      <c r="BF44" s="1666"/>
      <c r="BG44" s="1666"/>
      <c r="BH44" s="1666"/>
      <c r="BI44" s="1666"/>
      <c r="BJ44" s="1666"/>
      <c r="BK44" s="1666"/>
      <c r="BL44" s="1666"/>
      <c r="BM44" s="1666"/>
      <c r="BN44" s="1666"/>
      <c r="BO44" s="1666"/>
      <c r="BP44" s="1666"/>
      <c r="BQ44" s="1666"/>
      <c r="BR44" s="1666"/>
      <c r="BS44" s="1666"/>
      <c r="BT44" s="1666"/>
      <c r="BU44" s="1666"/>
      <c r="BV44" s="1666"/>
      <c r="BW44" s="1666"/>
      <c r="BX44" s="166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0">
        <f>'Sources and Uses Budget'!B105-'Sources and Uses Budget'!B15</f>
        <v>47591615</v>
      </c>
      <c r="AC47" s="1661"/>
      <c r="AD47" s="1661"/>
      <c r="AE47" s="1661"/>
      <c r="AF47" s="166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0">
        <f>Application!AG630-MIN('Sources and Uses Budget'!B15,Application!AG390)</f>
        <v>32193845</v>
      </c>
      <c r="AC48" s="1661"/>
      <c r="AD48" s="1661"/>
      <c r="AE48" s="1661"/>
      <c r="AF48" s="166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0">
        <f>AB47-AB48</f>
        <v>15397770</v>
      </c>
      <c r="AC49" s="1661"/>
      <c r="AD49" s="1661"/>
      <c r="AE49" s="1661"/>
      <c r="AF49" s="166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5">
        <v>0.85</v>
      </c>
      <c r="AC50" s="1646"/>
      <c r="AD50" s="1646"/>
      <c r="AE50" s="1646"/>
      <c r="AF50" s="164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9" t="s">
        <v>1180</v>
      </c>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0">
        <f>ROUND(IF(ISERROR((AB49/AB50)),0,(AB49/AB50)),0)</f>
        <v>18115024</v>
      </c>
      <c r="AC54" s="1661"/>
      <c r="AD54" s="1661"/>
      <c r="AE54" s="1661"/>
      <c r="AF54" s="166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0">
        <f>(AB54/10)</f>
        <v>1811502.4</v>
      </c>
      <c r="AC55" s="1661"/>
      <c r="AD55" s="1661"/>
      <c r="AE55" s="1661"/>
      <c r="AF55" s="166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3">
        <f>(IF((Y41&lt;AB55),Y41,AB55))</f>
        <v>1811502.4</v>
      </c>
      <c r="AC56" s="1664"/>
      <c r="AD56" s="1664"/>
      <c r="AE56" s="1664"/>
      <c r="AF56" s="166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0">
        <f>ROUND((10*AB56*AB50),0)</f>
        <v>15397770</v>
      </c>
      <c r="AC57" s="1661"/>
      <c r="AD57" s="1661"/>
      <c r="AE57" s="1661"/>
      <c r="AF57" s="166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1">
        <f>AB49-AB57</f>
        <v>0</v>
      </c>
      <c r="AC59" s="1641"/>
      <c r="AD59" s="1641"/>
      <c r="AE59" s="1641"/>
      <c r="AF59" s="164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6" t="str">
        <f>IF(Application!AF204="yes","Farmworker State Credit", "$500M State Credit" )</f>
        <v>$500M State Credit</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BB61" s="1666"/>
      <c r="BC61" s="1666"/>
      <c r="BD61" s="1666"/>
      <c r="BE61" s="1666"/>
      <c r="BF61" s="1666"/>
      <c r="BG61" s="1666"/>
      <c r="BH61" s="1666"/>
      <c r="BI61" s="1666"/>
      <c r="BJ61" s="1666"/>
      <c r="BK61" s="1666"/>
      <c r="BL61" s="1666"/>
      <c r="BM61" s="1666"/>
      <c r="BN61" s="1666"/>
      <c r="BO61" s="1666"/>
      <c r="BP61" s="1666"/>
      <c r="BQ61" s="1666"/>
      <c r="BR61" s="1666"/>
      <c r="BS61" s="1666"/>
      <c r="BT61" s="1666"/>
      <c r="BU61" s="1666"/>
      <c r="BV61" s="1666"/>
      <c r="BW61" s="1666"/>
      <c r="BX61" s="166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54" t="s">
        <v>1099</v>
      </c>
      <c r="Z63" s="1654"/>
      <c r="AA63" s="1654"/>
      <c r="AB63" s="1654"/>
      <c r="AC63" s="1654"/>
      <c r="AD63" s="1654" t="s">
        <v>394</v>
      </c>
      <c r="AE63" s="1654"/>
      <c r="AF63" s="1654"/>
      <c r="AG63" s="1654"/>
      <c r="AH63" s="165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55">
        <f>IF(OR(Application!M350="yes",Application!AF204="yes"),(T23*T27)+Y28,0)</f>
        <v>44587953</v>
      </c>
      <c r="Z64" s="1656"/>
      <c r="AA64" s="1656"/>
      <c r="AB64" s="1656"/>
      <c r="AC64" s="1657"/>
      <c r="AD64" s="1655">
        <f>IF(AND(Application!AF204="yes",Application!M353="yes"),AD28+AI28,0)</f>
        <v>0</v>
      </c>
      <c r="AE64" s="1656"/>
      <c r="AF64" s="1656"/>
      <c r="AG64" s="1656"/>
      <c r="AH64" s="165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8" t="s">
        <v>1534</v>
      </c>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8"/>
      <c r="F66" s="1658"/>
      <c r="G66" s="1658"/>
      <c r="H66" s="1658"/>
      <c r="I66" s="1658"/>
      <c r="J66" s="1658"/>
      <c r="K66" s="1658"/>
      <c r="L66" s="1658"/>
      <c r="M66" s="1658"/>
      <c r="N66" s="1658"/>
      <c r="O66" s="1658"/>
      <c r="P66" s="1658"/>
      <c r="Q66" s="1658"/>
      <c r="R66" s="1658"/>
      <c r="S66" s="1658"/>
      <c r="T66" s="1658"/>
      <c r="U66" s="1658"/>
      <c r="V66" s="1658"/>
      <c r="W66" s="1658"/>
      <c r="X66" s="1658"/>
      <c r="Y66" s="1658"/>
      <c r="Z66" s="1658"/>
      <c r="AA66" s="1658"/>
      <c r="AB66" s="1658"/>
      <c r="AC66" s="1658"/>
      <c r="AD66" s="1658"/>
      <c r="AE66" s="1658"/>
      <c r="AF66" s="1658"/>
      <c r="AG66" s="1658"/>
      <c r="AH66" s="165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2">
        <f>IF(Application!AF204="yes",0.75,0.3)</f>
        <v>0.3</v>
      </c>
      <c r="Z67" s="1642"/>
      <c r="AA67" s="1642"/>
      <c r="AB67" s="1642"/>
      <c r="AC67" s="1642"/>
      <c r="AD67" s="1642">
        <f>IF(Application!AF204="yes",0.75,0.3)</f>
        <v>0.3</v>
      </c>
      <c r="AE67" s="1642"/>
      <c r="AF67" s="1642"/>
      <c r="AG67" s="1642"/>
      <c r="AH67" s="164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43">
        <f>ROUND(Y64*Y67,0)</f>
        <v>13376386</v>
      </c>
      <c r="Z68" s="1644"/>
      <c r="AA68" s="1644"/>
      <c r="AB68" s="1644"/>
      <c r="AC68" s="1644"/>
      <c r="AD68" s="1643" t="str">
        <f>IF(Application!D210="At-Risk",AD64*AD67,"$0")</f>
        <v>$0</v>
      </c>
      <c r="AE68" s="1644"/>
      <c r="AF68" s="1644"/>
      <c r="AG68" s="1644"/>
      <c r="AH68" s="164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5"/>
      <c r="AC71" s="1646"/>
      <c r="AD71" s="1646"/>
      <c r="AE71" s="1646"/>
      <c r="AF71" s="164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8" t="s">
        <v>1537</v>
      </c>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164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164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6">
        <f>ROUND(IF(ISERROR((AB59/AB71)),0,(AB59/AB71)),0)</f>
        <v>0</v>
      </c>
      <c r="AC76" s="1636"/>
      <c r="AD76" s="1636"/>
      <c r="AE76" s="1636"/>
      <c r="AF76" s="163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7">
        <f>IF((Y68+AD68&lt;AB76),Y68+AD68,AB76)</f>
        <v>0</v>
      </c>
      <c r="AC77" s="1638"/>
      <c r="AD77" s="1638"/>
      <c r="AE77" s="1638"/>
      <c r="AF77" s="163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0">
        <f>AB77*AB71</f>
        <v>0</v>
      </c>
      <c r="AC78" s="1640"/>
      <c r="AD78" s="1640"/>
      <c r="AE78" s="1640"/>
      <c r="AF78" s="164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1">
        <f>AB49-(AB57+AB78)</f>
        <v>0</v>
      </c>
      <c r="AC80" s="1641"/>
      <c r="AD80" s="1641"/>
      <c r="AE80" s="1641"/>
      <c r="AF80" s="164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6" t="s">
        <v>1585</v>
      </c>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666"/>
      <c r="AM83" s="1666"/>
      <c r="AN83" s="1666"/>
      <c r="AO83" s="1666"/>
      <c r="AP83" s="1666"/>
      <c r="AQ83" s="1666"/>
      <c r="AR83" s="1666"/>
      <c r="AS83" s="1666"/>
      <c r="AT83" s="1666"/>
      <c r="AU83" s="1666"/>
      <c r="AV83" s="1666"/>
      <c r="AW83" s="1666"/>
      <c r="AX83" s="1666"/>
      <c r="AY83" s="1666"/>
      <c r="AZ83" s="1666"/>
      <c r="BA83" s="1666"/>
      <c r="BB83" s="1666"/>
      <c r="BC83" s="1666"/>
      <c r="BD83" s="1666"/>
      <c r="BE83" s="1666"/>
      <c r="BF83" s="1666"/>
      <c r="BG83" s="1666"/>
      <c r="BH83" s="1666"/>
      <c r="BI83" s="1666"/>
      <c r="BJ83" s="1666"/>
      <c r="BK83" s="1666"/>
      <c r="BL83" s="1666"/>
      <c r="BM83" s="1666"/>
      <c r="BN83" s="1666"/>
      <c r="BO83" s="1666"/>
      <c r="BP83" s="1666"/>
      <c r="BQ83" s="1666"/>
      <c r="BR83" s="1666"/>
      <c r="BS83" s="1666"/>
      <c r="BT83" s="1666"/>
      <c r="BU83" s="1666"/>
      <c r="BV83" s="1666"/>
      <c r="BW83" s="1666"/>
      <c r="BX83" s="1666"/>
    </row>
    <row r="84" spans="1:98" ht="13.5" thickTop="1"/>
    <row r="85" spans="1:98" ht="12.75">
      <c r="A85" s="819" t="s">
        <v>642</v>
      </c>
      <c r="C85" s="344" t="s">
        <v>1583</v>
      </c>
    </row>
    <row r="86" spans="1:98" ht="12.75">
      <c r="D86" s="344" t="s">
        <v>1639</v>
      </c>
      <c r="AB86" s="1705">
        <f>IF(A61="$500M State Credit",AB77/(Application!AG424-Application!AG425),"N/A")</f>
        <v>0</v>
      </c>
      <c r="AC86" s="1705"/>
      <c r="AD86" s="1705"/>
      <c r="AE86" s="1705"/>
      <c r="AF86" s="1705"/>
    </row>
    <row r="87" spans="1:98" ht="13.5" thickBot="1">
      <c r="D87" s="344" t="s">
        <v>1640</v>
      </c>
      <c r="AB87" s="1704" t="e">
        <f>IF(A61="$500M State Credit",(Application!AG424-Application!AG425)/AB77,"N/A")</f>
        <v>#DIV/0!</v>
      </c>
      <c r="AC87" s="1704"/>
      <c r="AD87" s="1704"/>
      <c r="AE87" s="1704"/>
      <c r="AF87" s="170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6"/>
  <sheetViews>
    <sheetView tabSelected="1" zoomScale="82" zoomScaleNormal="82" zoomScaleSheetLayoutView="100" workbookViewId="0">
      <selection activeCell="E29" sqref="E2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941604</v>
      </c>
      <c r="G4" s="366">
        <f>E4*$C$4</f>
        <v>965144.09999999986</v>
      </c>
      <c r="I4" s="366">
        <f>G4*$C$4</f>
        <v>989272.70249999978</v>
      </c>
      <c r="K4" s="366">
        <f>I4*$C$4</f>
        <v>1014004.5200624997</v>
      </c>
      <c r="M4" s="366">
        <f>K4*$C$4</f>
        <v>1039354.6330640621</v>
      </c>
      <c r="O4" s="366">
        <f>M4*$C$4</f>
        <v>1065338.4988906635</v>
      </c>
      <c r="Q4" s="366">
        <f>O4*$C$4</f>
        <v>1091971.96136293</v>
      </c>
      <c r="S4" s="366">
        <f>Q4*$C$4</f>
        <v>1119271.2603970033</v>
      </c>
      <c r="U4" s="366">
        <f>S4*$C$4</f>
        <v>1147253.0419069282</v>
      </c>
      <c r="W4" s="366">
        <f>U4*$C$4</f>
        <v>1175934.3679546013</v>
      </c>
      <c r="Y4" s="366">
        <f>W4*$C$4</f>
        <v>1205332.7271534663</v>
      </c>
      <c r="AA4" s="366">
        <f>Y4*$C$4</f>
        <v>1235466.0453323028</v>
      </c>
      <c r="AC4" s="366">
        <f>AA4*$C$4</f>
        <v>1266352.6964656103</v>
      </c>
      <c r="AE4" s="366">
        <f>AC4*$C$4</f>
        <v>1298011.5138772505</v>
      </c>
      <c r="AG4" s="366">
        <f>AE4*$C$4</f>
        <v>1330461.8017241817</v>
      </c>
    </row>
    <row r="5" spans="1:34" s="350" customFormat="1" ht="14.25">
      <c r="B5" s="350" t="s">
        <v>924</v>
      </c>
      <c r="C5" s="958">
        <v>7.4999999999999997E-2</v>
      </c>
      <c r="E5" s="368">
        <f>-E4*$C$5</f>
        <v>-70620.3</v>
      </c>
      <c r="F5" s="368"/>
      <c r="G5" s="368">
        <f>-G4*$C$5</f>
        <v>-72385.807499999981</v>
      </c>
      <c r="H5" s="368"/>
      <c r="I5" s="368">
        <f>-I4*$C$5</f>
        <v>-74195.452687499986</v>
      </c>
      <c r="J5" s="368"/>
      <c r="K5" s="368">
        <f>-K4*$C$5</f>
        <v>-76050.33900468747</v>
      </c>
      <c r="L5" s="368"/>
      <c r="M5" s="368">
        <f>-M4*$C$5</f>
        <v>-77951.597479804652</v>
      </c>
      <c r="N5" s="368"/>
      <c r="O5" s="368">
        <f>-O4*$C$5</f>
        <v>-79900.387416799756</v>
      </c>
      <c r="P5" s="368"/>
      <c r="Q5" s="368">
        <f>-Q4*$C$5</f>
        <v>-81897.897102219751</v>
      </c>
      <c r="R5" s="368"/>
      <c r="S5" s="368">
        <f>-S4*$C$5</f>
        <v>-83945.344529775248</v>
      </c>
      <c r="T5" s="368"/>
      <c r="U5" s="368">
        <f>-U4*$C$5</f>
        <v>-86043.978143019616</v>
      </c>
      <c r="V5" s="368"/>
      <c r="W5" s="368">
        <f>-W4*$C$5</f>
        <v>-88195.077596595089</v>
      </c>
      <c r="X5" s="368"/>
      <c r="Y5" s="368">
        <f>-Y4*$C$5</f>
        <v>-90399.954536509977</v>
      </c>
      <c r="Z5" s="368"/>
      <c r="AA5" s="368">
        <f>-AA4*$C$5</f>
        <v>-92659.953399922713</v>
      </c>
      <c r="AB5" s="368"/>
      <c r="AC5" s="368">
        <f>-AC4*$C$5</f>
        <v>-94976.452234920769</v>
      </c>
      <c r="AD5" s="368"/>
      <c r="AE5" s="368">
        <f>-AE4*$C$5</f>
        <v>-97350.863540793784</v>
      </c>
      <c r="AF5" s="368"/>
      <c r="AG5" s="368">
        <f>-AG4*$C$5</f>
        <v>-99784.635129313625</v>
      </c>
    </row>
    <row r="6" spans="1:34" s="350" customFormat="1" ht="14.25">
      <c r="A6" s="350" t="s">
        <v>922</v>
      </c>
      <c r="C6" s="390">
        <v>1.0249999999999999</v>
      </c>
      <c r="E6" s="369">
        <f>Application!Z789</f>
        <v>484524</v>
      </c>
      <c r="F6" s="369"/>
      <c r="G6" s="369">
        <f>E6*$C$6</f>
        <v>496637.1</v>
      </c>
      <c r="H6" s="369"/>
      <c r="I6" s="369">
        <f>G6*$C$6</f>
        <v>509053.02749999991</v>
      </c>
      <c r="J6" s="369"/>
      <c r="K6" s="369">
        <f>I6*$C$6</f>
        <v>521779.35318749986</v>
      </c>
      <c r="L6" s="369"/>
      <c r="M6" s="369">
        <f>K6*$C$6</f>
        <v>534823.83701718727</v>
      </c>
      <c r="N6" s="369"/>
      <c r="O6" s="369">
        <f>M6*$C$6</f>
        <v>548194.43294261687</v>
      </c>
      <c r="P6" s="369"/>
      <c r="Q6" s="369">
        <f>O6*$C$6</f>
        <v>561899.29376618227</v>
      </c>
      <c r="R6" s="369"/>
      <c r="S6" s="369">
        <f>Q6*$C$6</f>
        <v>575946.77611033677</v>
      </c>
      <c r="T6" s="369"/>
      <c r="U6" s="369">
        <f>S6*$C$6</f>
        <v>590345.44551309512</v>
      </c>
      <c r="V6" s="369"/>
      <c r="W6" s="369">
        <f>U6*$C$6</f>
        <v>605104.08165092242</v>
      </c>
      <c r="X6" s="369"/>
      <c r="Y6" s="369">
        <f>W6*$C$6</f>
        <v>620231.68369219545</v>
      </c>
      <c r="Z6" s="369"/>
      <c r="AA6" s="369">
        <f>Y6*$C$6</f>
        <v>635737.47578450025</v>
      </c>
      <c r="AB6" s="369"/>
      <c r="AC6" s="369">
        <f>AA6*$C$6</f>
        <v>651630.91267911275</v>
      </c>
      <c r="AD6" s="369"/>
      <c r="AE6" s="369">
        <f>AC6*$C$6</f>
        <v>667921.68549609056</v>
      </c>
      <c r="AF6" s="369"/>
      <c r="AG6" s="369">
        <f>AE6*$C$6</f>
        <v>684619.72763349279</v>
      </c>
    </row>
    <row r="7" spans="1:34" s="350" customFormat="1" ht="14.25">
      <c r="B7" s="350" t="s">
        <v>924</v>
      </c>
      <c r="C7" s="391">
        <v>7.4999999999999997E-2</v>
      </c>
      <c r="E7" s="368">
        <f>-E6*$C$7</f>
        <v>-36339.299999999996</v>
      </c>
      <c r="F7" s="368"/>
      <c r="G7" s="368">
        <f>-G6*$C$7</f>
        <v>-37247.782499999994</v>
      </c>
      <c r="H7" s="368"/>
      <c r="I7" s="368">
        <f>-I6*$C$7</f>
        <v>-38178.977062499995</v>
      </c>
      <c r="J7" s="368"/>
      <c r="K7" s="368">
        <f>-K6*$C$7</f>
        <v>-39133.451489062485</v>
      </c>
      <c r="L7" s="368"/>
      <c r="M7" s="368">
        <f>-M6*$C$7</f>
        <v>-40111.787776289042</v>
      </c>
      <c r="N7" s="368"/>
      <c r="O7" s="368">
        <f>-O6*$C$7</f>
        <v>-41114.582470696267</v>
      </c>
      <c r="P7" s="368"/>
      <c r="Q7" s="368">
        <f>-Q6*$C$7</f>
        <v>-42142.447032463671</v>
      </c>
      <c r="R7" s="368"/>
      <c r="S7" s="368">
        <f>-S6*$C$7</f>
        <v>-43196.008208275256</v>
      </c>
      <c r="T7" s="368"/>
      <c r="U7" s="368">
        <f>-U6*$C$7</f>
        <v>-44275.908413482131</v>
      </c>
      <c r="V7" s="368"/>
      <c r="W7" s="368">
        <f>-W6*$C$7</f>
        <v>-45382.80612381918</v>
      </c>
      <c r="X7" s="368"/>
      <c r="Y7" s="368">
        <f>-Y6*$C$7</f>
        <v>-46517.376276914656</v>
      </c>
      <c r="Z7" s="368"/>
      <c r="AA7" s="368">
        <f>-AA6*$C$7</f>
        <v>-47680.310683837517</v>
      </c>
      <c r="AB7" s="368"/>
      <c r="AC7" s="368">
        <f>-AC6*$C$7</f>
        <v>-48872.318450933453</v>
      </c>
      <c r="AD7" s="368"/>
      <c r="AE7" s="368">
        <f>-AE6*$C$7</f>
        <v>-50094.126412206788</v>
      </c>
      <c r="AF7" s="368"/>
      <c r="AG7" s="368">
        <f>-AG6*$C$7</f>
        <v>-51346.479572511955</v>
      </c>
    </row>
    <row r="8" spans="1:34" s="350" customFormat="1" ht="14.25">
      <c r="A8" s="350" t="s">
        <v>307</v>
      </c>
      <c r="C8" s="390">
        <v>1.0249999999999999</v>
      </c>
      <c r="E8" s="369">
        <f>Application!Z797</f>
        <v>4680</v>
      </c>
      <c r="F8" s="369"/>
      <c r="G8" s="369">
        <f>E8*$C$8</f>
        <v>4797</v>
      </c>
      <c r="H8" s="369"/>
      <c r="I8" s="369">
        <f>G8*$C$8</f>
        <v>4916.9249999999993</v>
      </c>
      <c r="J8" s="369"/>
      <c r="K8" s="369">
        <f>I8*$C$8</f>
        <v>5039.8481249999986</v>
      </c>
      <c r="L8" s="369"/>
      <c r="M8" s="369">
        <f>K8*$C$8</f>
        <v>5165.8443281249984</v>
      </c>
      <c r="N8" s="369"/>
      <c r="O8" s="369">
        <f>M8*$C$8</f>
        <v>5294.990436328123</v>
      </c>
      <c r="P8" s="369"/>
      <c r="Q8" s="369">
        <f>O8*$C$8</f>
        <v>5427.3651972363259</v>
      </c>
      <c r="R8" s="369"/>
      <c r="S8" s="369">
        <f>Q8*$C$8</f>
        <v>5563.049327167234</v>
      </c>
      <c r="T8" s="369"/>
      <c r="U8" s="369">
        <f>S8*$C$8</f>
        <v>5702.1255603464142</v>
      </c>
      <c r="V8" s="369"/>
      <c r="W8" s="369">
        <f>U8*$C$8</f>
        <v>5844.6786993550741</v>
      </c>
      <c r="X8" s="369"/>
      <c r="Y8" s="369">
        <f>W8*$C$8</f>
        <v>5990.7956668389506</v>
      </c>
      <c r="Z8" s="369"/>
      <c r="AA8" s="369">
        <f>Y8*$C$8</f>
        <v>6140.5655585099239</v>
      </c>
      <c r="AB8" s="369"/>
      <c r="AC8" s="369">
        <f>AA8*$C$8</f>
        <v>6294.0796974726718</v>
      </c>
      <c r="AD8" s="369"/>
      <c r="AE8" s="369">
        <f>AC8*$C$8</f>
        <v>6451.4316899094883</v>
      </c>
      <c r="AF8" s="369"/>
      <c r="AG8" s="369">
        <f>AE8*$C$8</f>
        <v>6612.7174821572253</v>
      </c>
    </row>
    <row r="9" spans="1:34" s="350" customFormat="1" ht="14.25">
      <c r="B9" s="350" t="s">
        <v>924</v>
      </c>
      <c r="C9" s="391">
        <f>IF(Application!$D$210="Special Needs",0.1,0.05)</f>
        <v>0.05</v>
      </c>
      <c r="E9" s="388">
        <f>-E8*$C$9</f>
        <v>-234</v>
      </c>
      <c r="F9" s="368"/>
      <c r="G9" s="388">
        <f>-G8*$C$9</f>
        <v>-239.85000000000002</v>
      </c>
      <c r="H9" s="368"/>
      <c r="I9" s="388">
        <f>-I8*$C$9</f>
        <v>-245.84624999999997</v>
      </c>
      <c r="J9" s="368"/>
      <c r="K9" s="388">
        <f>-K8*$C$9</f>
        <v>-251.99240624999993</v>
      </c>
      <c r="L9" s="368"/>
      <c r="M9" s="388">
        <f>-M8*$C$9</f>
        <v>-258.29221640624991</v>
      </c>
      <c r="N9" s="368"/>
      <c r="O9" s="388">
        <f>-O8*$C$9</f>
        <v>-264.74952181640617</v>
      </c>
      <c r="P9" s="368"/>
      <c r="Q9" s="388">
        <f>-Q8*$C$9</f>
        <v>-271.36825986181628</v>
      </c>
      <c r="R9" s="368"/>
      <c r="S9" s="388">
        <f>-S8*$C$9</f>
        <v>-278.15246635836172</v>
      </c>
      <c r="T9" s="368"/>
      <c r="U9" s="388">
        <f>-U8*$C$9</f>
        <v>-285.10627801732073</v>
      </c>
      <c r="V9" s="368"/>
      <c r="W9" s="388">
        <f>-W8*$C$9</f>
        <v>-292.23393496775373</v>
      </c>
      <c r="X9" s="368"/>
      <c r="Y9" s="388">
        <f>-Y8*$C$9</f>
        <v>-299.53978334194755</v>
      </c>
      <c r="Z9" s="368"/>
      <c r="AA9" s="388">
        <f>-AA8*$C$9</f>
        <v>-307.02827792549624</v>
      </c>
      <c r="AB9" s="368"/>
      <c r="AC9" s="388">
        <f>-AC8*$C$9</f>
        <v>-314.7039848736336</v>
      </c>
      <c r="AD9" s="368"/>
      <c r="AE9" s="388">
        <f>-AE8*$C$9</f>
        <v>-322.57158449547444</v>
      </c>
      <c r="AF9" s="368"/>
      <c r="AG9" s="388">
        <f>-AG8*$C$9</f>
        <v>-330.6358741078613</v>
      </c>
    </row>
    <row r="10" spans="1:34" s="370" customFormat="1" ht="15">
      <c r="A10" s="370" t="s">
        <v>946</v>
      </c>
      <c r="C10" s="361"/>
      <c r="E10" s="370">
        <f>SUM(E4:E9)</f>
        <v>1323614.3999999999</v>
      </c>
      <c r="G10" s="370">
        <f>SUM(G4:G9)</f>
        <v>1356704.7599999998</v>
      </c>
      <c r="I10" s="370">
        <f>SUM(I4:I9)</f>
        <v>1390622.3789999997</v>
      </c>
      <c r="K10" s="370">
        <f>SUM(K4:K9)</f>
        <v>1425387.9384749995</v>
      </c>
      <c r="M10" s="370">
        <f>SUM(M4:M9)</f>
        <v>1461022.6369368746</v>
      </c>
      <c r="O10" s="370">
        <f>SUM(O4:O9)</f>
        <v>1497548.2028602962</v>
      </c>
      <c r="Q10" s="370">
        <f>SUM(Q4:Q9)</f>
        <v>1534986.9079318033</v>
      </c>
      <c r="S10" s="370">
        <f>SUM(S4:S9)</f>
        <v>1573361.5806300982</v>
      </c>
      <c r="U10" s="370">
        <f>SUM(U4:U9)</f>
        <v>1612695.6201458508</v>
      </c>
      <c r="W10" s="370">
        <f>SUM(W4:W9)</f>
        <v>1653013.0106494967</v>
      </c>
      <c r="Y10" s="370">
        <f>SUM(Y4:Y9)</f>
        <v>1694338.3359157341</v>
      </c>
      <c r="AA10" s="370">
        <f>SUM(AA4:AA9)</f>
        <v>1736696.7943136271</v>
      </c>
      <c r="AC10" s="370">
        <f>SUM(AC4:AC9)</f>
        <v>1780114.2141714678</v>
      </c>
      <c r="AE10" s="370">
        <f>SUM(AE4:AE9)</f>
        <v>1824617.0695257545</v>
      </c>
      <c r="AG10" s="370">
        <f>SUM(AG4:AG9)</f>
        <v>1870232.4962638982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86000</v>
      </c>
      <c r="G14" s="366">
        <f>E14*$C$13</f>
        <v>89010</v>
      </c>
      <c r="I14" s="366">
        <f>G14*$C$13</f>
        <v>92125.349999999991</v>
      </c>
      <c r="K14" s="366">
        <f>I14*$C$13</f>
        <v>95349.737249999976</v>
      </c>
      <c r="M14" s="366">
        <f>K14*$C$13</f>
        <v>98686.978053749961</v>
      </c>
      <c r="O14" s="366">
        <f>M14*$C$13</f>
        <v>102141.0222856312</v>
      </c>
      <c r="Q14" s="366">
        <f>O14*$C$13</f>
        <v>105715.95806562829</v>
      </c>
      <c r="S14" s="366">
        <f>Q14*$C$13</f>
        <v>109416.01659792528</v>
      </c>
      <c r="U14" s="366">
        <f>S14*$C$13</f>
        <v>113245.57717885265</v>
      </c>
      <c r="W14" s="366">
        <f>U14*$C$13</f>
        <v>117209.17238011248</v>
      </c>
      <c r="Y14" s="366">
        <f>W14*$C$13</f>
        <v>121311.49341341641</v>
      </c>
      <c r="AA14" s="366">
        <f>Y14*$C$13</f>
        <v>125557.39568288597</v>
      </c>
      <c r="AC14" s="366">
        <f>AA14*$C$13</f>
        <v>129951.90453178696</v>
      </c>
      <c r="AE14" s="366">
        <f>AC14*$C$13</f>
        <v>134500.22119039949</v>
      </c>
      <c r="AG14" s="366">
        <f>AE14*$C$13</f>
        <v>139207.72893206347</v>
      </c>
    </row>
    <row r="15" spans="1:34" s="350" customFormat="1" ht="14.25">
      <c r="A15" s="350" t="s">
        <v>368</v>
      </c>
      <c r="C15" s="380"/>
      <c r="E15" s="369">
        <f>Application!W829</f>
        <v>72360</v>
      </c>
      <c r="F15" s="369"/>
      <c r="G15" s="369">
        <f t="shared" ref="G15:AG20" si="0">E15*$C$13</f>
        <v>74892.599999999991</v>
      </c>
      <c r="H15" s="369"/>
      <c r="I15" s="369">
        <f t="shared" si="0"/>
        <v>77513.840999999986</v>
      </c>
      <c r="J15" s="369"/>
      <c r="K15" s="369">
        <f t="shared" si="0"/>
        <v>80226.825434999977</v>
      </c>
      <c r="L15" s="369"/>
      <c r="M15" s="369">
        <f t="shared" si="0"/>
        <v>83034.764325224969</v>
      </c>
      <c r="N15" s="369"/>
      <c r="O15" s="369">
        <f t="shared" si="0"/>
        <v>85940.98107660783</v>
      </c>
      <c r="P15" s="369"/>
      <c r="Q15" s="369">
        <f t="shared" si="0"/>
        <v>88948.915414289091</v>
      </c>
      <c r="R15" s="369"/>
      <c r="S15" s="369">
        <f t="shared" si="0"/>
        <v>92062.127453789202</v>
      </c>
      <c r="T15" s="369"/>
      <c r="U15" s="369">
        <f t="shared" si="0"/>
        <v>95284.301914671814</v>
      </c>
      <c r="V15" s="369"/>
      <c r="W15" s="369">
        <f t="shared" si="0"/>
        <v>98619.252481685326</v>
      </c>
      <c r="X15" s="369"/>
      <c r="Y15" s="369">
        <f t="shared" si="0"/>
        <v>102070.9263185443</v>
      </c>
      <c r="Z15" s="369"/>
      <c r="AA15" s="369">
        <f t="shared" si="0"/>
        <v>105643.40873969335</v>
      </c>
      <c r="AB15" s="369"/>
      <c r="AC15" s="369">
        <f t="shared" si="0"/>
        <v>109340.92804558261</v>
      </c>
      <c r="AD15" s="369"/>
      <c r="AE15" s="369">
        <f t="shared" si="0"/>
        <v>113167.860527178</v>
      </c>
      <c r="AF15" s="369"/>
      <c r="AG15" s="369">
        <f t="shared" si="0"/>
        <v>117128.73564562922</v>
      </c>
    </row>
    <row r="16" spans="1:34" s="350" customFormat="1" ht="14.25">
      <c r="A16" s="350" t="s">
        <v>609</v>
      </c>
      <c r="C16" s="380"/>
      <c r="E16" s="369">
        <f>Application!W835</f>
        <v>111000</v>
      </c>
      <c r="F16" s="369"/>
      <c r="G16" s="369">
        <f t="shared" si="0"/>
        <v>114884.99999999999</v>
      </c>
      <c r="H16" s="369"/>
      <c r="I16" s="369">
        <f t="shared" si="0"/>
        <v>118905.97499999998</v>
      </c>
      <c r="J16" s="369"/>
      <c r="K16" s="369">
        <f t="shared" si="0"/>
        <v>123067.68412499997</v>
      </c>
      <c r="L16" s="369"/>
      <c r="M16" s="369">
        <f t="shared" si="0"/>
        <v>127375.05306937496</v>
      </c>
      <c r="N16" s="369"/>
      <c r="O16" s="369">
        <f t="shared" si="0"/>
        <v>131833.17992680307</v>
      </c>
      <c r="P16" s="369"/>
      <c r="Q16" s="369">
        <f t="shared" si="0"/>
        <v>136447.34122424116</v>
      </c>
      <c r="R16" s="369"/>
      <c r="S16" s="369">
        <f t="shared" si="0"/>
        <v>141222.99816708959</v>
      </c>
      <c r="T16" s="369"/>
      <c r="U16" s="369">
        <f t="shared" si="0"/>
        <v>146165.80310293773</v>
      </c>
      <c r="V16" s="369"/>
      <c r="W16" s="369">
        <f t="shared" si="0"/>
        <v>151281.60621154055</v>
      </c>
      <c r="X16" s="369"/>
      <c r="Y16" s="369">
        <f t="shared" si="0"/>
        <v>156576.46242894445</v>
      </c>
      <c r="Z16" s="369"/>
      <c r="AA16" s="369">
        <f t="shared" si="0"/>
        <v>162056.6386139575</v>
      </c>
      <c r="AB16" s="369"/>
      <c r="AC16" s="369">
        <f t="shared" si="0"/>
        <v>167728.620965446</v>
      </c>
      <c r="AD16" s="369"/>
      <c r="AE16" s="369">
        <f t="shared" si="0"/>
        <v>173599.12269923658</v>
      </c>
      <c r="AF16" s="369"/>
      <c r="AG16" s="369">
        <f t="shared" si="0"/>
        <v>179675.09199370985</v>
      </c>
    </row>
    <row r="17" spans="1:33" s="350" customFormat="1" ht="14.25">
      <c r="A17" s="350" t="s">
        <v>928</v>
      </c>
      <c r="C17" s="380"/>
      <c r="E17" s="369">
        <f>Application!W840</f>
        <v>175500</v>
      </c>
      <c r="F17" s="369"/>
      <c r="G17" s="369">
        <f t="shared" si="0"/>
        <v>181642.5</v>
      </c>
      <c r="H17" s="369"/>
      <c r="I17" s="369">
        <f t="shared" si="0"/>
        <v>187999.98749999999</v>
      </c>
      <c r="J17" s="369"/>
      <c r="K17" s="369">
        <f t="shared" si="0"/>
        <v>194579.98706249997</v>
      </c>
      <c r="L17" s="369"/>
      <c r="M17" s="369">
        <f t="shared" si="0"/>
        <v>201390.28660968746</v>
      </c>
      <c r="N17" s="369"/>
      <c r="O17" s="369">
        <f t="shared" si="0"/>
        <v>208438.9466410265</v>
      </c>
      <c r="P17" s="369"/>
      <c r="Q17" s="369">
        <f t="shared" si="0"/>
        <v>215734.30977346242</v>
      </c>
      <c r="R17" s="369"/>
      <c r="S17" s="369">
        <f t="shared" si="0"/>
        <v>223285.0106155336</v>
      </c>
      <c r="T17" s="369"/>
      <c r="U17" s="369">
        <f t="shared" si="0"/>
        <v>231099.98598707726</v>
      </c>
      <c r="V17" s="369"/>
      <c r="W17" s="369">
        <f t="shared" si="0"/>
        <v>239188.48549662495</v>
      </c>
      <c r="X17" s="369"/>
      <c r="Y17" s="369">
        <f t="shared" si="0"/>
        <v>247560.0824890068</v>
      </c>
      <c r="Z17" s="369"/>
      <c r="AA17" s="369">
        <f t="shared" si="0"/>
        <v>256224.68537612201</v>
      </c>
      <c r="AB17" s="369"/>
      <c r="AC17" s="369">
        <f t="shared" si="0"/>
        <v>265192.54936428624</v>
      </c>
      <c r="AD17" s="369"/>
      <c r="AE17" s="369">
        <f t="shared" si="0"/>
        <v>274474.28859203623</v>
      </c>
      <c r="AF17" s="369"/>
      <c r="AG17" s="369">
        <f t="shared" si="0"/>
        <v>284080.88869275746</v>
      </c>
    </row>
    <row r="18" spans="1:33" s="350" customFormat="1" ht="14.25">
      <c r="A18" s="350" t="s">
        <v>162</v>
      </c>
      <c r="C18" s="380"/>
      <c r="E18" s="369">
        <f>Application!W841</f>
        <v>45000</v>
      </c>
      <c r="F18" s="369"/>
      <c r="G18" s="369">
        <f t="shared" si="0"/>
        <v>46575</v>
      </c>
      <c r="H18" s="369"/>
      <c r="I18" s="369">
        <f t="shared" si="0"/>
        <v>48205.124999999993</v>
      </c>
      <c r="J18" s="369"/>
      <c r="K18" s="369">
        <f t="shared" si="0"/>
        <v>49892.304374999985</v>
      </c>
      <c r="L18" s="369"/>
      <c r="M18" s="369">
        <f t="shared" si="0"/>
        <v>51638.535028124978</v>
      </c>
      <c r="N18" s="369"/>
      <c r="O18" s="369">
        <f t="shared" si="0"/>
        <v>53445.883754109345</v>
      </c>
      <c r="P18" s="369"/>
      <c r="Q18" s="369">
        <f t="shared" si="0"/>
        <v>55316.489685503169</v>
      </c>
      <c r="R18" s="369"/>
      <c r="S18" s="369">
        <f t="shared" si="0"/>
        <v>57252.566824495778</v>
      </c>
      <c r="T18" s="369"/>
      <c r="U18" s="369">
        <f t="shared" si="0"/>
        <v>59256.406663353126</v>
      </c>
      <c r="V18" s="369"/>
      <c r="W18" s="369">
        <f t="shared" si="0"/>
        <v>61330.380896570481</v>
      </c>
      <c r="X18" s="369"/>
      <c r="Y18" s="369">
        <f t="shared" si="0"/>
        <v>63476.944227950444</v>
      </c>
      <c r="Z18" s="369"/>
      <c r="AA18" s="369">
        <f t="shared" si="0"/>
        <v>65698.637275928704</v>
      </c>
      <c r="AB18" s="369"/>
      <c r="AC18" s="369">
        <f t="shared" si="0"/>
        <v>67998.089580586209</v>
      </c>
      <c r="AD18" s="369"/>
      <c r="AE18" s="369">
        <f t="shared" si="0"/>
        <v>70378.022715906714</v>
      </c>
      <c r="AF18" s="369"/>
      <c r="AG18" s="369">
        <f t="shared" si="0"/>
        <v>72841.253510963448</v>
      </c>
    </row>
    <row r="19" spans="1:33" s="350" customFormat="1" ht="14.25">
      <c r="A19" s="350" t="s">
        <v>423</v>
      </c>
      <c r="C19" s="380"/>
      <c r="E19" s="369">
        <f>Application!W850</f>
        <v>161300</v>
      </c>
      <c r="F19" s="369"/>
      <c r="G19" s="369">
        <f t="shared" si="0"/>
        <v>166945.5</v>
      </c>
      <c r="H19" s="369"/>
      <c r="I19" s="369">
        <f t="shared" si="0"/>
        <v>172788.5925</v>
      </c>
      <c r="J19" s="369"/>
      <c r="K19" s="369">
        <f t="shared" si="0"/>
        <v>178836.19323749997</v>
      </c>
      <c r="L19" s="369"/>
      <c r="M19" s="369">
        <f t="shared" si="0"/>
        <v>185095.46000081245</v>
      </c>
      <c r="N19" s="369"/>
      <c r="O19" s="369">
        <f t="shared" si="0"/>
        <v>191573.80110084088</v>
      </c>
      <c r="P19" s="369"/>
      <c r="Q19" s="369">
        <f t="shared" si="0"/>
        <v>198278.88413937029</v>
      </c>
      <c r="R19" s="369"/>
      <c r="S19" s="369">
        <f t="shared" si="0"/>
        <v>205218.64508424824</v>
      </c>
      <c r="T19" s="369"/>
      <c r="U19" s="369">
        <f t="shared" si="0"/>
        <v>212401.29766219691</v>
      </c>
      <c r="V19" s="369"/>
      <c r="W19" s="369">
        <f t="shared" si="0"/>
        <v>219835.3430803738</v>
      </c>
      <c r="X19" s="369"/>
      <c r="Y19" s="369">
        <f t="shared" si="0"/>
        <v>227529.58008818686</v>
      </c>
      <c r="Z19" s="369"/>
      <c r="AA19" s="369">
        <f t="shared" si="0"/>
        <v>235493.11539127337</v>
      </c>
      <c r="AB19" s="369"/>
      <c r="AC19" s="369">
        <f t="shared" si="0"/>
        <v>243735.37442996792</v>
      </c>
      <c r="AD19" s="369"/>
      <c r="AE19" s="369">
        <f t="shared" si="0"/>
        <v>252266.11253501679</v>
      </c>
      <c r="AF19" s="369"/>
      <c r="AG19" s="369">
        <f t="shared" si="0"/>
        <v>261095.42647374235</v>
      </c>
    </row>
    <row r="20" spans="1:33" s="350" customFormat="1" ht="14.25">
      <c r="A20" s="373" t="s">
        <v>1787</v>
      </c>
      <c r="B20" s="373"/>
      <c r="C20" s="380"/>
      <c r="E20" s="379">
        <f>Application!W857</f>
        <v>22550</v>
      </c>
      <c r="F20" s="369"/>
      <c r="G20" s="379">
        <f t="shared" si="0"/>
        <v>23339.25</v>
      </c>
      <c r="H20" s="369"/>
      <c r="I20" s="379">
        <f t="shared" si="0"/>
        <v>24156.123749999999</v>
      </c>
      <c r="J20" s="369"/>
      <c r="K20" s="379">
        <f t="shared" si="0"/>
        <v>25001.588081249996</v>
      </c>
      <c r="L20" s="369"/>
      <c r="M20" s="379">
        <f t="shared" si="0"/>
        <v>25876.643664093743</v>
      </c>
      <c r="N20" s="369"/>
      <c r="O20" s="379">
        <f t="shared" si="0"/>
        <v>26782.326192337023</v>
      </c>
      <c r="P20" s="369"/>
      <c r="Q20" s="379">
        <f t="shared" si="0"/>
        <v>27719.707609068817</v>
      </c>
      <c r="R20" s="369"/>
      <c r="S20" s="379">
        <f t="shared" si="0"/>
        <v>28689.897375386223</v>
      </c>
      <c r="T20" s="369"/>
      <c r="U20" s="379">
        <f t="shared" si="0"/>
        <v>29694.043783524739</v>
      </c>
      <c r="V20" s="369"/>
      <c r="W20" s="379">
        <f t="shared" si="0"/>
        <v>30733.335315948101</v>
      </c>
      <c r="X20" s="369"/>
      <c r="Y20" s="379">
        <f t="shared" si="0"/>
        <v>31809.002052006283</v>
      </c>
      <c r="Z20" s="369"/>
      <c r="AA20" s="379">
        <f t="shared" si="0"/>
        <v>32922.317123826499</v>
      </c>
      <c r="AB20" s="369"/>
      <c r="AC20" s="379">
        <f t="shared" si="0"/>
        <v>34074.598223160421</v>
      </c>
      <c r="AD20" s="369"/>
      <c r="AE20" s="379">
        <f t="shared" si="0"/>
        <v>35267.209160971033</v>
      </c>
      <c r="AF20" s="369"/>
      <c r="AG20" s="379">
        <f t="shared" si="0"/>
        <v>36501.561481605015</v>
      </c>
    </row>
    <row r="21" spans="1:33" s="370" customFormat="1" ht="15">
      <c r="A21" s="370" t="s">
        <v>929</v>
      </c>
      <c r="C21" s="380"/>
      <c r="E21" s="370">
        <f>SUM(E14:E20)</f>
        <v>673710</v>
      </c>
      <c r="G21" s="370">
        <f>SUM(G14:G20)</f>
        <v>697289.85</v>
      </c>
      <c r="I21" s="370">
        <f>SUM(I14:I20)</f>
        <v>721694.99474999995</v>
      </c>
      <c r="K21" s="370">
        <f>SUM(K14:K20)</f>
        <v>746954.31956624985</v>
      </c>
      <c r="M21" s="370">
        <f>SUM(M14:M20)</f>
        <v>773097.72075106844</v>
      </c>
      <c r="O21" s="370">
        <f>SUM(O14:O20)</f>
        <v>800156.14097735588</v>
      </c>
      <c r="Q21" s="370">
        <f>SUM(Q14:Q20)</f>
        <v>828161.60591156327</v>
      </c>
      <c r="S21" s="370">
        <f>SUM(S14:S20)</f>
        <v>857147.26211846794</v>
      </c>
      <c r="U21" s="370">
        <f>SUM(U14:U20)</f>
        <v>887147.41629261419</v>
      </c>
      <c r="W21" s="370">
        <f>SUM(W14:W20)</f>
        <v>918197.57586285577</v>
      </c>
      <c r="Y21" s="370">
        <f>SUM(Y14:Y20)</f>
        <v>950334.49101805559</v>
      </c>
      <c r="AA21" s="370">
        <f>SUM(AA14:AA20)</f>
        <v>983596.19820368744</v>
      </c>
      <c r="AC21" s="370">
        <f>SUM(AC14:AC20)</f>
        <v>1018022.0651408163</v>
      </c>
      <c r="AE21" s="370">
        <f>SUM(AE14:AE20)</f>
        <v>1053652.8374207448</v>
      </c>
      <c r="AG21" s="370">
        <f>SUM(AG14:AG20)</f>
        <v>1090530.6867304707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117600</v>
      </c>
      <c r="F24" s="369"/>
      <c r="G24" s="369">
        <f>E24*$C$24</f>
        <v>121715.99999999999</v>
      </c>
      <c r="H24" s="369"/>
      <c r="I24" s="369">
        <f>G24*$C$24</f>
        <v>125976.05999999997</v>
      </c>
      <c r="J24" s="369"/>
      <c r="K24" s="369">
        <f>I24*$C$24</f>
        <v>130385.22209999996</v>
      </c>
      <c r="L24" s="369"/>
      <c r="M24" s="369">
        <f>K24*$C$24</f>
        <v>134948.70487349996</v>
      </c>
      <c r="N24" s="369"/>
      <c r="O24" s="369">
        <f>M24*$C$24</f>
        <v>139671.90954407243</v>
      </c>
      <c r="P24" s="369"/>
      <c r="Q24" s="369">
        <f>O24*$C$24</f>
        <v>144560.42637811496</v>
      </c>
      <c r="R24" s="369"/>
      <c r="S24" s="369">
        <f>Q24*$C$24</f>
        <v>149620.04130134897</v>
      </c>
      <c r="T24" s="369"/>
      <c r="U24" s="369">
        <f>S24*$C$24</f>
        <v>154856.74274689617</v>
      </c>
      <c r="V24" s="369"/>
      <c r="W24" s="369">
        <f>U24*$C$24</f>
        <v>160276.72874303753</v>
      </c>
      <c r="X24" s="369"/>
      <c r="Y24" s="369">
        <f>W24*$C$24</f>
        <v>165886.41424904382</v>
      </c>
      <c r="Z24" s="369"/>
      <c r="AA24" s="369">
        <f>Y24*$C$24</f>
        <v>171692.43874776034</v>
      </c>
      <c r="AB24" s="369"/>
      <c r="AC24" s="369">
        <f>AA24*$C$24</f>
        <v>177701.67410393193</v>
      </c>
      <c r="AD24" s="369"/>
      <c r="AE24" s="369">
        <f>AC24*$C$24</f>
        <v>183921.23269756953</v>
      </c>
      <c r="AF24" s="369"/>
      <c r="AG24" s="369">
        <f>AE24*$C$24</f>
        <v>190358.47584198444</v>
      </c>
    </row>
    <row r="25" spans="1:33" s="350" customFormat="1" ht="14.25">
      <c r="A25" s="350" t="s">
        <v>932</v>
      </c>
      <c r="C25" s="392"/>
      <c r="E25" s="369">
        <f>Application!AC867</f>
        <v>45000</v>
      </c>
      <c r="F25" s="369"/>
      <c r="G25" s="369">
        <f>$E$25</f>
        <v>45000</v>
      </c>
      <c r="H25" s="369"/>
      <c r="I25" s="369">
        <f>$E$25</f>
        <v>45000</v>
      </c>
      <c r="J25" s="369"/>
      <c r="K25" s="369">
        <f>$E$25</f>
        <v>45000</v>
      </c>
      <c r="L25" s="369"/>
      <c r="M25" s="369">
        <f>$E$25</f>
        <v>45000</v>
      </c>
      <c r="N25" s="369"/>
      <c r="O25" s="369">
        <f>$E$25</f>
        <v>45000</v>
      </c>
      <c r="P25" s="369"/>
      <c r="Q25" s="369">
        <f>$E$25</f>
        <v>45000</v>
      </c>
      <c r="R25" s="369"/>
      <c r="S25" s="369">
        <f>$E$25</f>
        <v>45000</v>
      </c>
      <c r="T25" s="369"/>
      <c r="U25" s="369">
        <f>$E$25</f>
        <v>45000</v>
      </c>
      <c r="V25" s="369"/>
      <c r="W25" s="369">
        <f>$E$25</f>
        <v>45000</v>
      </c>
      <c r="X25" s="369"/>
      <c r="Y25" s="369">
        <f>$E$25</f>
        <v>45000</v>
      </c>
      <c r="Z25" s="369"/>
      <c r="AA25" s="369">
        <f>$E$25</f>
        <v>45000</v>
      </c>
      <c r="AB25" s="369"/>
      <c r="AC25" s="369">
        <f>$E$25</f>
        <v>45000</v>
      </c>
      <c r="AD25" s="369"/>
      <c r="AE25" s="369">
        <f>$E$25</f>
        <v>45000</v>
      </c>
      <c r="AF25" s="369"/>
      <c r="AG25" s="369">
        <f>$E$25</f>
        <v>45000</v>
      </c>
    </row>
    <row r="26" spans="1:33" s="350" customFormat="1" ht="14.25">
      <c r="A26" s="350" t="s">
        <v>930</v>
      </c>
      <c r="C26" s="390">
        <v>1.02</v>
      </c>
      <c r="E26" s="369">
        <f>Application!AC868</f>
        <v>7500</v>
      </c>
      <c r="F26" s="369"/>
      <c r="G26" s="369">
        <f>E26*$C$26</f>
        <v>7650</v>
      </c>
      <c r="H26" s="369"/>
      <c r="I26" s="369">
        <f>G26*$C$26</f>
        <v>7803</v>
      </c>
      <c r="J26" s="369"/>
      <c r="K26" s="369">
        <f>I26*$C$26</f>
        <v>7959.06</v>
      </c>
      <c r="L26" s="369"/>
      <c r="M26" s="369">
        <f>K26*$C$26</f>
        <v>8118.2412000000004</v>
      </c>
      <c r="N26" s="369"/>
      <c r="O26" s="369">
        <f>M26*$C$26</f>
        <v>8280.6060240000006</v>
      </c>
      <c r="P26" s="369"/>
      <c r="Q26" s="369">
        <f>O26*$C$26</f>
        <v>8446.2181444800008</v>
      </c>
      <c r="R26" s="369"/>
      <c r="S26" s="369">
        <f>Q26*$C$26</f>
        <v>8615.1425073696009</v>
      </c>
      <c r="T26" s="369"/>
      <c r="U26" s="369">
        <f>S26*$C$26</f>
        <v>8787.4453575169937</v>
      </c>
      <c r="V26" s="369"/>
      <c r="W26" s="369">
        <f>U26*$C$26</f>
        <v>8963.1942646673342</v>
      </c>
      <c r="X26" s="369"/>
      <c r="Y26" s="369">
        <f>W26*$C$26</f>
        <v>9142.4581499606811</v>
      </c>
      <c r="Z26" s="369"/>
      <c r="AA26" s="369">
        <f>Y26*$C$26</f>
        <v>9325.3073129598943</v>
      </c>
      <c r="AB26" s="369"/>
      <c r="AC26" s="369">
        <f>AA26*$C$26</f>
        <v>9511.8134592190927</v>
      </c>
      <c r="AD26" s="369"/>
      <c r="AE26" s="369">
        <f>AC26*$C$26</f>
        <v>9702.0497284034755</v>
      </c>
      <c r="AF26" s="369"/>
      <c r="AG26" s="369">
        <f>AE26*$C$26</f>
        <v>9896.0907229715449</v>
      </c>
    </row>
    <row r="27" spans="1:33" s="350" customFormat="1" ht="14.25">
      <c r="A27" s="1720" t="s">
        <v>1784</v>
      </c>
      <c r="B27" s="1720"/>
      <c r="C27" s="509">
        <v>1</v>
      </c>
      <c r="E27" s="959">
        <v>30000</v>
      </c>
      <c r="F27" s="959"/>
      <c r="G27" s="959">
        <f>E27*$C$27</f>
        <v>30000</v>
      </c>
      <c r="H27" s="959"/>
      <c r="I27" s="959">
        <f>G27*$C$27</f>
        <v>30000</v>
      </c>
      <c r="J27" s="369"/>
      <c r="K27" s="369">
        <f>I27*$C$27</f>
        <v>30000</v>
      </c>
      <c r="L27" s="369"/>
      <c r="M27" s="369">
        <f>K27*$C$27</f>
        <v>30000</v>
      </c>
      <c r="N27" s="369"/>
      <c r="O27" s="369">
        <f>M27*$C$27</f>
        <v>30000</v>
      </c>
      <c r="P27" s="369"/>
      <c r="Q27" s="369">
        <f>O27*$C$27</f>
        <v>30000</v>
      </c>
      <c r="R27" s="369"/>
      <c r="S27" s="369">
        <f>Q27*$C$27</f>
        <v>30000</v>
      </c>
      <c r="T27" s="369"/>
      <c r="U27" s="369">
        <f>S27*$C$27</f>
        <v>30000</v>
      </c>
      <c r="V27" s="369"/>
      <c r="W27" s="369">
        <f>U27*$C$27</f>
        <v>30000</v>
      </c>
      <c r="X27" s="369"/>
      <c r="Y27" s="369">
        <f>W27*$C$27</f>
        <v>30000</v>
      </c>
      <c r="Z27" s="369"/>
      <c r="AA27" s="369">
        <f>Y27*$C$27</f>
        <v>30000</v>
      </c>
      <c r="AB27" s="369"/>
      <c r="AC27" s="369">
        <f>AA27*$C$27</f>
        <v>30000</v>
      </c>
      <c r="AD27" s="369"/>
      <c r="AE27" s="369">
        <f>AC27*$C$27</f>
        <v>30000</v>
      </c>
      <c r="AF27" s="369"/>
      <c r="AG27" s="369">
        <f>AE27*$C$27</f>
        <v>30000</v>
      </c>
    </row>
    <row r="28" spans="1:33" s="350" customFormat="1" ht="14.25">
      <c r="A28" s="373" t="str">
        <f>Application!E869</f>
        <v>Monitoring, Bond and Trustee Fees</v>
      </c>
      <c r="B28" s="373"/>
      <c r="C28" s="509">
        <v>1</v>
      </c>
      <c r="E28" s="369">
        <f>Application!AC869-7150</f>
        <v>9250</v>
      </c>
      <c r="F28" s="369"/>
      <c r="G28" s="369">
        <f>16400</f>
        <v>16400</v>
      </c>
      <c r="H28" s="369"/>
      <c r="I28" s="369">
        <f>G28*$C$28</f>
        <v>16400</v>
      </c>
      <c r="J28" s="369"/>
      <c r="K28" s="369">
        <f>I28*$C$28</f>
        <v>16400</v>
      </c>
      <c r="L28" s="369"/>
      <c r="M28" s="369">
        <f>K28*$C$28</f>
        <v>16400</v>
      </c>
      <c r="N28" s="369"/>
      <c r="O28" s="369">
        <f>M28*$C$28</f>
        <v>16400</v>
      </c>
      <c r="P28" s="369"/>
      <c r="Q28" s="369">
        <f>O28*$C$28</f>
        <v>16400</v>
      </c>
      <c r="R28" s="369"/>
      <c r="S28" s="369">
        <f>Q28*$C$28</f>
        <v>16400</v>
      </c>
      <c r="T28" s="369"/>
      <c r="U28" s="369">
        <f>S28*$C$28</f>
        <v>16400</v>
      </c>
      <c r="V28" s="369"/>
      <c r="W28" s="369">
        <f>U28*$C$28</f>
        <v>16400</v>
      </c>
      <c r="X28" s="369"/>
      <c r="Y28" s="369">
        <f>W28*$C$28</f>
        <v>16400</v>
      </c>
      <c r="Z28" s="369"/>
      <c r="AA28" s="369">
        <f>Y28*$C$28</f>
        <v>16400</v>
      </c>
      <c r="AB28" s="369"/>
      <c r="AC28" s="369">
        <f>AA28*$C$28</f>
        <v>16400</v>
      </c>
      <c r="AD28" s="369"/>
      <c r="AE28" s="369">
        <f>AC28*$C$28</f>
        <v>16400</v>
      </c>
      <c r="AF28" s="369"/>
      <c r="AG28" s="369">
        <f>AE28*$C$28</f>
        <v>16400</v>
      </c>
    </row>
    <row r="29" spans="1:33" s="350" customFormat="1" ht="14.25">
      <c r="A29" s="965" t="s">
        <v>1786</v>
      </c>
      <c r="B29" s="965"/>
      <c r="C29" s="509"/>
      <c r="E29" s="369">
        <f>Application!AC870</f>
        <v>66961</v>
      </c>
      <c r="F29" s="369"/>
      <c r="G29" s="369">
        <f>E29</f>
        <v>66961</v>
      </c>
      <c r="H29" s="369"/>
      <c r="I29" s="369">
        <f>G29</f>
        <v>66961</v>
      </c>
      <c r="J29" s="369"/>
      <c r="K29" s="369">
        <v>66961</v>
      </c>
      <c r="L29" s="369"/>
      <c r="M29" s="369">
        <v>66961</v>
      </c>
      <c r="N29" s="369"/>
      <c r="O29" s="369">
        <v>66961</v>
      </c>
      <c r="P29" s="369"/>
      <c r="Q29" s="369">
        <v>66961</v>
      </c>
      <c r="R29" s="369"/>
      <c r="S29" s="369">
        <v>66961</v>
      </c>
      <c r="T29" s="369"/>
      <c r="U29" s="369">
        <v>66961</v>
      </c>
      <c r="V29" s="369"/>
      <c r="W29" s="369">
        <v>66961</v>
      </c>
      <c r="X29" s="369"/>
      <c r="Y29" s="369">
        <v>66961</v>
      </c>
      <c r="Z29" s="369"/>
      <c r="AA29" s="369">
        <v>66961</v>
      </c>
      <c r="AB29" s="369"/>
      <c r="AC29" s="369">
        <v>66961</v>
      </c>
      <c r="AD29" s="369"/>
      <c r="AE29" s="369">
        <v>66961</v>
      </c>
      <c r="AF29" s="369"/>
      <c r="AG29" s="369">
        <v>66961</v>
      </c>
    </row>
    <row r="30" spans="1:33" s="350" customFormat="1" ht="14.25">
      <c r="C30" s="367"/>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row>
    <row r="31" spans="1:33" s="370" customFormat="1" ht="15">
      <c r="A31" s="370" t="s">
        <v>191</v>
      </c>
      <c r="C31" s="371"/>
      <c r="E31" s="370">
        <f>SUM(E21:E29)</f>
        <v>950021</v>
      </c>
      <c r="G31" s="370">
        <f>SUM(G21:G29)</f>
        <v>985016.85</v>
      </c>
      <c r="I31" s="370">
        <f>SUM(I21:I29)</f>
        <v>1013835.0547499999</v>
      </c>
      <c r="K31" s="370">
        <f>SUM(K21:K29)</f>
        <v>1043659.6016662498</v>
      </c>
      <c r="M31" s="370">
        <f>SUM(M21:M29)</f>
        <v>1074525.6668245685</v>
      </c>
      <c r="O31" s="370">
        <f>SUM(O21:O29)</f>
        <v>1106469.6565454283</v>
      </c>
      <c r="Q31" s="370">
        <f>SUM(Q21:Q29)</f>
        <v>1139529.2504341584</v>
      </c>
      <c r="S31" s="370">
        <f>SUM(S21:S29)</f>
        <v>1173743.4459271864</v>
      </c>
      <c r="U31" s="370">
        <f>SUM(U21:U29)</f>
        <v>1209152.6043970275</v>
      </c>
      <c r="W31" s="370">
        <f>SUM(W21:W29)</f>
        <v>1245798.4988705607</v>
      </c>
      <c r="Y31" s="370">
        <f>SUM(Y21:Y29)</f>
        <v>1283724.3634170601</v>
      </c>
      <c r="AA31" s="370">
        <f>SUM(AA21:AA29)</f>
        <v>1322974.9442644075</v>
      </c>
      <c r="AC31" s="370">
        <f>SUM(AC21:AC29)</f>
        <v>1363596.5527039673</v>
      </c>
      <c r="AE31" s="370">
        <f>SUM(AE21:AE29)</f>
        <v>1405637.1198467179</v>
      </c>
      <c r="AG31" s="370">
        <f>SUM(AG21:AG29)</f>
        <v>1449146.2532954267</v>
      </c>
    </row>
    <row r="32" spans="1:33" s="350" customFormat="1" ht="14.25">
      <c r="C32" s="367"/>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row>
    <row r="33" spans="1:33" s="370" customFormat="1" ht="15">
      <c r="A33" s="370" t="s">
        <v>933</v>
      </c>
      <c r="C33" s="371"/>
      <c r="E33" s="370">
        <f>E10-E31</f>
        <v>373593.39999999991</v>
      </c>
      <c r="G33" s="370">
        <f>G10-G31</f>
        <v>371687.9099999998</v>
      </c>
      <c r="I33" s="370">
        <f>I10-I31</f>
        <v>376787.32424999983</v>
      </c>
      <c r="K33" s="370">
        <f>K10-K31</f>
        <v>381728.33680874971</v>
      </c>
      <c r="M33" s="370">
        <f>M10-M31</f>
        <v>386496.97011230607</v>
      </c>
      <c r="O33" s="370">
        <f>O10-O31</f>
        <v>391078.54631486791</v>
      </c>
      <c r="Q33" s="370">
        <f>Q10-Q31</f>
        <v>395457.65749764489</v>
      </c>
      <c r="S33" s="370">
        <f>S10-S31</f>
        <v>399618.13470291183</v>
      </c>
      <c r="U33" s="370">
        <f>U10-U31</f>
        <v>403543.01574882329</v>
      </c>
      <c r="W33" s="370">
        <f>W10-W31</f>
        <v>407214.51177893602</v>
      </c>
      <c r="Y33" s="370">
        <f>Y10-Y31</f>
        <v>410613.97249867395</v>
      </c>
      <c r="AA33" s="370">
        <f>AA10-AA31</f>
        <v>413721.85004921956</v>
      </c>
      <c r="AC33" s="370">
        <f>AC10-AC31</f>
        <v>416517.6614675005</v>
      </c>
      <c r="AE33" s="370">
        <f>AE10-AE31</f>
        <v>418979.94967903662</v>
      </c>
      <c r="AG33" s="370">
        <f>AG10-AG31</f>
        <v>421086.24296847149</v>
      </c>
    </row>
    <row r="34" spans="1:33" s="350" customFormat="1" ht="14.25">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5">
      <c r="A35" s="365" t="s">
        <v>947</v>
      </c>
      <c r="C35" s="367"/>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row>
    <row r="36" spans="1:33" s="350" customFormat="1" ht="14.25">
      <c r="A36" s="372" t="str">
        <f>Application!C618</f>
        <v>Citibank</v>
      </c>
      <c r="B36" s="373"/>
      <c r="C36" s="367"/>
      <c r="E36" s="369">
        <f>Application!AB618</f>
        <v>312065</v>
      </c>
      <c r="F36" s="369"/>
      <c r="G36" s="369">
        <f>$E$36</f>
        <v>312065</v>
      </c>
      <c r="H36" s="369"/>
      <c r="I36" s="369">
        <f>$E$36</f>
        <v>312065</v>
      </c>
      <c r="J36" s="369"/>
      <c r="K36" s="369">
        <f>$E$36</f>
        <v>312065</v>
      </c>
      <c r="L36" s="369"/>
      <c r="M36" s="369">
        <f>$E$36</f>
        <v>312065</v>
      </c>
      <c r="N36" s="369"/>
      <c r="O36" s="369">
        <f>$E$36</f>
        <v>312065</v>
      </c>
      <c r="P36" s="369"/>
      <c r="Q36" s="369">
        <f>$E$36</f>
        <v>312065</v>
      </c>
      <c r="R36" s="369"/>
      <c r="S36" s="369">
        <f>$E$36</f>
        <v>312065</v>
      </c>
      <c r="T36" s="369"/>
      <c r="U36" s="369">
        <f>$E$36</f>
        <v>312065</v>
      </c>
      <c r="V36" s="369"/>
      <c r="W36" s="369">
        <f>$E$36</f>
        <v>312065</v>
      </c>
      <c r="X36" s="369"/>
      <c r="Y36" s="369">
        <f>$E$36</f>
        <v>312065</v>
      </c>
      <c r="Z36" s="369"/>
      <c r="AA36" s="369">
        <f>$E$36</f>
        <v>312065</v>
      </c>
      <c r="AB36" s="369"/>
      <c r="AC36" s="369">
        <f>$E$36</f>
        <v>312065</v>
      </c>
      <c r="AD36" s="369"/>
      <c r="AE36" s="369">
        <f>$E$36</f>
        <v>312065</v>
      </c>
      <c r="AF36" s="369"/>
      <c r="AG36" s="369">
        <f>$E$36</f>
        <v>312065</v>
      </c>
    </row>
    <row r="37" spans="1:33" s="350" customFormat="1" ht="14.25">
      <c r="A37" s="372" t="s">
        <v>1786</v>
      </c>
      <c r="B37" s="373"/>
      <c r="C37" s="367"/>
      <c r="E37" s="369"/>
      <c r="F37" s="369"/>
      <c r="G37" s="369">
        <f>$E$37</f>
        <v>0</v>
      </c>
      <c r="H37" s="369"/>
      <c r="I37" s="369">
        <f>$E$37</f>
        <v>0</v>
      </c>
      <c r="J37" s="369"/>
      <c r="K37" s="369">
        <f>$E$37</f>
        <v>0</v>
      </c>
      <c r="L37" s="369"/>
      <c r="M37" s="369">
        <f>$E$37</f>
        <v>0</v>
      </c>
      <c r="N37" s="369"/>
      <c r="O37" s="369">
        <f>$E$37</f>
        <v>0</v>
      </c>
      <c r="P37" s="369"/>
      <c r="Q37" s="369">
        <f>$E$37</f>
        <v>0</v>
      </c>
      <c r="R37" s="369"/>
      <c r="S37" s="369">
        <f>$E$37</f>
        <v>0</v>
      </c>
      <c r="T37" s="369"/>
      <c r="U37" s="369">
        <f>$E$37</f>
        <v>0</v>
      </c>
      <c r="V37" s="369"/>
      <c r="W37" s="369">
        <f>$E$37</f>
        <v>0</v>
      </c>
      <c r="X37" s="369"/>
      <c r="Y37" s="369">
        <f>$E$37</f>
        <v>0</v>
      </c>
      <c r="Z37" s="369"/>
      <c r="AA37" s="369">
        <f>$E$37</f>
        <v>0</v>
      </c>
      <c r="AB37" s="369"/>
      <c r="AC37" s="369">
        <f>$E$37</f>
        <v>0</v>
      </c>
      <c r="AD37" s="369"/>
      <c r="AE37" s="369">
        <f>$E$37</f>
        <v>0</v>
      </c>
      <c r="AF37" s="369"/>
      <c r="AG37" s="369">
        <f>$E$37</f>
        <v>0</v>
      </c>
    </row>
    <row r="38" spans="1:33" s="350" customFormat="1" ht="14.25">
      <c r="A38" s="372"/>
      <c r="B38" s="373"/>
      <c r="C38" s="367"/>
      <c r="E38" s="379">
        <v>0</v>
      </c>
      <c r="F38" s="369"/>
      <c r="G38" s="379">
        <f>$E$38</f>
        <v>0</v>
      </c>
      <c r="H38" s="369"/>
      <c r="I38" s="379">
        <f>$E$38</f>
        <v>0</v>
      </c>
      <c r="J38" s="369"/>
      <c r="K38" s="379">
        <f>$E$38</f>
        <v>0</v>
      </c>
      <c r="L38" s="369"/>
      <c r="M38" s="379">
        <f>$E$38</f>
        <v>0</v>
      </c>
      <c r="N38" s="369"/>
      <c r="O38" s="379">
        <f>$E$38</f>
        <v>0</v>
      </c>
      <c r="P38" s="369"/>
      <c r="Q38" s="379">
        <f>$E$38</f>
        <v>0</v>
      </c>
      <c r="R38" s="369"/>
      <c r="S38" s="379">
        <f>$E$38</f>
        <v>0</v>
      </c>
      <c r="T38" s="369"/>
      <c r="U38" s="379">
        <f>$E$38</f>
        <v>0</v>
      </c>
      <c r="V38" s="369"/>
      <c r="W38" s="379">
        <f>$E$38</f>
        <v>0</v>
      </c>
      <c r="X38" s="369"/>
      <c r="Y38" s="379">
        <f>$E$38</f>
        <v>0</v>
      </c>
      <c r="Z38" s="369"/>
      <c r="AA38" s="379">
        <f>$E$38</f>
        <v>0</v>
      </c>
      <c r="AB38" s="369"/>
      <c r="AC38" s="379">
        <f>$E$38</f>
        <v>0</v>
      </c>
      <c r="AD38" s="369"/>
      <c r="AE38" s="379">
        <f>$E$38</f>
        <v>0</v>
      </c>
      <c r="AF38" s="369"/>
      <c r="AG38" s="379">
        <f>$E$38</f>
        <v>0</v>
      </c>
    </row>
    <row r="39" spans="1:33" s="370" customFormat="1" ht="15">
      <c r="A39" s="370" t="s">
        <v>934</v>
      </c>
      <c r="C39" s="371"/>
      <c r="E39" s="370">
        <f>SUM(E36:E38)</f>
        <v>312065</v>
      </c>
      <c r="G39" s="370">
        <f>SUM(G36:G38)</f>
        <v>312065</v>
      </c>
      <c r="I39" s="370">
        <f>SUM(I36:I38)</f>
        <v>312065</v>
      </c>
      <c r="K39" s="370">
        <f>SUM(K36:K38)</f>
        <v>312065</v>
      </c>
      <c r="M39" s="370">
        <f>SUM(M36:M38)</f>
        <v>312065</v>
      </c>
      <c r="O39" s="370">
        <f>SUM(O36:O38)</f>
        <v>312065</v>
      </c>
      <c r="Q39" s="370">
        <f>SUM(Q36:Q38)</f>
        <v>312065</v>
      </c>
      <c r="S39" s="370">
        <f>SUM(S36:S38)</f>
        <v>312065</v>
      </c>
      <c r="U39" s="370">
        <f>SUM(U36:U38)</f>
        <v>312065</v>
      </c>
      <c r="W39" s="370">
        <f>SUM(W36:W38)</f>
        <v>312065</v>
      </c>
      <c r="Y39" s="370">
        <f>SUM(Y36:Y38)</f>
        <v>312065</v>
      </c>
      <c r="AA39" s="370">
        <f>SUM(AA36:AA38)</f>
        <v>312065</v>
      </c>
      <c r="AC39" s="370">
        <f>SUM(AC36:AC38)</f>
        <v>312065</v>
      </c>
      <c r="AE39" s="370">
        <f>SUM(AE36:AE38)</f>
        <v>312065</v>
      </c>
      <c r="AG39" s="370">
        <f>SUM(AG36:AG38)</f>
        <v>312065</v>
      </c>
    </row>
    <row r="40" spans="1:33" s="350" customFormat="1" ht="14.25">
      <c r="C40" s="367"/>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row>
    <row r="41" spans="1:33" s="370" customFormat="1" ht="15">
      <c r="A41" s="370" t="s">
        <v>935</v>
      </c>
      <c r="C41" s="371"/>
      <c r="E41" s="370">
        <f>E33-E39</f>
        <v>61528.399999999907</v>
      </c>
      <c r="G41" s="370">
        <f>G33-G39</f>
        <v>59622.9099999998</v>
      </c>
      <c r="I41" s="370">
        <f>I33-I39</f>
        <v>64722.32424999983</v>
      </c>
      <c r="K41" s="370">
        <f>K33-K39</f>
        <v>69663.336808749707</v>
      </c>
      <c r="M41" s="370">
        <f>M33-M39</f>
        <v>74431.970112306066</v>
      </c>
      <c r="O41" s="370">
        <f>O33-O39</f>
        <v>79013.546314867912</v>
      </c>
      <c r="Q41" s="370">
        <f>Q33-Q39</f>
        <v>83392.65749764489</v>
      </c>
      <c r="S41" s="370">
        <f>S33-S39</f>
        <v>87553.134702911833</v>
      </c>
      <c r="U41" s="370">
        <f>U33-U39</f>
        <v>91478.015748823294</v>
      </c>
      <c r="W41" s="370">
        <f>W33-W39</f>
        <v>95149.511778936023</v>
      </c>
      <c r="Y41" s="370">
        <f>Y33-Y39</f>
        <v>98548.972498673946</v>
      </c>
      <c r="AA41" s="370">
        <f>AA33-AA39</f>
        <v>101656.85004921956</v>
      </c>
      <c r="AC41" s="370">
        <f>AC33-AC39</f>
        <v>104452.6614675005</v>
      </c>
      <c r="AE41" s="370">
        <f>AE33-AE39</f>
        <v>106914.94967903662</v>
      </c>
      <c r="AG41" s="370">
        <f>AG33-AG39</f>
        <v>109021.24296847149</v>
      </c>
    </row>
    <row r="42" spans="1:33" s="350" customFormat="1" ht="14.25">
      <c r="C42" s="367"/>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row>
    <row r="43" spans="1:33" s="374" customFormat="1" ht="14.25">
      <c r="A43" s="374" t="s">
        <v>937</v>
      </c>
      <c r="C43" s="367"/>
      <c r="E43" s="374">
        <f>E41/(E4+E6+E8)</f>
        <v>4.3002555199579476E-2</v>
      </c>
      <c r="G43" s="374">
        <f>G41/(G4+G6+G8)</f>
        <v>4.0654436292588976E-2</v>
      </c>
      <c r="I43" s="374">
        <f>I41/(I4+I6+I8)</f>
        <v>4.3055140854820831E-2</v>
      </c>
      <c r="K43" s="374">
        <f>K41/(K4+K6+K8)</f>
        <v>4.5211749950593683E-2</v>
      </c>
      <c r="M43" s="374">
        <f>M41/(M4+M6+M8)</f>
        <v>4.7128399699302624E-2</v>
      </c>
      <c r="O43" s="374">
        <f>O41/(O4+O6+O8)</f>
        <v>4.8809107643813278E-2</v>
      </c>
      <c r="Q43" s="374">
        <f>Q41/(Q4+Q6+Q8)</f>
        <v>5.0257775469760423E-2</v>
      </c>
      <c r="S43" s="374">
        <f>S41/(S4+S6+S8)</f>
        <v>5.1478191656836834E-2</v>
      </c>
      <c r="U43" s="374">
        <f>U41/(U4+U6+U8)</f>
        <v>5.2474034063712774E-2</v>
      </c>
      <c r="W43" s="374">
        <f>W41/(W4+W6+W8)</f>
        <v>5.3248872448193811E-2</v>
      </c>
      <c r="Y43" s="374">
        <f>Y41/(Y4+Y6+Y8)</f>
        <v>5.3806170924174827E-2</v>
      </c>
      <c r="AA43" s="374">
        <f>AA41/(AA4+AA6+AA8)</f>
        <v>5.414929035691534E-2</v>
      </c>
      <c r="AC43" s="374">
        <f>AC41/(AC4+AC6+AC8)</f>
        <v>5.4281490698126753E-2</v>
      </c>
      <c r="AE43" s="374">
        <f>AE41/(AE4+AE6+AE8)</f>
        <v>5.4205933262318179E-2</v>
      </c>
      <c r="AG43" s="374">
        <f>AG41/(AG4+AG6+AG8)</f>
        <v>5.3925682945819189E-2</v>
      </c>
    </row>
    <row r="44" spans="1:33" s="374" customFormat="1" ht="14.25">
      <c r="A44" s="374" t="s">
        <v>938</v>
      </c>
      <c r="C44" s="367"/>
      <c r="E44" s="374">
        <f>E41/E39</f>
        <v>0.19716533414512971</v>
      </c>
      <c r="G44" s="374">
        <f>G41/G39</f>
        <v>0.19105926649896593</v>
      </c>
      <c r="I44" s="374">
        <f>I41/I39</f>
        <v>0.20740013859292081</v>
      </c>
      <c r="K44" s="374">
        <f>K41/K39</f>
        <v>0.22323341870683899</v>
      </c>
      <c r="M44" s="374">
        <f>M41/M39</f>
        <v>0.23851431628765182</v>
      </c>
      <c r="O44" s="374">
        <f>O41/O39</f>
        <v>0.25319579675666259</v>
      </c>
      <c r="Q44" s="374">
        <f>Q41/Q39</f>
        <v>0.26722848604503835</v>
      </c>
      <c r="S44" s="374">
        <f>S41/S39</f>
        <v>0.28056057136465745</v>
      </c>
      <c r="U44" s="374">
        <f>U41/U39</f>
        <v>0.29313769807195073</v>
      </c>
      <c r="W44" s="374">
        <f>W41/W39</f>
        <v>0.30490286247716347</v>
      </c>
      <c r="Y44" s="374">
        <f>Y41/Y39</f>
        <v>0.31579630044597745</v>
      </c>
      <c r="AA44" s="374">
        <f>AA41/AA39</f>
        <v>0.32575537163481827</v>
      </c>
      <c r="AC44" s="374">
        <f>AC41/AC39</f>
        <v>0.33471443919536153</v>
      </c>
      <c r="AE44" s="374">
        <f>AE41/AE39</f>
        <v>0.34260474477764769</v>
      </c>
      <c r="AG44" s="374">
        <f>AG41/AG39</f>
        <v>0.34935427865499652</v>
      </c>
    </row>
    <row r="45" spans="1:33" s="375" customFormat="1" ht="14.25">
      <c r="A45" s="375" t="s">
        <v>936</v>
      </c>
      <c r="C45" s="376"/>
      <c r="E45" s="375">
        <f>E33/E39</f>
        <v>1.1971653341451298</v>
      </c>
      <c r="G45" s="375">
        <f>G33/G39</f>
        <v>1.1910592664989659</v>
      </c>
      <c r="I45" s="375">
        <f>I33/I39</f>
        <v>1.2074001385929207</v>
      </c>
      <c r="K45" s="375">
        <f>K33/K39</f>
        <v>1.223233418706839</v>
      </c>
      <c r="M45" s="375">
        <f>M33/M39</f>
        <v>1.2385143162876517</v>
      </c>
      <c r="O45" s="375">
        <f>O33/O39</f>
        <v>1.2531957967566625</v>
      </c>
      <c r="Q45" s="375">
        <f>Q33/Q39</f>
        <v>1.2672284860450382</v>
      </c>
      <c r="S45" s="375">
        <f>S33/S39</f>
        <v>1.2805605713646575</v>
      </c>
      <c r="U45" s="375">
        <f>U33/U39</f>
        <v>1.2931376980719507</v>
      </c>
      <c r="W45" s="375">
        <f>W33/W39</f>
        <v>1.3049028624771635</v>
      </c>
      <c r="Y45" s="375">
        <f>Y33/Y39</f>
        <v>1.3157963004459774</v>
      </c>
      <c r="AA45" s="375">
        <f>AA33/AA39</f>
        <v>1.3257553716348183</v>
      </c>
      <c r="AC45" s="375">
        <f>AC33/AC39</f>
        <v>1.3347144391953616</v>
      </c>
      <c r="AE45" s="375">
        <f>AE33/AE39</f>
        <v>1.3426047447776477</v>
      </c>
      <c r="AG45" s="375">
        <f>AG33/AG39</f>
        <v>1.3493542786549966</v>
      </c>
    </row>
    <row r="46" spans="1:33" s="350" customFormat="1" ht="14.25">
      <c r="A46" s="377"/>
      <c r="B46" s="377"/>
      <c r="C46" s="378"/>
      <c r="D46" s="377"/>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row>
    <row r="47" spans="1:33" s="152" customFormat="1">
      <c r="A47" s="152" t="s">
        <v>949</v>
      </c>
      <c r="C47" s="380"/>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row>
    <row r="48" spans="1:33" s="255" customFormat="1">
      <c r="A48" s="255" t="s">
        <v>940</v>
      </c>
      <c r="C48" s="394">
        <v>1.03</v>
      </c>
      <c r="E48" s="383">
        <v>7500</v>
      </c>
      <c r="G48" s="255">
        <f>E48*$C$48</f>
        <v>7725</v>
      </c>
      <c r="I48" s="255">
        <f t="shared" ref="I48" si="1">G48*$C$48</f>
        <v>7956.75</v>
      </c>
      <c r="K48" s="255">
        <f t="shared" ref="K48" si="2">I48*$C$48</f>
        <v>8195.4524999999994</v>
      </c>
      <c r="M48" s="255">
        <f t="shared" ref="M48" si="3">K48*$C$48</f>
        <v>8441.3160749999988</v>
      </c>
      <c r="O48" s="255">
        <f t="shared" ref="O48" si="4">M48*$C$48</f>
        <v>8694.5555572499998</v>
      </c>
      <c r="Q48" s="255">
        <f t="shared" ref="Q48" si="5">O48*$C$48</f>
        <v>8955.3922239674994</v>
      </c>
      <c r="S48" s="255">
        <f t="shared" ref="S48" si="6">Q48*$C$48</f>
        <v>9224.0539906865251</v>
      </c>
      <c r="U48" s="255">
        <f t="shared" ref="U48" si="7">S48*$C$48</f>
        <v>9500.7756104071213</v>
      </c>
      <c r="W48" s="255">
        <f t="shared" ref="W48" si="8">U48*$C$48</f>
        <v>9785.7988787193353</v>
      </c>
      <c r="Y48" s="255">
        <f t="shared" ref="Y48" si="9">W48*$C$48</f>
        <v>10079.372845080916</v>
      </c>
      <c r="AA48" s="255">
        <f t="shared" ref="AA48" si="10">Y48*$C$48</f>
        <v>10381.754030433343</v>
      </c>
      <c r="AC48" s="255">
        <f t="shared" ref="AC48" si="11">AA48*$C$48</f>
        <v>10693.206651346343</v>
      </c>
      <c r="AE48" s="255">
        <f t="shared" ref="AE48" si="12">AC48*$C$48</f>
        <v>11014.002850886734</v>
      </c>
      <c r="AG48" s="255">
        <f t="shared" ref="AG48" si="13">AE48*$C$48</f>
        <v>11344.422936413337</v>
      </c>
    </row>
    <row r="49" spans="1:35" s="152" customFormat="1" ht="14.25">
      <c r="A49" s="152" t="s">
        <v>941</v>
      </c>
      <c r="C49" s="394">
        <v>1.03</v>
      </c>
      <c r="E49" s="384">
        <v>2500</v>
      </c>
      <c r="F49" s="363"/>
      <c r="G49" s="369">
        <f>E49*$C$49</f>
        <v>2575</v>
      </c>
      <c r="H49" s="363"/>
      <c r="I49" s="369">
        <f>G49*$C$49</f>
        <v>2652.25</v>
      </c>
      <c r="J49" s="363"/>
      <c r="K49" s="369">
        <f t="shared" ref="K49" si="14">I49*$C$49</f>
        <v>2731.8175000000001</v>
      </c>
      <c r="L49" s="363"/>
      <c r="M49" s="369">
        <f t="shared" ref="M49" si="15">K49*$C$49</f>
        <v>2813.7720250000002</v>
      </c>
      <c r="N49" s="363"/>
      <c r="O49" s="369">
        <f t="shared" ref="O49" si="16">M49*$C$49</f>
        <v>2898.1851857500001</v>
      </c>
      <c r="P49" s="363"/>
      <c r="Q49" s="369">
        <f t="shared" ref="Q49" si="17">O49*$C$49</f>
        <v>2985.1307413224999</v>
      </c>
      <c r="R49" s="363"/>
      <c r="S49" s="369">
        <f t="shared" ref="S49" si="18">Q49*$C$49</f>
        <v>3074.684663562175</v>
      </c>
      <c r="T49" s="363"/>
      <c r="U49" s="369">
        <f t="shared" ref="U49" si="19">S49*$C$49</f>
        <v>3166.9252034690403</v>
      </c>
      <c r="V49" s="363"/>
      <c r="W49" s="369">
        <f t="shared" ref="W49" si="20">U49*$C$49</f>
        <v>3261.9329595731115</v>
      </c>
      <c r="X49" s="363"/>
      <c r="Y49" s="369">
        <f t="shared" ref="Y49" si="21">W49*$C$49</f>
        <v>3359.7909483603048</v>
      </c>
      <c r="Z49" s="363"/>
      <c r="AA49" s="369">
        <f t="shared" ref="AA49" si="22">Y49*$C$49</f>
        <v>3460.5846768111142</v>
      </c>
      <c r="AB49" s="363"/>
      <c r="AC49" s="369">
        <f t="shared" ref="AC49" si="23">AA49*$C$49</f>
        <v>3564.4022171154475</v>
      </c>
      <c r="AD49" s="363"/>
      <c r="AE49" s="369">
        <f t="shared" ref="AE49" si="24">AC49*$C$49</f>
        <v>3671.3342836289112</v>
      </c>
      <c r="AF49" s="363"/>
      <c r="AG49" s="369">
        <f t="shared" ref="AG49" si="25">AE49*$C$49</f>
        <v>3781.4743121377787</v>
      </c>
      <c r="AH49" s="363"/>
      <c r="AI49" s="363"/>
    </row>
    <row r="50" spans="1:35" s="152" customFormat="1" ht="14.25">
      <c r="A50" s="152" t="s">
        <v>942</v>
      </c>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4"/>
      <c r="F51" s="363"/>
      <c r="G51" s="369"/>
      <c r="H51" s="363"/>
      <c r="I51" s="369"/>
      <c r="J51" s="363"/>
      <c r="K51" s="369"/>
      <c r="L51" s="363"/>
      <c r="M51" s="369"/>
      <c r="N51" s="363"/>
      <c r="O51" s="369"/>
      <c r="P51" s="363"/>
      <c r="Q51" s="369"/>
      <c r="R51" s="363"/>
      <c r="S51" s="369"/>
      <c r="T51" s="363"/>
      <c r="U51" s="369"/>
      <c r="V51" s="363"/>
      <c r="W51" s="369"/>
      <c r="X51" s="363"/>
      <c r="Y51" s="369"/>
      <c r="Z51" s="363"/>
      <c r="AA51" s="369"/>
      <c r="AB51" s="363"/>
      <c r="AC51" s="369"/>
      <c r="AD51" s="363"/>
      <c r="AE51" s="369"/>
      <c r="AF51" s="363"/>
      <c r="AG51" s="369"/>
      <c r="AH51" s="363"/>
      <c r="AI51" s="363"/>
    </row>
    <row r="52" spans="1:35" s="152" customFormat="1" ht="14.25">
      <c r="A52" s="382"/>
      <c r="B52" s="382"/>
      <c r="C52" s="394"/>
      <c r="E52" s="389"/>
      <c r="F52" s="363"/>
      <c r="G52" s="379"/>
      <c r="H52" s="363"/>
      <c r="I52" s="379"/>
      <c r="J52" s="363"/>
      <c r="K52" s="379"/>
      <c r="L52" s="363"/>
      <c r="M52" s="379"/>
      <c r="N52" s="363"/>
      <c r="O52" s="379"/>
      <c r="P52" s="363"/>
      <c r="Q52" s="379"/>
      <c r="R52" s="363"/>
      <c r="S52" s="379"/>
      <c r="T52" s="363"/>
      <c r="U52" s="379"/>
      <c r="V52" s="363"/>
      <c r="W52" s="379"/>
      <c r="X52" s="363"/>
      <c r="Y52" s="379"/>
      <c r="Z52" s="363"/>
      <c r="AA52" s="379"/>
      <c r="AB52" s="363"/>
      <c r="AC52" s="379"/>
      <c r="AD52" s="363"/>
      <c r="AE52" s="379"/>
      <c r="AF52" s="363"/>
      <c r="AG52" s="379"/>
      <c r="AH52" s="363"/>
      <c r="AI52" s="363"/>
    </row>
    <row r="53" spans="1:35" s="152" customFormat="1">
      <c r="A53" s="255" t="s">
        <v>939</v>
      </c>
      <c r="C53" s="380"/>
      <c r="E53" s="363">
        <f>SUM(E48:E52)</f>
        <v>10000</v>
      </c>
      <c r="F53" s="363"/>
      <c r="G53" s="363">
        <f>SUM(G48:G52)</f>
        <v>10300</v>
      </c>
      <c r="H53" s="363"/>
      <c r="I53" s="363">
        <f>SUM(I48:I52)</f>
        <v>10609</v>
      </c>
      <c r="J53" s="363"/>
      <c r="K53" s="363">
        <f>SUM(K48:K52)</f>
        <v>10927.27</v>
      </c>
      <c r="L53" s="363"/>
      <c r="M53" s="363">
        <f>SUM(M48:M52)</f>
        <v>11255.088099999999</v>
      </c>
      <c r="N53" s="363"/>
      <c r="O53" s="363">
        <f>SUM(O48:O52)</f>
        <v>11592.740743</v>
      </c>
      <c r="P53" s="363"/>
      <c r="Q53" s="363">
        <f>SUM(Q48:Q52)</f>
        <v>11940.52296529</v>
      </c>
      <c r="R53" s="363"/>
      <c r="S53" s="363">
        <f>SUM(S48:S52)</f>
        <v>12298.7386542487</v>
      </c>
      <c r="T53" s="363"/>
      <c r="U53" s="363">
        <f>SUM(U48:U52)</f>
        <v>12667.700813876161</v>
      </c>
      <c r="V53" s="363"/>
      <c r="W53" s="363">
        <f>SUM(W48:W52)</f>
        <v>13047.731838292446</v>
      </c>
      <c r="X53" s="363"/>
      <c r="Y53" s="363">
        <f>SUM(Y48:Y52)</f>
        <v>13439.163793441221</v>
      </c>
      <c r="Z53" s="363"/>
      <c r="AA53" s="363">
        <f>SUM(AA48:AA52)</f>
        <v>13842.338707244457</v>
      </c>
      <c r="AB53" s="363"/>
      <c r="AC53" s="363">
        <f>SUM(AC48:AC52)</f>
        <v>14257.60886846179</v>
      </c>
      <c r="AD53" s="363"/>
      <c r="AE53" s="363">
        <f>SUM(AE48:AE52)</f>
        <v>14685.337134515645</v>
      </c>
      <c r="AF53" s="363"/>
      <c r="AG53" s="363">
        <f>SUM(AG48:AG52)</f>
        <v>15125.897248551115</v>
      </c>
      <c r="AH53" s="363"/>
      <c r="AI53" s="363"/>
    </row>
    <row r="54" spans="1:35" s="152" customFormat="1" ht="8.25" customHeight="1">
      <c r="A54" s="255"/>
      <c r="C54" s="380"/>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row>
    <row r="55" spans="1:35" s="255" customFormat="1">
      <c r="A55" s="255" t="s">
        <v>944</v>
      </c>
      <c r="C55" s="381"/>
      <c r="E55" s="255">
        <f>E41-E53</f>
        <v>51528.399999999907</v>
      </c>
      <c r="G55" s="255">
        <f>G41-G53</f>
        <v>49322.9099999998</v>
      </c>
      <c r="I55" s="255">
        <f>I41-I53</f>
        <v>54113.32424999983</v>
      </c>
      <c r="K55" s="255">
        <f>K41-K53</f>
        <v>58736.066808749703</v>
      </c>
      <c r="M55" s="255">
        <f>M41-M53</f>
        <v>63176.882012306065</v>
      </c>
      <c r="O55" s="255">
        <f>O41-O53</f>
        <v>67420.80557186791</v>
      </c>
      <c r="Q55" s="255">
        <f>Q41-Q53</f>
        <v>71452.134532354889</v>
      </c>
      <c r="S55" s="255">
        <f>S41-S53</f>
        <v>75254.396048663126</v>
      </c>
      <c r="U55" s="255">
        <f>U41-U53</f>
        <v>78810.314934947135</v>
      </c>
      <c r="W55" s="255">
        <f>W41-W53</f>
        <v>82101.779940643581</v>
      </c>
      <c r="Y55" s="255">
        <f>Y41-Y53</f>
        <v>85109.808705232717</v>
      </c>
      <c r="AA55" s="255">
        <f>AA41-AA53</f>
        <v>87814.5113419751</v>
      </c>
      <c r="AC55" s="255">
        <f>AC41-AC53</f>
        <v>90195.05259903871</v>
      </c>
      <c r="AE55" s="255">
        <f>AE41-AE53</f>
        <v>92229.612544520976</v>
      </c>
      <c r="AG55" s="255">
        <f>AG41-AG53</f>
        <v>93895.345719920369</v>
      </c>
    </row>
    <row r="56" spans="1:35" s="152" customFormat="1" ht="8.25" customHeight="1">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255" customFormat="1">
      <c r="A57" s="255" t="s">
        <v>943</v>
      </c>
      <c r="C57" s="381"/>
      <c r="E57" s="383"/>
      <c r="G57" s="383"/>
      <c r="I57" s="383"/>
      <c r="K57" s="383"/>
      <c r="M57" s="383"/>
      <c r="O57" s="383"/>
      <c r="Q57" s="383"/>
      <c r="S57" s="383"/>
      <c r="U57" s="383"/>
      <c r="W57" s="383"/>
      <c r="Y57" s="383"/>
      <c r="AA57" s="383"/>
      <c r="AC57" s="383"/>
      <c r="AE57" s="383"/>
      <c r="AG57" s="383"/>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948</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c r="B60" s="960" t="s">
        <v>1773</v>
      </c>
      <c r="C60" s="962">
        <v>0.34739999999999999</v>
      </c>
      <c r="E60" s="383">
        <f>$C$60*E55</f>
        <v>17900.966159999967</v>
      </c>
      <c r="G60" s="383">
        <f t="shared" ref="G60" si="26">$C$60*G55</f>
        <v>17134.778933999929</v>
      </c>
      <c r="I60" s="383">
        <f t="shared" ref="I60" si="27">$C$60*I55</f>
        <v>18798.968844449941</v>
      </c>
      <c r="K60" s="383">
        <f t="shared" ref="K60" si="28">$C$60*K55</f>
        <v>20404.909609359645</v>
      </c>
      <c r="M60" s="383">
        <f t="shared" ref="M60" si="29">$C$60*M55</f>
        <v>21947.648811075127</v>
      </c>
      <c r="O60" s="383">
        <f t="shared" ref="O60" si="30">$C$60*O55</f>
        <v>23421.98785566691</v>
      </c>
      <c r="Q60" s="383">
        <f t="shared" ref="Q60" si="31">$C$60*Q55</f>
        <v>24822.471536540088</v>
      </c>
      <c r="S60" s="383">
        <f t="shared" ref="S60" si="32">$C$60*S55</f>
        <v>26143.37718730557</v>
      </c>
      <c r="U60" s="383">
        <f t="shared" ref="U60" si="33">$C$60*U55</f>
        <v>27378.703408400634</v>
      </c>
      <c r="W60" s="383">
        <f t="shared" ref="W60" si="34">$C$60*W55</f>
        <v>28522.158351379578</v>
      </c>
      <c r="Y60" s="383">
        <f t="shared" ref="Y60" si="35">$C$60*Y55</f>
        <v>29567.147544197844</v>
      </c>
      <c r="AA60" s="383">
        <f t="shared" ref="AA60" si="36">$C$60*AA55</f>
        <v>30506.761240202148</v>
      </c>
      <c r="AC60" s="383">
        <f t="shared" ref="AC60" si="37">$C$60*AC55</f>
        <v>31333.761272906046</v>
      </c>
      <c r="AE60" s="383">
        <f t="shared" ref="AE60" si="38">$C$60*AE55</f>
        <v>32040.567397966584</v>
      </c>
      <c r="AG60" s="383">
        <f t="shared" ref="AG60" si="39">$C$60*AG55</f>
        <v>32619.243103100336</v>
      </c>
    </row>
    <row r="61" spans="1:35" s="363" customFormat="1">
      <c r="A61" s="384"/>
      <c r="B61" s="961" t="s">
        <v>1729</v>
      </c>
      <c r="C61" s="962">
        <v>0.15260000000000001</v>
      </c>
      <c r="E61" s="384">
        <f>E55*$C$61</f>
        <v>7863.2338399999862</v>
      </c>
      <c r="G61" s="384">
        <f t="shared" ref="G61" si="40">G55*$C$61</f>
        <v>7526.67606599997</v>
      </c>
      <c r="I61" s="384">
        <f t="shared" ref="I61" si="41">I55*$C$61</f>
        <v>8257.6932805499746</v>
      </c>
      <c r="K61" s="384">
        <f t="shared" ref="K61" si="42">K55*$C$61</f>
        <v>8963.1237950152063</v>
      </c>
      <c r="M61" s="384">
        <f t="shared" ref="M61" si="43">M55*$C$61</f>
        <v>9640.7921950779055</v>
      </c>
      <c r="O61" s="384">
        <f t="shared" ref="O61" si="44">O55*$C$61</f>
        <v>10288.414930267045</v>
      </c>
      <c r="Q61" s="384">
        <f t="shared" ref="Q61" si="45">Q55*$C$61</f>
        <v>10903.595729637356</v>
      </c>
      <c r="S61" s="384">
        <f t="shared" ref="S61" si="46">S55*$C$61</f>
        <v>11483.820837025994</v>
      </c>
      <c r="U61" s="384">
        <f t="shared" ref="U61" si="47">U55*$C$61</f>
        <v>12026.454059072934</v>
      </c>
      <c r="W61" s="384">
        <f t="shared" ref="W61" si="48">W55*$C$61</f>
        <v>12528.731618942211</v>
      </c>
      <c r="Y61" s="384">
        <f t="shared" ref="Y61" si="49">Y55*$C$61</f>
        <v>12987.756808418513</v>
      </c>
      <c r="AA61" s="384">
        <f t="shared" ref="AA61" si="50">AA55*$C$61</f>
        <v>13400.494430785402</v>
      </c>
      <c r="AC61" s="384">
        <f t="shared" ref="AC61" si="51">AC55*$C$61</f>
        <v>13763.765026613308</v>
      </c>
      <c r="AE61" s="384">
        <f t="shared" ref="AE61" si="52">AE55*$C$61</f>
        <v>14074.238874293902</v>
      </c>
      <c r="AG61" s="384">
        <f t="shared" ref="AG61" si="53">AG55*$C$61</f>
        <v>14328.42975685985</v>
      </c>
    </row>
    <row r="62" spans="1:35" s="363" customFormat="1">
      <c r="C62" s="364"/>
    </row>
    <row r="63" spans="1:35" s="363" customFormat="1">
      <c r="C63" s="364"/>
    </row>
    <row r="64" spans="1:35" s="363" customFormat="1">
      <c r="A64" s="363" t="s">
        <v>945</v>
      </c>
      <c r="C64" s="364"/>
    </row>
    <row r="65" spans="1:33" s="363" customFormat="1">
      <c r="C65" s="364"/>
    </row>
    <row r="66" spans="1:33" s="385" customFormat="1" ht="30" customHeight="1">
      <c r="A66" s="1719" t="s">
        <v>950</v>
      </c>
      <c r="B66" s="1719"/>
      <c r="C66" s="1719"/>
      <c r="D66" s="1719"/>
      <c r="E66" s="1719"/>
      <c r="F66" s="1719"/>
      <c r="G66" s="1719"/>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c r="AD66" s="1719"/>
      <c r="AE66" s="1719"/>
      <c r="AF66" s="1719"/>
      <c r="AG66" s="1719"/>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66:AG66"/>
    <mergeCell ref="A27:B27"/>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2020-11-24T22:46:29Z</cp:lastPrinted>
  <dcterms:created xsi:type="dcterms:W3CDTF">2007-12-27T18:26:28Z</dcterms:created>
  <dcterms:modified xsi:type="dcterms:W3CDTF">2020-11-24T22:58:45Z</dcterms:modified>
</cp:coreProperties>
</file>