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8E41408B-7F59-4866-BD3B-831104805CB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645" yWindow="45" windowWidth="23610" windowHeight="19995"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7" i="4" l="1"/>
  <c r="C47" i="4"/>
  <c r="C65" i="4"/>
  <c r="C66" i="4"/>
  <c r="AF406" i="3" l="1"/>
  <c r="AG430" i="3" l="1"/>
  <c r="S98" i="4"/>
  <c r="S92" i="4"/>
  <c r="S91" i="4"/>
  <c r="S90" i="4"/>
  <c r="S89" i="4"/>
  <c r="S86" i="4"/>
  <c r="S81" i="4"/>
  <c r="S77" i="4"/>
  <c r="S76" i="4"/>
  <c r="S50" i="4"/>
  <c r="S49" i="4"/>
  <c r="S48" i="4"/>
  <c r="S41" i="4"/>
  <c r="S38" i="4"/>
  <c r="C43" i="4"/>
  <c r="E36" i="7" l="1"/>
  <c r="E99" i="4" l="1"/>
  <c r="E100" i="4"/>
  <c r="E101" i="4"/>
  <c r="E102" i="4"/>
  <c r="E103" i="4"/>
  <c r="E81" i="4"/>
  <c r="E84" i="4"/>
  <c r="E85" i="4"/>
  <c r="E86" i="4"/>
  <c r="E87" i="4"/>
  <c r="E88" i="4"/>
  <c r="E89" i="4"/>
  <c r="E90" i="4"/>
  <c r="E91" i="4"/>
  <c r="E92" i="4"/>
  <c r="E93" i="4"/>
  <c r="E94" i="4"/>
  <c r="E70" i="4"/>
  <c r="E71" i="4"/>
  <c r="E72" i="4"/>
  <c r="E73" i="4"/>
  <c r="E56" i="4"/>
  <c r="E57" i="4"/>
  <c r="E58" i="4"/>
  <c r="E59" i="4"/>
  <c r="E60" i="4"/>
  <c r="E61" i="4"/>
  <c r="E77" i="4"/>
  <c r="E76" i="4"/>
  <c r="E69" i="4"/>
  <c r="E55" i="4"/>
  <c r="E45" i="4"/>
  <c r="E46" i="4"/>
  <c r="E48" i="4"/>
  <c r="E49" i="4"/>
  <c r="E50" i="4"/>
  <c r="E51" i="4"/>
  <c r="E52" i="4"/>
  <c r="E29" i="4"/>
  <c r="E30" i="4"/>
  <c r="E31" i="4"/>
  <c r="E32" i="4"/>
  <c r="E33" i="4"/>
  <c r="E34" i="4"/>
  <c r="E35" i="4"/>
  <c r="E41" i="4"/>
  <c r="E38" i="4"/>
  <c r="E28" i="4"/>
  <c r="E15" i="4"/>
  <c r="E14" i="4"/>
  <c r="E13" i="4"/>
  <c r="E10" i="4"/>
  <c r="E9" i="4"/>
  <c r="E5" i="4"/>
  <c r="E6" i="4"/>
  <c r="E7" i="4"/>
  <c r="E4" i="4"/>
  <c r="F33" i="4"/>
  <c r="F32" i="4"/>
  <c r="F30" i="4"/>
  <c r="F29" i="4"/>
  <c r="F28" i="4"/>
  <c r="G29" i="4"/>
  <c r="I29" i="4"/>
  <c r="C41" i="4"/>
  <c r="S35" i="4"/>
  <c r="S34" i="4"/>
  <c r="S33" i="4"/>
  <c r="S32" i="4"/>
  <c r="S30" i="4"/>
  <c r="S29" i="4"/>
  <c r="S28" i="4"/>
  <c r="C35" i="4"/>
  <c r="C34" i="4"/>
  <c r="S10" i="4"/>
  <c r="H4" i="4"/>
  <c r="AD984" i="3"/>
  <c r="AA911" i="3"/>
  <c r="AA910" i="3"/>
  <c r="AA909" i="3"/>
  <c r="I911" i="3"/>
  <c r="AA894" i="3"/>
  <c r="AA893" i="3"/>
  <c r="AB618" i="3"/>
  <c r="AB619" i="3" l="1"/>
  <c r="W826" i="3"/>
  <c r="W834" i="3"/>
  <c r="AG622" i="3" l="1"/>
  <c r="J98" i="4" s="1"/>
  <c r="AG621" i="3"/>
  <c r="AG620" i="3"/>
  <c r="P618" i="3"/>
  <c r="C622" i="3"/>
  <c r="C621" i="3"/>
  <c r="C620" i="3"/>
  <c r="I910" i="3" s="1"/>
  <c r="AG429" i="3" l="1"/>
  <c r="H304" i="3"/>
  <c r="H303" i="3"/>
  <c r="H302" i="3"/>
  <c r="H301" i="3"/>
  <c r="H300" i="3"/>
  <c r="H299" i="3"/>
  <c r="H298" i="3"/>
  <c r="H287" i="3"/>
  <c r="H283" i="3"/>
  <c r="Y273" i="3"/>
  <c r="L274" i="3"/>
  <c r="H288" i="3" s="1"/>
  <c r="Z250" i="3"/>
  <c r="M251" i="3"/>
  <c r="M250" i="3"/>
  <c r="L273" i="3" s="1"/>
  <c r="H286" i="3" s="1"/>
  <c r="A3" i="15" l="1"/>
  <c r="AN929" i="3" l="1"/>
  <c r="AD64" i="15" l="1"/>
  <c r="A61" i="15" l="1"/>
  <c r="AD67" i="15" l="1"/>
  <c r="Y67" i="15"/>
  <c r="T11" i="4" l="1"/>
  <c r="R10" i="4"/>
  <c r="R88" i="4"/>
  <c r="R81" i="4"/>
  <c r="T25" i="15"/>
  <c r="AI7" i="15" s="1"/>
  <c r="AG428" i="3"/>
  <c r="AG431" i="3"/>
  <c r="B58" i="4"/>
  <c r="C77" i="11"/>
  <c r="C78" i="11"/>
  <c r="D78" i="11" s="1"/>
  <c r="B77" i="11"/>
  <c r="D77" i="11" s="1"/>
  <c r="B78" i="11"/>
  <c r="I95" i="13"/>
  <c r="J95" i="13"/>
  <c r="J78" i="13"/>
  <c r="I78" i="13"/>
  <c r="G78" i="13"/>
  <c r="F78" i="13"/>
  <c r="D78" i="13"/>
  <c r="C78" i="13"/>
  <c r="H77" i="13"/>
  <c r="E77" i="13"/>
  <c r="B77" i="13"/>
  <c r="R77" i="4"/>
  <c r="R76" i="4"/>
  <c r="R78"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C63" i="13" s="1"/>
  <c r="C96" i="13" s="1"/>
  <c r="C105" i="13" s="1"/>
  <c r="J25" i="13"/>
  <c r="I25" i="13"/>
  <c r="I11" i="13"/>
  <c r="G25" i="13"/>
  <c r="D25" i="13"/>
  <c r="C25" i="13"/>
  <c r="J11" i="13"/>
  <c r="J63" i="13"/>
  <c r="D11" i="13"/>
  <c r="C11" i="13"/>
  <c r="C8" i="13"/>
  <c r="C12" i="13"/>
  <c r="D8" i="13"/>
  <c r="T104" i="4"/>
  <c r="H104" i="13" s="1"/>
  <c r="R103" i="4"/>
  <c r="R102" i="4"/>
  <c r="R101" i="4"/>
  <c r="R100" i="4"/>
  <c r="R99" i="4"/>
  <c r="R94" i="4"/>
  <c r="R93" i="4"/>
  <c r="R92" i="4"/>
  <c r="R91" i="4"/>
  <c r="R90" i="4"/>
  <c r="R89" i="4"/>
  <c r="R87" i="4"/>
  <c r="R86" i="4"/>
  <c r="R85" i="4"/>
  <c r="R84" i="4"/>
  <c r="R73" i="4"/>
  <c r="R72" i="4"/>
  <c r="R69" i="4"/>
  <c r="R70" i="4"/>
  <c r="R71" i="4"/>
  <c r="R61" i="4"/>
  <c r="R60" i="4"/>
  <c r="R59" i="4"/>
  <c r="R58" i="4"/>
  <c r="R57" i="4"/>
  <c r="R56" i="4"/>
  <c r="R55" i="4"/>
  <c r="R62" i="4" s="1"/>
  <c r="R52" i="4"/>
  <c r="R51" i="4"/>
  <c r="R50" i="4"/>
  <c r="R49" i="4"/>
  <c r="R48" i="4"/>
  <c r="R46" i="4"/>
  <c r="R45" i="4"/>
  <c r="R41" i="4"/>
  <c r="R39" i="4"/>
  <c r="R40" i="4" s="1"/>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B9" i="11" s="1"/>
  <c r="C5" i="11"/>
  <c r="B6" i="11"/>
  <c r="D6" i="11" s="1"/>
  <c r="C6" i="11"/>
  <c r="B7" i="11"/>
  <c r="D7" i="11" s="1"/>
  <c r="C7" i="11"/>
  <c r="C8" i="11"/>
  <c r="B8" i="11"/>
  <c r="B10" i="11"/>
  <c r="D10" i="11" s="1"/>
  <c r="B11" i="11"/>
  <c r="C10" i="11"/>
  <c r="C11" i="11"/>
  <c r="B14" i="11"/>
  <c r="C14" i="11"/>
  <c r="B15" i="11"/>
  <c r="C15" i="11"/>
  <c r="B16" i="11"/>
  <c r="D16" i="11" s="1"/>
  <c r="C16" i="11"/>
  <c r="B18" i="11"/>
  <c r="C18" i="11"/>
  <c r="B19" i="11"/>
  <c r="C19" i="11"/>
  <c r="D19" i="11" s="1"/>
  <c r="B20" i="11"/>
  <c r="C20" i="11"/>
  <c r="B21" i="11"/>
  <c r="C21" i="11"/>
  <c r="D21" i="11"/>
  <c r="B22" i="11"/>
  <c r="C22" i="11"/>
  <c r="D22" i="11" s="1"/>
  <c r="B23" i="11"/>
  <c r="C23" i="11"/>
  <c r="D23" i="11" s="1"/>
  <c r="B24" i="11"/>
  <c r="C24" i="11"/>
  <c r="D24" i="11" s="1"/>
  <c r="B25" i="11"/>
  <c r="C25" i="11"/>
  <c r="B27" i="11"/>
  <c r="C27" i="11"/>
  <c r="D27" i="11"/>
  <c r="B29" i="11"/>
  <c r="B30" i="11"/>
  <c r="B31" i="11"/>
  <c r="B32" i="11"/>
  <c r="B33" i="11"/>
  <c r="B34" i="11"/>
  <c r="D34" i="11" s="1"/>
  <c r="B35" i="11"/>
  <c r="B36" i="11"/>
  <c r="C29" i="11"/>
  <c r="C30" i="11"/>
  <c r="C31" i="11"/>
  <c r="C32" i="11"/>
  <c r="C33" i="11"/>
  <c r="D33" i="11"/>
  <c r="C34" i="11"/>
  <c r="C35" i="11"/>
  <c r="D35" i="11" s="1"/>
  <c r="C36" i="11"/>
  <c r="B39" i="11"/>
  <c r="C39" i="11"/>
  <c r="C41" i="11" s="1"/>
  <c r="C40" i="11"/>
  <c r="B40" i="11"/>
  <c r="B42" i="11"/>
  <c r="C42" i="11"/>
  <c r="D42" i="11" s="1"/>
  <c r="B44" i="11"/>
  <c r="D44" i="11" s="1"/>
  <c r="C44" i="11"/>
  <c r="B45" i="11"/>
  <c r="C45" i="11"/>
  <c r="B46" i="11"/>
  <c r="B47" i="11"/>
  <c r="B48" i="11"/>
  <c r="B49" i="11"/>
  <c r="B50" i="11"/>
  <c r="B51" i="11"/>
  <c r="B52" i="11"/>
  <c r="B53" i="11"/>
  <c r="C46" i="11"/>
  <c r="C47" i="11"/>
  <c r="D47" i="11" s="1"/>
  <c r="C48" i="11"/>
  <c r="D48" i="11" s="1"/>
  <c r="C49" i="11"/>
  <c r="C50" i="11"/>
  <c r="C51" i="11"/>
  <c r="C52" i="11"/>
  <c r="D52" i="11" s="1"/>
  <c r="C53" i="11"/>
  <c r="B56" i="11"/>
  <c r="D56" i="11" s="1"/>
  <c r="C56" i="11"/>
  <c r="B57" i="11"/>
  <c r="C57" i="11"/>
  <c r="B58" i="11"/>
  <c r="C58" i="11"/>
  <c r="B59" i="11"/>
  <c r="C59" i="11"/>
  <c r="B60" i="11"/>
  <c r="D60" i="11" s="1"/>
  <c r="C60" i="11"/>
  <c r="B61" i="11"/>
  <c r="C61" i="11"/>
  <c r="B62" i="11"/>
  <c r="D62" i="11" s="1"/>
  <c r="C62" i="11"/>
  <c r="B66" i="11"/>
  <c r="B67" i="11"/>
  <c r="C66" i="11"/>
  <c r="C67" i="11"/>
  <c r="B70" i="11"/>
  <c r="C70" i="11"/>
  <c r="B71" i="11"/>
  <c r="C71" i="11"/>
  <c r="D71" i="11" s="1"/>
  <c r="B72" i="11"/>
  <c r="C72" i="11"/>
  <c r="D72" i="11" s="1"/>
  <c r="B73" i="11"/>
  <c r="C73" i="11"/>
  <c r="B74" i="11"/>
  <c r="C74" i="11"/>
  <c r="B81" i="11"/>
  <c r="C81" i="11"/>
  <c r="D81" i="11" s="1"/>
  <c r="B82" i="11"/>
  <c r="C82" i="11"/>
  <c r="C83" i="11"/>
  <c r="C84" i="11"/>
  <c r="D84" i="11" s="1"/>
  <c r="C85" i="11"/>
  <c r="C86" i="11"/>
  <c r="C87" i="11"/>
  <c r="C88" i="11"/>
  <c r="C89" i="11"/>
  <c r="C90" i="11"/>
  <c r="C91" i="11"/>
  <c r="C92" i="11"/>
  <c r="D92" i="11" s="1"/>
  <c r="C93" i="11"/>
  <c r="C94" i="11"/>
  <c r="D94" i="11" s="1"/>
  <c r="C95" i="11"/>
  <c r="B83" i="11"/>
  <c r="B84" i="11"/>
  <c r="B85" i="11"/>
  <c r="D85" i="11" s="1"/>
  <c r="B86" i="11"/>
  <c r="B87" i="11"/>
  <c r="D87" i="11" s="1"/>
  <c r="B88" i="11"/>
  <c r="B89" i="11"/>
  <c r="B90" i="11"/>
  <c r="B91" i="11"/>
  <c r="D91" i="11" s="1"/>
  <c r="B92" i="11"/>
  <c r="B93" i="11"/>
  <c r="B94" i="11"/>
  <c r="B95" i="11"/>
  <c r="B99" i="11"/>
  <c r="C99" i="11"/>
  <c r="D99" i="11" s="1"/>
  <c r="B100" i="11"/>
  <c r="B101" i="11"/>
  <c r="D101" i="11" s="1"/>
  <c r="B102" i="11"/>
  <c r="B103" i="11"/>
  <c r="B104" i="11"/>
  <c r="C100" i="11"/>
  <c r="D100" i="11" s="1"/>
  <c r="C101" i="11"/>
  <c r="C102" i="11"/>
  <c r="C103" i="11"/>
  <c r="D103" i="11"/>
  <c r="C104" i="11"/>
  <c r="A4" i="8"/>
  <c r="B4" i="8"/>
  <c r="F4" i="8" s="1"/>
  <c r="C4" i="8"/>
  <c r="H4" i="8"/>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B36" i="4"/>
  <c r="D40" i="4"/>
  <c r="D53" i="4"/>
  <c r="D62" i="4"/>
  <c r="B62" i="4"/>
  <c r="D67" i="4"/>
  <c r="D74" i="4"/>
  <c r="D95" i="4"/>
  <c r="D104" i="4"/>
  <c r="AG630" i="3"/>
  <c r="AG632" i="3" s="1"/>
  <c r="S25" i="4"/>
  <c r="E25" i="13"/>
  <c r="S36" i="4"/>
  <c r="E36" i="13" s="1"/>
  <c r="S40" i="4"/>
  <c r="E40" i="13" s="1"/>
  <c r="S53" i="4"/>
  <c r="E53"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J8" i="4"/>
  <c r="J11" i="4"/>
  <c r="J25" i="4"/>
  <c r="J36" i="4"/>
  <c r="J40" i="4"/>
  <c r="J53" i="4"/>
  <c r="J62" i="4"/>
  <c r="J67" i="4"/>
  <c r="J74" i="4"/>
  <c r="J95" i="4"/>
  <c r="J104" i="4"/>
  <c r="K8" i="4"/>
  <c r="K11" i="4"/>
  <c r="L8" i="4"/>
  <c r="L11" i="4"/>
  <c r="L12" i="4"/>
  <c r="M8" i="4"/>
  <c r="M12" i="4" s="1"/>
  <c r="M11" i="4"/>
  <c r="N8" i="4"/>
  <c r="O8" i="4"/>
  <c r="O12" i="4" s="1"/>
  <c r="Q8" i="4"/>
  <c r="Q12" i="4" s="1"/>
  <c r="Q11" i="4"/>
  <c r="B9" i="4"/>
  <c r="B10" i="4"/>
  <c r="E11" i="4"/>
  <c r="F11" i="4"/>
  <c r="F25" i="4"/>
  <c r="F36" i="4"/>
  <c r="F40" i="4"/>
  <c r="F53" i="4"/>
  <c r="F62" i="4"/>
  <c r="N11" i="4"/>
  <c r="N12" i="4" s="1"/>
  <c r="O11" i="4"/>
  <c r="B13" i="4"/>
  <c r="B14" i="4"/>
  <c r="B15" i="4"/>
  <c r="AB48" i="15" s="1"/>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39" i="4" s="1"/>
  <c r="E40" i="4" s="1"/>
  <c r="G40" i="4"/>
  <c r="H40" i="4"/>
  <c r="K40" i="4"/>
  <c r="L40" i="4"/>
  <c r="O40" i="4"/>
  <c r="O63" i="4" s="1"/>
  <c r="O96" i="4" s="1"/>
  <c r="O105" i="4" s="1"/>
  <c r="Q40" i="4"/>
  <c r="B41" i="4"/>
  <c r="B43" i="4"/>
  <c r="E43" i="4" s="1"/>
  <c r="R43" i="4" s="1"/>
  <c r="B44" i="4"/>
  <c r="E44" i="4" s="1"/>
  <c r="B45" i="4"/>
  <c r="B46" i="4"/>
  <c r="B47" i="4"/>
  <c r="E47" i="4" s="1"/>
  <c r="R47" i="4" s="1"/>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E65" i="4" s="1"/>
  <c r="B66" i="4"/>
  <c r="E66" i="4" s="1"/>
  <c r="R66" i="4" s="1"/>
  <c r="F67" i="4"/>
  <c r="G67" i="4"/>
  <c r="H67" i="4"/>
  <c r="I67" i="4"/>
  <c r="K67" i="4"/>
  <c r="L67" i="4"/>
  <c r="Q67" i="4"/>
  <c r="B69" i="4"/>
  <c r="B70" i="4"/>
  <c r="B71" i="4"/>
  <c r="B72" i="4"/>
  <c r="B73" i="4"/>
  <c r="B74" i="4"/>
  <c r="E74" i="4"/>
  <c r="F74" i="4"/>
  <c r="G74" i="4"/>
  <c r="H74" i="4"/>
  <c r="I74" i="4"/>
  <c r="K74" i="4"/>
  <c r="L74" i="4"/>
  <c r="Q74" i="4"/>
  <c r="B76" i="4"/>
  <c r="B80" i="4"/>
  <c r="E80" i="4" s="1"/>
  <c r="R80" i="4" s="1"/>
  <c r="B81" i="4"/>
  <c r="B82" i="4"/>
  <c r="B83" i="4"/>
  <c r="B84" i="4"/>
  <c r="B85" i="4"/>
  <c r="B86" i="4"/>
  <c r="B87" i="4"/>
  <c r="B88" i="4"/>
  <c r="B89" i="4"/>
  <c r="B90" i="4"/>
  <c r="B91" i="4"/>
  <c r="B92" i="4"/>
  <c r="B93" i="4"/>
  <c r="B94" i="4"/>
  <c r="F95" i="4"/>
  <c r="G95" i="4"/>
  <c r="H95" i="4"/>
  <c r="I95" i="4"/>
  <c r="K95" i="4"/>
  <c r="L95" i="4"/>
  <c r="Q95" i="4"/>
  <c r="B98" i="4"/>
  <c r="E98" i="4" s="1"/>
  <c r="E104"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32" i="11"/>
  <c r="D15" i="11"/>
  <c r="D8" i="11"/>
  <c r="D53" i="11"/>
  <c r="D90" i="11"/>
  <c r="D70" i="11"/>
  <c r="D57" i="11"/>
  <c r="B63" i="11"/>
  <c r="D46" i="11"/>
  <c r="B53" i="4"/>
  <c r="S83" i="4" l="1"/>
  <c r="E83" i="13" s="1"/>
  <c r="E83" i="4"/>
  <c r="R83" i="4" s="1"/>
  <c r="S82" i="4"/>
  <c r="E82" i="4"/>
  <c r="D67" i="11"/>
  <c r="E67" i="4"/>
  <c r="D66" i="11"/>
  <c r="B67" i="4"/>
  <c r="R98" i="4"/>
  <c r="B40" i="4"/>
  <c r="R65" i="4"/>
  <c r="E53" i="4"/>
  <c r="E63" i="4" s="1"/>
  <c r="R44" i="4"/>
  <c r="R53" i="4"/>
  <c r="R74" i="4"/>
  <c r="R67" i="4"/>
  <c r="R36" i="4"/>
  <c r="C68" i="11"/>
  <c r="D86" i="11"/>
  <c r="D73" i="11"/>
  <c r="C79" i="11"/>
  <c r="D74" i="11"/>
  <c r="C54" i="11"/>
  <c r="D36" i="11"/>
  <c r="D88" i="11"/>
  <c r="D39" i="11"/>
  <c r="J12" i="4"/>
  <c r="D102" i="11"/>
  <c r="D93" i="11"/>
  <c r="D89" i="11"/>
  <c r="B75" i="11"/>
  <c r="B68" i="11"/>
  <c r="C63" i="11"/>
  <c r="D63" i="11" s="1"/>
  <c r="D45" i="11"/>
  <c r="D40" i="11"/>
  <c r="B37" i="11"/>
  <c r="D25" i="11"/>
  <c r="D20" i="11"/>
  <c r="D14" i="11"/>
  <c r="B12" i="11"/>
  <c r="D5" i="11"/>
  <c r="R8" i="4"/>
  <c r="R12" i="4" s="1"/>
  <c r="D63" i="13"/>
  <c r="D96" i="13" s="1"/>
  <c r="D105" i="13" s="1"/>
  <c r="J96" i="13"/>
  <c r="J105" i="13" s="1"/>
  <c r="J107" i="13" s="1"/>
  <c r="F63" i="4"/>
  <c r="F96" i="4" s="1"/>
  <c r="F105" i="4" s="1"/>
  <c r="P63" i="4"/>
  <c r="P96" i="4" s="1"/>
  <c r="P105" i="4" s="1"/>
  <c r="I63" i="4"/>
  <c r="I96" i="4" s="1"/>
  <c r="I105" i="4" s="1"/>
  <c r="G63" i="4"/>
  <c r="G96" i="4" s="1"/>
  <c r="G105" i="4" s="1"/>
  <c r="F12" i="4"/>
  <c r="K12" i="4"/>
  <c r="D12" i="4"/>
  <c r="B11" i="4"/>
  <c r="C105" i="11"/>
  <c r="D83" i="11"/>
  <c r="D61" i="11"/>
  <c r="D59" i="11"/>
  <c r="D51" i="11"/>
  <c r="B54" i="11"/>
  <c r="B41" i="11"/>
  <c r="D41" i="11" s="1"/>
  <c r="C37" i="11"/>
  <c r="D18" i="11"/>
  <c r="C12" i="11"/>
  <c r="I63" i="13"/>
  <c r="I96" i="13" s="1"/>
  <c r="I105" i="13" s="1"/>
  <c r="I107" i="13" s="1"/>
  <c r="AG432" i="3"/>
  <c r="AI27" i="15" s="1"/>
  <c r="H63" i="4"/>
  <c r="H96" i="4" s="1"/>
  <c r="H105" i="4" s="1"/>
  <c r="L63" i="4"/>
  <c r="L96" i="4" s="1"/>
  <c r="L105" i="4" s="1"/>
  <c r="J63" i="4"/>
  <c r="J96" i="4" s="1"/>
  <c r="J105" i="4" s="1"/>
  <c r="I12" i="4"/>
  <c r="C96" i="11"/>
  <c r="C75" i="11"/>
  <c r="D75" i="11" s="1"/>
  <c r="D50" i="11"/>
  <c r="D30" i="11"/>
  <c r="G63" i="13"/>
  <c r="G96" i="13" s="1"/>
  <c r="G105" i="13" s="1"/>
  <c r="G107" i="13" s="1"/>
  <c r="D37" i="11"/>
  <c r="D95" i="11"/>
  <c r="D31" i="11"/>
  <c r="B78" i="4"/>
  <c r="B26" i="11"/>
  <c r="B8" i="4"/>
  <c r="B11" i="13"/>
  <c r="B25" i="4"/>
  <c r="K63" i="4"/>
  <c r="K96" i="4" s="1"/>
  <c r="K105" i="4" s="1"/>
  <c r="B104" i="4"/>
  <c r="N63" i="4"/>
  <c r="N96" i="4" s="1"/>
  <c r="N105" i="4" s="1"/>
  <c r="M63" i="4"/>
  <c r="M96" i="4" s="1"/>
  <c r="M105" i="4" s="1"/>
  <c r="S63" i="4"/>
  <c r="E63" i="13" s="1"/>
  <c r="M38" i="7"/>
  <c r="D29" i="11"/>
  <c r="C9" i="11"/>
  <c r="D9" i="11" s="1"/>
  <c r="D58" i="11"/>
  <c r="R104" i="4"/>
  <c r="B79" i="11"/>
  <c r="D79" i="11" s="1"/>
  <c r="R25" i="4"/>
  <c r="D63" i="4"/>
  <c r="D96" i="4" s="1"/>
  <c r="D105" i="4" s="1"/>
  <c r="Q63" i="4"/>
  <c r="Q96" i="4" s="1"/>
  <c r="Q105" i="4" s="1"/>
  <c r="D12" i="13"/>
  <c r="D82" i="11"/>
  <c r="B105" i="11"/>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B64" i="11"/>
  <c r="D12" i="11"/>
  <c r="C12" i="4"/>
  <c r="B12" i="13" s="1"/>
  <c r="R82" i="4" l="1"/>
  <c r="R95" i="4" s="1"/>
  <c r="E95" i="4"/>
  <c r="E96" i="4" s="1"/>
  <c r="E105" i="4" s="1"/>
  <c r="S95" i="4"/>
  <c r="E95" i="13" s="1"/>
  <c r="E82" i="13"/>
  <c r="T27" i="15"/>
  <c r="Y27" i="15"/>
  <c r="AD27" i="15"/>
  <c r="D68" i="11"/>
  <c r="R63" i="4"/>
  <c r="R96" i="4" s="1"/>
  <c r="R105" i="4" s="1"/>
  <c r="D54" i="11"/>
  <c r="Z789" i="3"/>
  <c r="E6" i="7" s="1"/>
  <c r="M922" i="3"/>
  <c r="M923" i="3" s="1"/>
  <c r="D96" i="11"/>
  <c r="B63" i="4"/>
  <c r="C13" i="11"/>
  <c r="B12" i="4"/>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96" i="4" l="1"/>
  <c r="E96" i="13" s="1"/>
  <c r="AU675" i="3"/>
  <c r="S105" i="4"/>
  <c r="S107" i="4" s="1"/>
  <c r="E107" i="13" s="1"/>
  <c r="Y11" i="15" s="1"/>
  <c r="Y23" i="15" s="1"/>
  <c r="Y26" i="15" s="1"/>
  <c r="Y28" i="15" s="1"/>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105" i="13" l="1"/>
  <c r="AD1000" i="3"/>
  <c r="AD996" i="3"/>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I54" i="7"/>
  <c r="I43" i="7"/>
  <c r="Q4" i="7"/>
  <c r="S4" i="7" s="1"/>
  <c r="K44" i="7"/>
  <c r="M40" i="7"/>
  <c r="M44" i="7"/>
  <c r="S9" i="7"/>
  <c r="U8" i="7"/>
  <c r="U21" i="7"/>
  <c r="U30" i="7" s="1"/>
  <c r="W14" i="7"/>
  <c r="K43" i="7"/>
  <c r="K42" i="7"/>
  <c r="K54" i="7"/>
  <c r="O7" i="7"/>
  <c r="O10" i="7" s="1"/>
  <c r="O32" i="7" s="1"/>
  <c r="Q6" i="7"/>
  <c r="M26" i="3" l="1"/>
  <c r="AB57" i="15"/>
  <c r="AB59" i="15" s="1"/>
  <c r="AB76" i="15" s="1"/>
  <c r="AB77" i="15" s="1"/>
  <c r="AB87" i="15" s="1"/>
  <c r="Q5" i="7"/>
  <c r="O40" i="7"/>
  <c r="O44" i="7"/>
  <c r="W21" i="7"/>
  <c r="W30" i="7" s="1"/>
  <c r="Y14" i="7"/>
  <c r="W8" i="7"/>
  <c r="U9" i="7"/>
  <c r="M43" i="7"/>
  <c r="M42" i="7"/>
  <c r="M54" i="7"/>
  <c r="U4" i="7"/>
  <c r="S5" i="7"/>
  <c r="Q7" i="7"/>
  <c r="S6" i="7"/>
  <c r="M27" i="3" l="1"/>
  <c r="P204" i="3" s="1"/>
  <c r="P203" i="3" s="1"/>
  <c r="AB86" i="15"/>
  <c r="AB78" i="15"/>
  <c r="AB80" i="15" s="1"/>
  <c r="J81" i="15"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<sst xmlns="http://schemas.openxmlformats.org/spreadsheetml/2006/main" count="3646" uniqueCount="1804">
  <si>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</si>
  <si>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</si>
  <si>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</si>
  <si>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</si>
  <si>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</si>
  <si>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</si>
  <si>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</si>
  <si>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</si>
  <si>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</si>
  <si>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</si>
  <si>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</si>
  <si>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</si>
  <si>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</si>
  <si>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</si>
  <si>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</si>
  <si>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</si>
  <si>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</si>
  <si>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</si>
  <si>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</si>
  <si>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</si>
  <si>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</si>
  <si>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</si>
  <si>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</si>
  <si>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</si>
  <si>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</si>
  <si>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</si>
  <si>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</si>
  <si>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</si>
  <si>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</si>
  <si>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</si>
  <si>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</si>
  <si>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</si>
  <si>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</si>
  <si>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</si>
  <si>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</si>
  <si>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</si>
  <si>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</si>
  <si>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</si>
  <si>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</si>
  <si>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</si>
  <si>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</si>
  <si>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</si>
  <si>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</si>
  <si>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</si>
  <si>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</si>
  <si>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</si>
  <si>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</si>
  <si>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</si>
  <si>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</si>
  <si>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</si>
  <si>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</si>
  <si>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</si>
  <si>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</si>
  <si>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</si>
  <si>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</si>
  <si>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</si>
  <si>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</si>
  <si>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</si>
  <si>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</si>
  <si>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</si>
  <si>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</si>
  <si>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</si>
  <si>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</si>
  <si>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</si>
  <si>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</si>
  <si>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</si>
  <si>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</si>
  <si>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</si>
  <si>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</si>
  <si>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</si>
  <si>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</si>
  <si>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</si>
  <si>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</si>
  <si>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</si>
  <si>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</si>
  <si>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</si>
  <si>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</si>
  <si>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</si>
  <si>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</si>
  <si>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</si>
  <si>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</si>
  <si>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</si>
  <si>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</si>
  <si>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</si>
  <si>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</si>
  <si>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</si>
  <si>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</si>
  <si>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</si>
  <si>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</si>
  <si>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</si>
  <si>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</si>
  <si>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</si>
  <si>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</si>
  <si>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</si>
  <si>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</si>
  <si>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</si>
  <si>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</si>
  <si>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</si>
  <si>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</si>
  <si>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</si>
  <si>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</si>
  <si>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</si>
  <si>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</si>
  <si>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</si>
  <si>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</si>
  <si>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</si>
  <si>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</si>
  <si>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</si>
  <si>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</si>
  <si>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</si>
  <si>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</si>
  <si>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</si>
  <si>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</si>
  <si>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</si>
  <si>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</si>
  <si>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</si>
  <si>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</si>
  <si>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</si>
  <si>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</si>
  <si>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</si>
  <si>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</si>
  <si>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</si>
  <si>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</si>
  <si>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</si>
  <si>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</si>
  <si>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</si>
  <si>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</si>
  <si>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</si>
  <si>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</si>
  <si>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</si>
  <si>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</si>
  <si>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</si>
  <si>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</si>
  <si>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</si>
  <si>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</si>
  <si>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</si>
  <si>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</si>
  <si>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</si>
  <si>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</si>
  <si>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</si>
  <si>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</si>
  <si>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</si>
  <si>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</si>
  <si>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</si>
  <si>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</si>
  <si>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</si>
  <si>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</si>
  <si>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</si>
  <si>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</si>
  <si>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</si>
  <si>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</si>
  <si>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</si>
  <si>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</si>
  <si>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</si>
  <si>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</si>
  <si>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</si>
  <si>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</si>
  <si>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</si>
  <si>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</si>
  <si>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</si>
  <si>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</si>
  <si>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</si>
  <si>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</si>
  <si>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</si>
  <si>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</si>
  <si>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</si>
  <si>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</si>
  <si>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</si>
  <si>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</si>
  <si>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</si>
  <si>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</si>
  <si>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</si>
  <si>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</si>
  <si>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</si>
  <si>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</si>
  <si>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</si>
  <si>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</si>
  <si>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</si>
  <si>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</si>
  <si>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</si>
  <si>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</si>
  <si>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</si>
  <si>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</si>
  <si>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</si>
  <si>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</si>
  <si>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</si>
  <si>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</si>
  <si>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</si>
  <si>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</si>
  <si>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</si>
  <si>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</si>
  <si>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</si>
  <si>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</si>
  <si>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</si>
  <si>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</si>
  <si>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</si>
  <si>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</si>
  <si>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</si>
  <si>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</si>
  <si>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</si>
  <si>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</si>
  <si>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</si>
  <si>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</si>
  <si>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</si>
  <si>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</si>
  <si>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</si>
  <si>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</si>
  <si>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</si>
  <si>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</si>
  <si>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</si>
  <si>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</si>
  <si>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</si>
  <si>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</si>
  <si>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</si>
  <si>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</si>
  <si>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</si>
  <si>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</si>
  <si>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</si>
  <si>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</si>
  <si>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</si>
  <si>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</si>
  <si>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</si>
  <si>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</si>
  <si>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</si>
  <si>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</si>
  <si>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</si>
  <si>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</si>
  <si>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</si>
  <si>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</si>
  <si>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</si>
  <si>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</si>
  <si>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</si>
  <si>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</si>
  <si>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</si>
  <si>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</si>
  <si>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</si>
  <si>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</si>
  <si>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</si>
  <si>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</si>
  <si>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</si>
  <si>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</si>
  <si>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</si>
  <si>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</si>
  <si>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</si>
  <si>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</si>
  <si>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</si>
  <si>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</si>
  <si>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</si>
  <si>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</si>
  <si>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</si>
  <si>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</si>
  <si>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</si>
  <si>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</si>
  <si>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</si>
  <si>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</si>
  <si>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</si>
  <si>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</si>
  <si>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</si>
  <si>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</si>
  <si>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</si>
  <si>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</si>
  <si>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</si>
  <si>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</si>
  <si>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</si>
  <si>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</si>
  <si>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</si>
  <si>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</si>
  <si>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</si>
  <si>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</si>
  <si>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</si>
  <si>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</si>
  <si>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</si>
  <si>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</si>
  <si>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</si>
  <si>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</si>
  <si>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</si>
  <si>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</si>
  <si>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</si>
  <si>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</si>
  <si>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</si>
  <si>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</si>
  <si>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</si>
  <si>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</si>
  <si>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</si>
  <si>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</si>
  <si>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</si>
  <si>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</si>
  <si>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</si>
  <si>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</si>
  <si>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</si>
  <si>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</si>
  <si>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</si>
  <si>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</si>
  <si>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</si>
  <si>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</si>
  <si>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</si>
  <si>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</si>
  <si>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</si>
  <si>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</si>
  <si>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</si>
  <si>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</si>
  <si>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</si>
  <si>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</si>
  <si>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</si>
  <si>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</si>
  <si>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</si>
  <si>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</si>
  <si>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</si>
  <si>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</si>
  <si>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</si>
  <si>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</si>
  <si>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</si>
  <si>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</si>
  <si>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</si>
  <si>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</si>
  <si>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</si>
  <si>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</si>
  <si>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</si>
  <si>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</si>
  <si>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</si>
  <si>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</si>
  <si>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</si>
  <si>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</si>
  <si>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</si>
  <si>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</si>
  <si>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</si>
  <si>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</si>
  <si>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</si>
  <si>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</si>
  <si>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</si>
  <si>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</si>
  <si>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</si>
  <si>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</si>
  <si>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</si>
  <si>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</si>
  <si>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</si>
  <si>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</si>
  <si>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</si>
  <si>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</si>
  <si>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</si>
  <si>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</si>
  <si>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</si>
  <si>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</si>
  <si>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</si>
  <si>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</si>
  <si>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</si>
  <si>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</si>
  <si>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</si>
  <si>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</si>
  <si>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</si>
  <si>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</si>
  <si>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</si>
  <si>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</si>
  <si>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</si>
  <si>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</si>
  <si>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</si>
  <si>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</si>
  <si>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</si>
  <si>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</si>
  <si>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</si>
  <si>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</si>
  <si>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</si>
  <si>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</si>
  <si>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</si>
  <si>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</si>
  <si>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</si>
  <si>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</si>
  <si>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</si>
  <si>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</si>
  <si>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</si>
  <si>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</si>
  <si>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</si>
  <si>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</si>
  <si>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</si>
  <si>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</si>
  <si>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</si>
  <si>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</si>
  <si>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</si>
  <si>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</si>
  <si>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</si>
  <si>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</si>
  <si>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</si>
  <si>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</si>
  <si>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</si>
  <si>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</si>
  <si>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</si>
  <si>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</si>
  <si>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</si>
  <si>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</si>
  <si>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</si>
  <si>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</si>
  <si>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</si>
  <si>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</si>
  <si>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</si>
  <si>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</si>
  <si>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</si>
  <si>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</si>
  <si>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</si>
  <si>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</si>
  <si>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</si>
  <si>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</si>
  <si>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</si>
  <si>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</si>
  <si>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</si>
  <si>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</si>
  <si>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</si>
  <si>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</si>
  <si>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</si>
  <si>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</si>
  <si>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</si>
  <si>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</si>
  <si>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</si>
  <si>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</si>
  <si>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</si>
  <si>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</si>
  <si>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</si>
  <si>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</si>
  <si>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</si>
  <si>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</si>
  <si>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</si>
  <si>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</si>
  <si>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</si>
  <si>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</si>
  <si>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</si>
  <si>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</si>
  <si>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</si>
  <si>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</si>
  <si>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</si>
  <si>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</si>
  <si>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</si>
  <si>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</si>
  <si>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</si>
  <si>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</si>
  <si>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</si>
  <si>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</si>
  <si>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</si>
  <si>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</si>
  <si>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</si>
  <si>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</si>
  <si>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</si>
  <si>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</si>
  <si>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</si>
  <si>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</si>
  <si>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</si>
  <si>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</si>
  <si>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</si>
  <si>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</si>
  <si>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</si>
  <si>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</si>
  <si>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</si>
  <si>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</si>
  <si>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</si>
  <si>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</si>
  <si>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</si>
  <si>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</si>
  <si>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</si>
  <si>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</si>
  <si>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</si>
  <si>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</si>
  <si>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</si>
  <si>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</si>
  <si>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</si>
  <si>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</si>
  <si>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</si>
  <si>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</si>
  <si>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</si>
  <si>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</si>
  <si>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</si>
  <si>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</si>
  <si>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</si>
  <si>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</si>
  <si>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</si>
  <si>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</si>
  <si>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</si>
  <si>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</si>
  <si>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</si>
  <si>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</si>
  <si>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</si>
  <si>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</si>
  <si>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</si>
  <si>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</si>
  <si>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</si>
  <si>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</si>
  <si>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</si>
  <si>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</si>
  <si>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</si>
  <si>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</si>
  <si>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</si>
  <si>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</si>
  <si>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</si>
  <si>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</si>
  <si>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</si>
  <si>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</si>
  <si>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</si>
  <si>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</si>
  <si>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</si>
  <si>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</si>
  <si>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</si>
  <si>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</si>
  <si>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</si>
  <si>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</si>
  <si>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</si>
  <si>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</si>
  <si>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</si>
  <si>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</si>
  <si>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</si>
  <si>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</si>
  <si>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</si>
  <si>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</si>
  <si>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</si>
  <si>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</si>
  <si>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</si>
  <si>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</si>
  <si>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</si>
  <si>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</si>
  <si>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</si>
  <si>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</si>
  <si>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</si>
  <si>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</si>
  <si>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</si>
  <si>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</si>
  <si>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</si>
  <si>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</si>
  <si>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</si>
  <si>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</si>
  <si>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</si>
  <si>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</si>
  <si>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</si>
  <si>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</si>
  <si>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</si>
  <si>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</si>
  <si>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</si>
  <si>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</si>
  <si>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</si>
  <si>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</si>
  <si>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</si>
  <si>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</si>
  <si>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</si>
  <si>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</si>
  <si>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</si>
  <si>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</si>
  <si>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</si>
  <si>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</si>
  <si>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</si>
  <si>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</si>
  <si>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</si>
  <si>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</si>
  <si>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</si>
  <si>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</si>
  <si>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</si>
  <si>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</si>
  <si>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</si>
  <si>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</si>
  <si>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</si>
  <si>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</si>
  <si>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</si>
  <si>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</si>
  <si>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</si>
  <si>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</si>
  <si>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</si>
  <si>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</si>
  <si>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</si>
  <si>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</si>
  <si>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</si>
  <si>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</si>
  <si>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</si>
  <si>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</si>
  <si>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</si>
  <si>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</si>
  <si>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</si>
  <si>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</si>
  <si>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</si>
  <si>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</si>
  <si>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</si>
  <si>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</si>
  <si>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</si>
  <si>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</si>
  <si>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</si>
  <si>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</si>
  <si>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</si>
  <si>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</si>
  <si>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</si>
  <si>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</si>
  <si>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</si>
  <si>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</si>
  <si>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</si>
  <si>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</si>
  <si>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</si>
  <si>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</si>
  <si>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</si>
  <si>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</si>
  <si>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</si>
  <si>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</si>
  <si>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</si>
  <si>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</si>
  <si>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</si>
  <si>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</si>
  <si>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</si>
  <si>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</si>
  <si>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</si>
  <si>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</si>
  <si>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</si>
  <si>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</si>
  <si>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</si>
  <si>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</si>
  <si>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</si>
  <si>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</si>
  <si>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</si>
  <si>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</si>
  <si>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</si>
  <si>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</si>
  <si>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</si>
  <si>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</si>
  <si>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</si>
  <si>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</si>
  <si>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</si>
  <si>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</si>
  <si>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</si>
  <si>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</si>
  <si>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</si>
  <si>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</si>
  <si>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</si>
  <si>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</si>
  <si>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</si>
  <si>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</si>
  <si>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</si>
  <si>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</si>
  <si>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</si>
  <si>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</si>
  <si>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</si>
  <si>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</si>
  <si>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</si>
  <si>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</si>
  <si>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</si>
  <si>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</si>
  <si>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</si>
  <si>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</si>
  <si>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</si>
  <si>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</si>
  <si>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</si>
  <si>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</si>
  <si>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</si>
  <si>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</si>
  <si>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</si>
  <si>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</si>
  <si>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</si>
  <si>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</si>
  <si>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</si>
  <si>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</si>
  <si>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</si>
  <si>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</si>
  <si>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</si>
  <si>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</si>
  <si>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</si>
  <si>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</si>
  <si>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</si>
  <si>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</si>
  <si>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</si>
  <si>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</si>
  <si>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</si>
  <si>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</si>
  <si>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</si>
  <si>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</si>
  <si>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</si>
  <si>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</si>
  <si>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</si>
  <si>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</si>
  <si>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</si>
  <si>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</si>
  <si>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</si>
  <si>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</si>
  <si>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</si>
  <si>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</si>
  <si>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</si>
  <si>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</si>
  <si>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</si>
  <si>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</si>
  <si>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</si>
  <si>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</si>
  <si>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</si>
  <si>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</si>
  <si>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</si>
  <si>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</si>
  <si>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</si>
  <si>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</si>
  <si>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</si>
  <si>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</si>
  <si>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</si>
  <si>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</si>
  <si>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</si>
  <si>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</si>
  <si>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</si>
  <si>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</si>
  <si>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</si>
  <si>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</si>
  <si>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</si>
  <si>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</si>
  <si>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</si>
  <si>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</si>
  <si>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</si>
  <si>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</si>
  <si>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</si>
  <si>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</si>
  <si>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</si>
  <si>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</si>
  <si>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</si>
  <si>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</si>
  <si>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</si>
  <si>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</si>
  <si>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</si>
  <si>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</si>
  <si>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</si>
  <si>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</si>
  <si>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</si>
  <si>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</si>
  <si>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</si>
  <si>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</si>
  <si>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</si>
  <si>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</si>
  <si>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</si>
  <si>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</si>
  <si>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</si>
  <si>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</si>
  <si>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</si>
  <si>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</si>
  <si>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</si>
  <si>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</si>
  <si>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</si>
  <si>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</si>
  <si>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</si>
  <si>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</si>
  <si>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</si>
  <si>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</si>
  <si>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</si>
  <si>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</si>
  <si>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</si>
  <si>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</si>
  <si>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</si>
  <si>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</si>
  <si>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</si>
  <si>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</si>
  <si>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</si>
  <si>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</si>
  <si>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</si>
  <si>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</si>
  <si>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</si>
  <si>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</si>
  <si>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</si>
  <si>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</si>
  <si>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</si>
  <si>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</si>
  <si>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</si>
  <si>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</si>
  <si>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</si>
  <si>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</si>
  <si>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</si>
  <si>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</si>
  <si>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</si>
  <si>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</si>
  <si>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</si>
  <si>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</si>
  <si>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</si>
  <si>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</si>
  <si>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</si>
  <si>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</si>
  <si>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</si>
  <si>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</si>
  <si>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</si>
  <si>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</si>
  <si>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</si>
  <si>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</si>
  <si>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</si>
  <si>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</si>
  <si>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</si>
  <si>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</si>
  <si>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</si>
  <si>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</si>
  <si>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</si>
  <si>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</si>
  <si>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</si>
  <si>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</si>
  <si>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</si>
  <si>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</si>
  <si>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</si>
  <si>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</si>
  <si>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</si>
  <si>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</si>
  <si>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</si>
  <si>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</si>
  <si>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</si>
  <si>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</si>
  <si>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</si>
  <si>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</si>
  <si>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</si>
  <si>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</si>
  <si>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</si>
  <si>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</si>
  <si>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</si>
  <si>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</si>
  <si>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</si>
  <si>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</si>
  <si>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</si>
  <si>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</si>
  <si>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</si>
  <si>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</si>
  <si>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</si>
  <si>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</si>
  <si>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</si>
  <si>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</si>
  <si>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</si>
  <si>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</si>
  <si>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</si>
  <si>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</si>
  <si>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</si>
  <si>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</si>
  <si>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</si>
  <si>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</si>
  <si>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</si>
  <si>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</si>
  <si>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</si>
  <si>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</si>
  <si>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</si>
  <si>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</si>
  <si>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</si>
  <si>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</si>
  <si>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</si>
  <si>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</si>
  <si>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</si>
  <si>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</si>
  <si>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</si>
  <si>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</si>
  <si>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</si>
  <si>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</si>
  <si>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</si>
  <si>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</si>
  <si>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</si>
  <si>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</si>
  <si>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</si>
  <si>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</si>
  <si>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</si>
  <si>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</si>
  <si>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</si>
  <si>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</si>
  <si>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</si>
  <si>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</si>
  <si>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</si>
  <si>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</si>
  <si>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</si>
  <si>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</si>
  <si>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</si>
  <si>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</si>
  <si>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</si>
  <si>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</si>
  <si>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</si>
  <si>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</si>
  <si>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</si>
  <si>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</si>
  <si>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</si>
  <si>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</si>
  <si>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</si>
  <si>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</si>
  <si>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</si>
  <si>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</si>
  <si>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</si>
  <si>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</si>
  <si>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</si>
  <si>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</si>
  <si>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</si>
  <si>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</si>
  <si>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</si>
  <si>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</si>
  <si>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</si>
  <si>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</si>
  <si>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</si>
  <si>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</si>
  <si>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</si>
  <si>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</si>
  <si>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</si>
  <si>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</si>
  <si>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</si>
  <si>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</si>
  <si>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</si>
  <si>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</si>
  <si>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</si>
  <si>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</si>
  <si>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</si>
  <si>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</si>
  <si>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</si>
  <si>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</si>
  <si>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</si>
  <si>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</si>
  <si>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</si>
  <si>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</si>
  <si>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</si>
  <si>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</si>
  <si>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</si>
  <si>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</si>
  <si>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</si>
  <si>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</si>
  <si>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</si>
  <si>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</si>
  <si>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</si>
  <si>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</si>
  <si>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</si>
  <si>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</si>
  <si>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</si>
  <si>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</si>
  <si>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</si>
  <si>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</si>
  <si>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</si>
  <si>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</si>
  <si>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</si>
  <si>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</si>
  <si>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</si>
  <si>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</si>
  <si>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</si>
  <si>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</si>
  <si>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</si>
  <si>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</si>
  <si>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</si>
  <si>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</si>
  <si>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</si>
  <si>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</si>
  <si>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</si>
  <si>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</si>
  <si>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</si>
  <si>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</si>
  <si>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</si>
  <si>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</si>
  <si>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</si>
  <si>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</si>
  <si>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</si>
  <si>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</si>
  <si>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</si>
  <si>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</si>
  <si>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</si>
  <si>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</si>
  <si>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</si>
  <si>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</si>
  <si>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</si>
  <si>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</si>
  <si>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</si>
  <si>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</si>
  <si>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</si>
  <si>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</si>
  <si>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</si>
  <si>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</si>
  <si>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</si>
  <si>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</si>
  <si>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</si>
  <si>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</si>
  <si>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</si>
  <si>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</si>
  <si>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</si>
  <si>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</si>
  <si>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</si>
  <si>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</si>
  <si>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</si>
  <si>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</si>
  <si>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</si>
  <si>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</si>
  <si>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</si>
  <si>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</si>
  <si>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</si>
  <si>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</si>
  <si>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</si>
  <si>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</si>
  <si>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</si>
  <si>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</si>
  <si>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</si>
  <si>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</si>
  <si>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</si>
  <si>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</si>
  <si>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</si>
  <si>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</si>
  <si>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</si>
  <si>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</si>
  <si>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</si>
  <si>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</si>
  <si>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</si>
  <si>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</si>
  <si>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</si>
  <si>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</si>
  <si>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</si>
  <si>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</si>
  <si>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</si>
  <si>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</si>
  <si>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</si>
  <si>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</si>
  <si>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</si>
  <si>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</si>
  <si>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</si>
  <si>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</si>
  <si>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</si>
  <si>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</si>
  <si>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</si>
  <si>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</si>
  <si>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</si>
  <si>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</si>
  <si>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</si>
  <si>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</si>
  <si>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</si>
  <si>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</si>
  <si>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</si>
  <si>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</si>
  <si>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</si>
  <si>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</si>
  <si>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</si>
  <si>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</si>
  <si>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</si>
  <si>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</si>
  <si>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</si>
  <si>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</si>
  <si>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</si>
  <si>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</si>
  <si>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</si>
  <si>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</si>
  <si>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</si>
  <si>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</si>
  <si>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</si>
  <si>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</si>
  <si>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</si>
  <si>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</si>
  <si>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</si>
  <si>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</si>
  <si>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</si>
  <si>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</si>
  <si>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</si>
  <si>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</si>
  <si>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</si>
  <si>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</si>
  <si>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</si>
  <si>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</si>
  <si>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</si>
  <si>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</si>
  <si>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</si>
  <si>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</si>
  <si>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</si>
  <si>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</si>
  <si>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</si>
  <si>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</si>
  <si>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</si>
  <si>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</si>
  <si>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</si>
  <si>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</si>
  <si>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</si>
  <si>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</si>
  <si>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</si>
  <si>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</si>
  <si>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</si>
  <si>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</si>
  <si>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</si>
  <si>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</si>
  <si>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</si>
  <si>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</si>
  <si>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</si>
  <si>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</si>
  <si>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</si>
  <si>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</si>
  <si>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</si>
  <si>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</si>
  <si>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</si>
  <si>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</si>
  <si>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</si>
  <si>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</si>
  <si>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</si>
  <si>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</si>
  <si>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</si>
  <si>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</si>
  <si>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</si>
  <si>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</si>
  <si>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</si>
  <si>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</si>
  <si>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</si>
  <si>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</si>
  <si>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</si>
  <si>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</si>
  <si>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</si>
  <si>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</si>
  <si>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</si>
  <si>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</si>
  <si>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</si>
  <si>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</si>
  <si>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</si>
  <si>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</si>
  <si>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</si>
  <si>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</si>
  <si>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</si>
  <si>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</si>
  <si>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</si>
  <si>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</si>
  <si>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</si>
  <si>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</si>
  <si>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</si>
  <si>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</si>
  <si>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</si>
  <si>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</si>
  <si>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</si>
  <si>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</si>
  <si>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</si>
  <si>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</si>
  <si>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</si>
  <si>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</si>
  <si>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</si>
  <si>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</si>
  <si>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</si>
  <si>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</si>
  <si>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</si>
  <si>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</si>
  <si>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</si>
  <si>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</si>
  <si>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</si>
  <si>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</si>
  <si>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</si>
  <si>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</si>
  <si>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</si>
  <si>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</si>
  <si>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</si>
  <si>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</si>
  <si>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</si>
  <si>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</si>
  <si>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</si>
  <si>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</si>
  <si>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</si>
  <si>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</si>
  <si>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</si>
  <si>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</si>
  <si>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</si>
  <si>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</si>
  <si>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</si>
  <si>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</si>
  <si>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</si>
  <si>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</si>
  <si>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</si>
  <si>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</si>
  <si>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</si>
  <si>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</si>
  <si>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</si>
  <si>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</si>
  <si>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</si>
  <si>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</si>
  <si>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</si>
  <si>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</si>
  <si>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</si>
  <si>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</si>
  <si>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</si>
  <si>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</si>
  <si>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</si>
  <si>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</si>
  <si>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</si>
  <si>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</si>
  <si>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</si>
  <si>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</si>
  <si>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</si>
  <si>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</si>
  <si>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</si>
  <si>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</si>
  <si>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</si>
  <si>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</si>
  <si>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</si>
  <si>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</si>
  <si>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</si>
  <si>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</si>
  <si>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</si>
  <si>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</si>
  <si>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</si>
  <si>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</si>
  <si>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</si>
  <si>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</si>
  <si>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</si>
  <si>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</si>
  <si>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</si>
  <si>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</si>
  <si>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</si>
  <si>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</si>
  <si>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</si>
  <si>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</si>
  <si>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</si>
  <si>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</si>
  <si>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</si>
  <si>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</si>
  <si>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</si>
  <si>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</si>
  <si>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</si>
  <si>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</si>
  <si>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</si>
  <si>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</si>
  <si>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</si>
  <si>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</si>
  <si>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</si>
  <si>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</si>
  <si>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</si>
  <si>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</si>
  <si>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</si>
  <si>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</si>
  <si>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</si>
  <si>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</si>
  <si>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</si>
  <si>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</si>
  <si>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</si>
  <si>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</si>
  <si>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</si>
  <si>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</si>
  <si>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</si>
  <si>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</si>
  <si>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</si>
  <si>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</si>
  <si>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</si>
  <si>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</si>
  <si>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</si>
  <si>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</si>
  <si>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</si>
  <si>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</si>
  <si>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</si>
  <si>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</si>
  <si>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</si>
  <si>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</si>
  <si>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</si>
  <si>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</si>
  <si>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</si>
  <si>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</si>
  <si>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</si>
  <si>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</si>
  <si>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</si>
  <si>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</si>
  <si>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</si>
  <si>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</si>
  <si>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</si>
  <si>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</si>
  <si>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</si>
  <si>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</si>
  <si>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</si>
  <si>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</si>
  <si>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</si>
  <si>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</si>
  <si>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</si>
  <si>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</si>
  <si>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</si>
  <si>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</si>
  <si>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</si>
  <si>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</si>
  <si>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</si>
  <si>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</si>
  <si>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</si>
  <si>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</si>
  <si>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</si>
  <si>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</si>
  <si>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</si>
  <si>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</si>
  <si>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</si>
  <si>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</si>
  <si>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</si>
  <si>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</si>
  <si>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</si>
  <si>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</si>
  <si>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</si>
  <si>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</si>
  <si>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</si>
  <si>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</si>
  <si>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</si>
  <si>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</si>
  <si>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</si>
  <si>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</si>
  <si>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</si>
  <si>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</si>
  <si>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</si>
  <si>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</si>
  <si>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</si>
  <si>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</si>
  <si>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</si>
  <si>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</si>
  <si>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</si>
  <si>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</si>
  <si>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</si>
  <si>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</si>
  <si>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</si>
  <si>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</si>
  <si>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</si>
  <si>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</si>
  <si>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</si>
  <si>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</si>
  <si>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</si>
  <si>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</si>
  <si>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</si>
  <si>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</si>
  <si>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</si>
  <si>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</si>
  <si>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</si>
  <si>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</si>
  <si>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</si>
  <si>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</si>
  <si>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</si>
  <si>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</si>
  <si>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</si>
  <si>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</si>
  <si>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</si>
  <si>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</si>
  <si>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</si>
  <si>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</si>
  <si>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</si>
  <si>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</si>
  <si>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</si>
  <si>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</si>
  <si>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</si>
  <si>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</si>
  <si>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</si>
  <si>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</si>
  <si>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</si>
  <si>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</si>
  <si>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</si>
  <si>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</si>
  <si>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</si>
  <si>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</si>
  <si>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</si>
  <si>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</si>
  <si>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</si>
  <si>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</si>
  <si>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</si>
  <si>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</si>
  <si>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</si>
  <si>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</si>
  <si>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</si>
  <si>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</si>
  <si>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</si>
  <si>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</si>
  <si>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</si>
  <si>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</si>
  <si>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</si>
  <si>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</si>
  <si>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</si>
  <si>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</si>
  <si>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</si>
  <si>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</si>
  <si>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</si>
  <si>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</si>
  <si>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</si>
  <si>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</si>
  <si>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</si>
  <si>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</si>
  <si>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</si>
  <si>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</si>
  <si>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</si>
  <si>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</si>
  <si>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</si>
  <si>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</si>
  <si>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</si>
  <si>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</si>
  <si>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</si>
  <si>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</si>
  <si>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</si>
  <si>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</si>
  <si>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</si>
  <si>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</si>
  <si>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</si>
  <si>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</si>
  <si>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</si>
  <si>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</si>
  <si>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</si>
  <si>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</si>
  <si>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</si>
  <si>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</si>
  <si>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</si>
  <si>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</si>
  <si>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</si>
  <si>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</si>
  <si>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</si>
  <si>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</si>
  <si>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</si>
  <si>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</si>
  <si>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</si>
  <si>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</si>
  <si>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</si>
  <si>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</si>
  <si>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</si>
  <si>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</si>
  <si>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</si>
  <si>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</si>
  <si>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</si>
  <si>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</si>
  <si>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</si>
  <si>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</si>
  <si>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</si>
  <si>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</si>
  <si>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</si>
  <si>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</si>
  <si>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</si>
  <si>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</si>
  <si>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</si>
  <si>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</si>
  <si>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</si>
  <si>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</si>
  <si>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</si>
  <si>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</si>
  <si>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</si>
  <si>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</si>
  <si>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</si>
  <si>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</si>
  <si>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</si>
  <si>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</si>
  <si>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</si>
  <si>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</si>
  <si>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</si>
  <si>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</si>
  <si>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</si>
  <si>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</si>
  <si>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</si>
  <si>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</si>
  <si>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</si>
  <si>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</si>
  <si>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</si>
  <si>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</si>
  <si>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</si>
  <si>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</si>
  <si>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</si>
  <si>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</si>
  <si>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</si>
  <si>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</si>
  <si>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</si>
  <si>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</si>
  <si>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</si>
  <si>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</si>
  <si>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</si>
  <si>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</si>
  <si>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</si>
  <si>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</si>
  <si>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</si>
  <si>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</si>
  <si>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</si>
  <si>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</si>
  <si>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</si>
  <si>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</si>
  <si>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</si>
  <si>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</si>
  <si>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</si>
  <si>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</si>
  <si>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</si>
  <si>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</si>
  <si>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</si>
  <si>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</si>
  <si>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</si>
  <si>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</si>
  <si>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</si>
  <si>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</si>
  <si>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</si>
  <si>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</si>
  <si>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</si>
  <si>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</si>
  <si>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</si>
  <si>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</si>
  <si>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</si>
  <si>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</si>
  <si>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</si>
  <si>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</si>
  <si>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</si>
  <si>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</si>
  <si>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</si>
  <si>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</si>
  <si>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</si>
  <si>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</si>
  <si>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</si>
  <si>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</si>
  <si>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</si>
  <si>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</si>
  <si>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</si>
  <si>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</si>
  <si>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</si>
  <si>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</si>
  <si>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</si>
  <si>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</si>
  <si>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</si>
  <si>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</si>
  <si>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</si>
  <si>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</si>
  <si>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</si>
  <si>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</si>
  <si>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</si>
  <si>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</si>
  <si>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</si>
  <si>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</si>
  <si>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</si>
  <si>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</si>
  <si>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</si>
  <si>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</si>
  <si>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</si>
  <si>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</si>
  <si>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</si>
  <si>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</si>
  <si>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</si>
  <si>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</si>
  <si>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</si>
  <si>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</si>
  <si>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</si>
  <si>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</si>
  <si>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</si>
  <si>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</si>
  <si>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</si>
  <si>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</si>
  <si>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</si>
  <si>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</si>
  <si>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</si>
  <si>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</si>
  <si>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</si>
  <si>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</si>
  <si>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</si>
  <si>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</si>
  <si>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</si>
  <si>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</si>
  <si>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</si>
  <si>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</si>
  <si>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</si>
  <si>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</si>
  <si>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</si>
  <si>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</si>
  <si>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</si>
  <si>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</si>
  <si>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</si>
  <si>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</si>
  <si>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</si>
  <si>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</si>
  <si>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</si>
  <si>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</si>
  <si>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</si>
  <si>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</si>
  <si>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</si>
  <si>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</si>
  <si>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</si>
  <si>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</si>
  <si>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</si>
  <si>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</si>
  <si>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</si>
  <si>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</si>
  <si>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</si>
  <si>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</si>
  <si>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</si>
  <si>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</si>
  <si>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</si>
  <si>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</si>
  <si>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</si>
  <si>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</si>
  <si>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</si>
  <si>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</si>
  <si>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</si>
  <si>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</si>
  <si>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</si>
  <si>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</si>
  <si>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</si>
  <si>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</si>
  <si>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</si>
  <si>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</si>
  <si>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</si>
  <si>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</si>
  <si>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</si>
  <si>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</si>
  <si>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</si>
  <si>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</si>
  <si>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</si>
  <si>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</si>
  <si>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</si>
  <si>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</si>
  <si>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</si>
  <si>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</si>
  <si>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</si>
  <si>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</si>
  <si>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</si>
  <si>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</si>
  <si>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</si>
  <si>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</si>
  <si>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</si>
  <si>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</si>
  <si>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</si>
  <si>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</si>
  <si>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</si>
  <si>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</si>
  <si>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</si>
  <si>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</si>
  <si>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</si>
  <si>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</si>
  <si>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</si>
  <si>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</si>
  <si>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</si>
  <si>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</si>
  <si>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</si>
  <si>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</si>
  <si>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</si>
  <si>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</si>
  <si>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</si>
  <si>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</si>
  <si>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</si>
  <si>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</si>
  <si>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</si>
  <si>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</si>
  <si>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</si>
  <si>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</si>
  <si>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</si>
  <si>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</si>
  <si>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</si>
  <si>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</si>
  <si>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</si>
  <si>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</si>
  <si>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</si>
  <si>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</si>
  <si>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</si>
  <si>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</si>
  <si>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</si>
  <si>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</si>
  <si>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</si>
  <si>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</si>
  <si>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</si>
  <si>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</si>
  <si>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</si>
  <si>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</si>
  <si>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</si>
  <si>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</si>
  <si>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</si>
  <si>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</si>
  <si>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</si>
  <si>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</si>
  <si>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</si>
  <si>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</si>
  <si>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</si>
  <si>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</si>
  <si>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</si>
  <si>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</si>
  <si>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</si>
  <si>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</si>
  <si>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</si>
  <si>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</si>
  <si>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</si>
  <si>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</si>
  <si>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</si>
  <si>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</si>
  <si>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</si>
  <si>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</si>
  <si>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</si>
  <si>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</si>
  <si>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</si>
  <si>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</si>
  <si>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</si>
  <si>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</si>
  <si>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</si>
  <si>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</si>
  <si>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</si>
  <si>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</si>
  <si>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</si>
  <si>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</si>
  <si>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Pony Express Senior Apartments</t>
  </si>
  <si>
    <t>City of Vacaville</t>
  </si>
  <si>
    <t>Charles Learned</t>
  </si>
  <si>
    <t>40 Eldridge Ave, Suite 2</t>
  </si>
  <si>
    <t>Vacaville</t>
  </si>
  <si>
    <t>707.449.5660</t>
  </si>
  <si>
    <t>707.449.5683</t>
  </si>
  <si>
    <t>CDLAC-TCAC Joint Application (submitting concurrently)</t>
  </si>
  <si>
    <t>220 Aegean Way</t>
  </si>
  <si>
    <t>0131-020-110</t>
  </si>
  <si>
    <t>40%/60%</t>
  </si>
  <si>
    <t>Pony Express Senior Apartments LLC</t>
  </si>
  <si>
    <t>Managing GP</t>
  </si>
  <si>
    <t>Pony Express Senior Apartments, L.P.</t>
  </si>
  <si>
    <t>625 Acacia Lane</t>
  </si>
  <si>
    <t>Santa Rosa</t>
  </si>
  <si>
    <t>CA</t>
  </si>
  <si>
    <t>Mary Stompe</t>
  </si>
  <si>
    <t>707.762.2336</t>
  </si>
  <si>
    <t>707.762.4657</t>
  </si>
  <si>
    <t>marys@pephousing.org</t>
  </si>
  <si>
    <t>PE Vacaville EAH, LLC</t>
  </si>
  <si>
    <t>22 Pelican Way</t>
  </si>
  <si>
    <t>San Rafael</t>
  </si>
  <si>
    <t>Welton Jordan</t>
  </si>
  <si>
    <t>415.295.8876</t>
  </si>
  <si>
    <t>Welton.Jordan@eahhousing.org</t>
  </si>
  <si>
    <t>Administrative GP</t>
  </si>
  <si>
    <t>EAH, Inc.</t>
  </si>
  <si>
    <t>Petaluma Ecumenical Properties dba PEP Housing</t>
  </si>
  <si>
    <t>Robert W. Hayes + Associates, Inc.</t>
  </si>
  <si>
    <t>620 Butte Street</t>
  </si>
  <si>
    <t>Santa Rosa, CA  95409</t>
  </si>
  <si>
    <t>Sausalito, CA  94965</t>
  </si>
  <si>
    <t>Robert W. Hayes</t>
  </si>
  <si>
    <t>415.332.0999</t>
  </si>
  <si>
    <t>RHayes@RWHAssociates.com</t>
  </si>
  <si>
    <t>Gubb &amp; Barshay</t>
  </si>
  <si>
    <t>Precision General Commercial Contractors</t>
  </si>
  <si>
    <t>505 14th Street, Suite 450</t>
  </si>
  <si>
    <t>300 Turney Street, 2nd Floor</t>
  </si>
  <si>
    <t>Oakland, CA 94612</t>
  </si>
  <si>
    <t>Sausalito, CA 94965</t>
  </si>
  <si>
    <t>Scott Barshay</t>
  </si>
  <si>
    <t>Jon Opfell</t>
  </si>
  <si>
    <t>415.781.6600</t>
  </si>
  <si>
    <t>415.851.7997</t>
  </si>
  <si>
    <t>415.781.6967</t>
  </si>
  <si>
    <t>sbarshay@gubbandbarshay.com</t>
  </si>
  <si>
    <t>jopfell@precisiongc.com</t>
  </si>
  <si>
    <t>Gilleran Energy Management</t>
  </si>
  <si>
    <t>750 A Davis Street</t>
  </si>
  <si>
    <t>Santa Rosa, CA  95401</t>
  </si>
  <si>
    <t>Kevin Gilleran</t>
  </si>
  <si>
    <t>707.528.7318</t>
  </si>
  <si>
    <t>707.978.3906</t>
  </si>
  <si>
    <t>kevin@gilleranenergy.com</t>
  </si>
  <si>
    <t>Spiteri, Narasky &amp; Daley LLP</t>
  </si>
  <si>
    <t>TBD</t>
  </si>
  <si>
    <t>1024 Country Club Drive</t>
  </si>
  <si>
    <t>Moraga, CA  94556</t>
  </si>
  <si>
    <t>Roza Chan</t>
  </si>
  <si>
    <t>925.376.2195</t>
  </si>
  <si>
    <t>925.376.2096</t>
  </si>
  <si>
    <t>rchan@sndcpa.con</t>
  </si>
  <si>
    <t>California Housing Partnership</t>
  </si>
  <si>
    <t>Novogradac Consulting LLP</t>
  </si>
  <si>
    <t>369 Pine Street, Suite 330</t>
  </si>
  <si>
    <t>11044 Research Blvd, Bldg C, Ste 40</t>
  </si>
  <si>
    <t>San Francisco, CA  94104</t>
  </si>
  <si>
    <t>Austin, TX  78759</t>
  </si>
  <si>
    <t>Lauren Maddock</t>
  </si>
  <si>
    <t>415.433.6804</t>
  </si>
  <si>
    <t>lmaddock@chpc.net</t>
  </si>
  <si>
    <t>Davis &amp; Sroaf RE Appraisers &amp; Cnslts</t>
  </si>
  <si>
    <t>Not applicable</t>
  </si>
  <si>
    <t>19 Country Club Drive</t>
  </si>
  <si>
    <t>Fairfield, CA  94534</t>
  </si>
  <si>
    <t>Daniel M. Sroaf</t>
  </si>
  <si>
    <t>707.864.0900</t>
  </si>
  <si>
    <t>dms0900@aol.com</t>
  </si>
  <si>
    <t>California Municipal Finance Authority</t>
  </si>
  <si>
    <t>2111 Palomar Airport Rd, Ste 320</t>
  </si>
  <si>
    <t>Carlsbad, CA  92011</t>
  </si>
  <si>
    <t>Anthony Stubbs</t>
  </si>
  <si>
    <t>760.930.1333</t>
  </si>
  <si>
    <t>760.683.3390</t>
  </si>
  <si>
    <t>astubbs@cmfa-ca.com</t>
  </si>
  <si>
    <t>Aaron Busch (City Mgr)</t>
  </si>
  <si>
    <t>Aaron Busch</t>
  </si>
  <si>
    <t>650 Merchant Street</t>
  </si>
  <si>
    <t>Vacaville, CA 95688</t>
  </si>
  <si>
    <t>707.449.5118</t>
  </si>
  <si>
    <t>Other (Specify below)</t>
  </si>
  <si>
    <t>Commercial</t>
  </si>
  <si>
    <t>CG/RO - Commercial General wtih Residential Overlay; 24 units/acre</t>
  </si>
  <si>
    <t>Same; Density Bonus allows 33 units/acre</t>
  </si>
  <si>
    <t>nte 3 stories</t>
  </si>
  <si>
    <t>0.75 spaces/unit</t>
  </si>
  <si>
    <t>Lindsey Sutton</t>
  </si>
  <si>
    <t>512.349.3212</t>
  </si>
  <si>
    <t>Lindsey.Sutton@novoco.com</t>
  </si>
  <si>
    <t>Vacaville Acquisition Loan</t>
  </si>
  <si>
    <t>Deferred Developer Fee</t>
  </si>
  <si>
    <t>Costs Deferred to Conversion</t>
  </si>
  <si>
    <t>LP Equity</t>
  </si>
  <si>
    <t>Variable</t>
  </si>
  <si>
    <t>Fixed</t>
  </si>
  <si>
    <t>Vacaville Loan</t>
  </si>
  <si>
    <t>CCRC Perm Loan</t>
  </si>
  <si>
    <t>MHP Loan</t>
  </si>
  <si>
    <t>Office, telephone, copier, supplies, internet</t>
  </si>
  <si>
    <t>Payroll tax, benefits</t>
  </si>
  <si>
    <t>Janitorial, other supplies</t>
  </si>
  <si>
    <t>City Annual Monitoring Fee</t>
  </si>
  <si>
    <t>Misc Taxes</t>
  </si>
  <si>
    <t>Annual Issuer Fee</t>
  </si>
  <si>
    <t>HCD - MHP</t>
  </si>
  <si>
    <t>Project-based vouchers (PBVs)</t>
  </si>
  <si>
    <t>Vacaville Housing Authority</t>
  </si>
  <si>
    <t xml:space="preserve">HCD - MHP; Project Based Section 8 </t>
  </si>
  <si>
    <t>Other: Rough Grading; PV; Utility Connection</t>
  </si>
  <si>
    <t>Other: Prevailing Wage Monitor</t>
  </si>
  <si>
    <t>Other: Security</t>
  </si>
  <si>
    <t xml:space="preserve">HCD - MHP Annual 0.42% Interest </t>
  </si>
  <si>
    <t>Other: HCD Transition Reserve</t>
  </si>
  <si>
    <t xml:space="preserve">PEP Housing and EAH, Inc. </t>
  </si>
  <si>
    <t>Co-Sponsor, Co-Developer; Co-GP representative</t>
  </si>
  <si>
    <t>Air Conditioning</t>
  </si>
  <si>
    <t>City of Vacaville Housing Authority</t>
  </si>
  <si>
    <t xml:space="preserve">15 </t>
  </si>
  <si>
    <t>est. 11/2037</t>
  </si>
  <si>
    <t>PEP Housing/Caulfield Lane Senior Housing, Inc.</t>
  </si>
  <si>
    <t>Other: Pre Dev Loan fees/interest</t>
  </si>
  <si>
    <t>Other Operating Expenses (per annual budget):</t>
  </si>
  <si>
    <t>Other: Org of LP, Perm &amp; Const closing, Acq</t>
  </si>
  <si>
    <t>40 Eldridge Ave., Suite 1-10</t>
  </si>
  <si>
    <t>Emily Cantu</t>
  </si>
  <si>
    <t xml:space="preserve">Vacaville </t>
  </si>
  <si>
    <t>Christopher Liang</t>
  </si>
  <si>
    <t>Wells Fargo Tax Exempt Const. Loan</t>
  </si>
  <si>
    <t>Wells Fargo Taxable Const. Loan</t>
  </si>
  <si>
    <t>Tax Exempt Const. Loan</t>
  </si>
  <si>
    <t>Taxable Const. Loan</t>
  </si>
  <si>
    <t>333 Market Street, 17th Floor</t>
  </si>
  <si>
    <t>Mark Rasmussen</t>
  </si>
  <si>
    <t>Permanent Loan</t>
  </si>
  <si>
    <t>100 West Broadway. Suite 1000</t>
  </si>
  <si>
    <t>Glendale</t>
  </si>
  <si>
    <t>Michael Murphy</t>
  </si>
  <si>
    <t>2020 W. El Camino Ave. Ste 650</t>
  </si>
  <si>
    <t>Residual Reciept</t>
  </si>
  <si>
    <t>Residual Receipt</t>
  </si>
  <si>
    <t xml:space="preserve">Deferred </t>
  </si>
  <si>
    <t>Tax Credit Equity</t>
  </si>
  <si>
    <t>(707) 762-2336</t>
  </si>
  <si>
    <t>30-day LIBOR (est. 3.75%)</t>
  </si>
  <si>
    <t>30-day LIBOR (est. 3.85%)</t>
  </si>
  <si>
    <t>Other: Below the line Resident Services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</si>
</sst>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5" borderId="3" xfId="0"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563"/>
  <sheetViews>
    <sheetView showGridLines="0" zoomScale="245" zoomScaleNormal="245" zoomScaleSheetLayoutView="100" workbookViewId="0">
      <selection activeCell="D11" sqref="D11:AK1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3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0" t="s">
        <v>1597</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3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3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35" customHeight="1">
      <c r="A40" s="152"/>
      <c r="B40"/>
      <c r="C40" s="5"/>
      <c r="D40" s="152"/>
      <c r="E40" s="152" t="s">
        <v>707</v>
      </c>
      <c r="F40" s="960" t="s">
        <v>1400</v>
      </c>
    </row>
    <row r="41" spans="1:38" s="960"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1" t="s">
        <v>1529</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3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1530</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0" t="s">
        <v>1531</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35" customHeight="1">
      <c r="A67" s="152"/>
      <c r="C67" s="5"/>
      <c r="D67" s="152"/>
      <c r="E67" s="152"/>
      <c r="F67" s="9" t="s">
        <v>556</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1546</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1561</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7"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19" sqref="I1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6" t="s">
        <v>1010</v>
      </c>
      <c r="B1" s="1696"/>
      <c r="C1" s="1696"/>
      <c r="D1" s="1696"/>
      <c r="E1" s="1696"/>
      <c r="F1" s="1696"/>
      <c r="G1" s="1696"/>
      <c r="H1" s="1696"/>
      <c r="I1" s="169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29</v>
      </c>
      <c r="C4" s="682">
        <f>Application!K709</f>
        <v>466</v>
      </c>
      <c r="D4" s="683"/>
      <c r="E4" s="493">
        <v>1395</v>
      </c>
      <c r="F4" s="684">
        <f>E4*B4</f>
        <v>40455</v>
      </c>
      <c r="G4" s="685"/>
      <c r="H4" s="682">
        <f>IF(E4=0," ",(E4-C4))</f>
        <v>929</v>
      </c>
      <c r="I4" s="684">
        <f>IF(E4=0," ",(H4*B4))</f>
        <v>26941</v>
      </c>
      <c r="J4" s="335"/>
      <c r="K4" s="490"/>
    </row>
    <row r="5" spans="1:11">
      <c r="A5" s="682" t="str">
        <f>Application!B710</f>
        <v>1 Bedroom</v>
      </c>
      <c r="B5" s="691">
        <f>Application!G710</f>
        <v>30</v>
      </c>
      <c r="C5" s="682">
        <f>Application!K710</f>
        <v>640</v>
      </c>
      <c r="D5" s="683"/>
      <c r="E5" s="493">
        <v>1395</v>
      </c>
      <c r="F5" s="684">
        <f t="shared" ref="F5:F28" si="0">E5*B5</f>
        <v>41850</v>
      </c>
      <c r="G5" s="685"/>
      <c r="H5" s="682">
        <f t="shared" ref="H5:H28" si="1">IF(E5=0," ",(E5-C5))</f>
        <v>755</v>
      </c>
      <c r="I5" s="684">
        <f t="shared" ref="I5:I28" si="2">IF(E5=0," ",(H5*B5))</f>
        <v>22650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32714</v>
      </c>
      <c r="D30" s="683"/>
      <c r="E30" s="683"/>
      <c r="F30" s="688">
        <f>SUM(F4:F28)*12</f>
        <v>987660</v>
      </c>
      <c r="G30" s="689"/>
      <c r="H30" s="687"/>
      <c r="I30" s="688">
        <f>SUM(I4:I28)*12</f>
        <v>595092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16"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1320000</v>
      </c>
      <c r="C5" s="438">
        <f>'Sources and Uses Budget'!$C4</f>
        <v>1320000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1320000</v>
      </c>
      <c r="C9" s="442">
        <f>SUM(C5:C8)</f>
        <v>1320000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169636</v>
      </c>
      <c r="C11" s="438">
        <f>'Sources and Uses Budget'!$C10</f>
        <v>169636</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169636</v>
      </c>
      <c r="C12" s="442">
        <f>SUM(C10:C11)</f>
        <v>169636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1489636</v>
      </c>
      <c r="C13" s="442">
        <f>SUM(C9+C12)</f>
        <v>1489636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1341243</v>
      </c>
      <c r="C29" s="438">
        <f>'Sources and Uses Budget'!$C28</f>
        <v>1341243</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13217346</v>
      </c>
      <c r="C30" s="438">
        <f>'Sources and Uses Budget'!$C29</f>
        <v>13217346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873515</v>
      </c>
      <c r="C31" s="438">
        <f>'Sources and Uses Budget'!$C30</f>
        <v>873515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800722</v>
      </c>
      <c r="C33" s="438">
        <f>'Sources and Uses Budget'!$C32</f>
        <v>800722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1725311</v>
      </c>
      <c r="C34" s="438">
        <f>'Sources and Uses Budget'!$C33</f>
        <v>1725311</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225748</v>
      </c>
      <c r="C35" s="438">
        <f>'Sources and Uses Budget'!$C34</f>
        <v>225748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624900</v>
      </c>
      <c r="C36" s="438">
        <f>'Sources and Uses Budget'!$C35</f>
        <v>624900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18808785</v>
      </c>
      <c r="C37" s="442">
        <f>SUM(C29:C36)</f>
        <v>18808785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735000</v>
      </c>
      <c r="C39" s="438">
        <f>'Sources and Uses Budget'!$C38</f>
        <v>735000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735000</v>
      </c>
      <c r="C41" s="442">
        <f>SUM(C39:C40)</f>
        <v>735000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416202</v>
      </c>
      <c r="C42" s="438">
        <f>'Sources and Uses Budget'!$C41</f>
        <v>416202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989909</v>
      </c>
      <c r="C44" s="438">
        <f>'Sources and Uses Budget'!$C43</f>
        <v>989909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121900</v>
      </c>
      <c r="C45" s="438">
        <f>'Sources and Uses Budget'!$C44</f>
        <v>121900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249070</v>
      </c>
      <c r="C48" s="438">
        <f>'Sources and Uses Budget'!$C47</f>
        <v>249070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7000</v>
      </c>
      <c r="C50" s="438">
        <f>'Sources and Uses Budget'!$C49</f>
        <v>7000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110000</v>
      </c>
      <c r="C51" s="438">
        <f>'Sources and Uses Budget'!$C50</f>
        <v>110000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1517879</v>
      </c>
      <c r="C54" s="445">
        <f>SUM(C44:C53)</f>
        <v>1517879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22977502</v>
      </c>
      <c r="C64" s="442">
        <f>SUM(C9+C12+C14+C15+C17+C26+C27+C37+C41+C42+C54+C63)</f>
        <v>22977502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130000</v>
      </c>
      <c r="C68" s="442">
        <f>SUM(C66:C67)</f>
        <v>130000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222411</v>
      </c>
      <c r="C73" s="438">
        <f>'Sources and Uses Budget'!$C72</f>
        <v>222411</v>
      </c>
      <c r="D73" s="442">
        <f t="shared" si="0"/>
        <v>0</v>
      </c>
      <c r="E73" s="440"/>
      <c r="F73" s="439"/>
      <c r="G73" s="577"/>
    </row>
    <row r="74" spans="1:253" s="571" customFormat="1">
      <c r="A74" s="444" t="s">
        <v>37</v>
      </c>
      <c r="B74" s="438">
        <f>'Sources and Uses Budget'!$C73</f>
        <v>240927</v>
      </c>
      <c r="C74" s="438">
        <f>'Sources and Uses Budget'!$C73</f>
        <v>240927</v>
      </c>
      <c r="D74" s="442">
        <f t="shared" si="0"/>
        <v>0</v>
      </c>
      <c r="E74" s="440"/>
      <c r="F74" s="439"/>
      <c r="G74" s="577"/>
    </row>
    <row r="75" spans="1:253" s="571" customFormat="1">
      <c r="A75" s="443" t="s">
        <v>657</v>
      </c>
      <c r="B75" s="442">
        <f>SUM(B70:B74)</f>
        <v>463338</v>
      </c>
      <c r="C75" s="442">
        <f>SUM(C70:C74)</f>
        <v>463338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948921</v>
      </c>
      <c r="C77" s="438">
        <f>'Sources and Uses Budget'!$C76</f>
        <v>948921</v>
      </c>
      <c r="D77" s="442">
        <f t="shared" si="1"/>
        <v>0</v>
      </c>
      <c r="E77" s="440"/>
      <c r="F77" s="439"/>
      <c r="G77" s="577"/>
    </row>
    <row r="78" spans="1:253" s="571" customFormat="1">
      <c r="A78" s="893" t="s">
        <v>63</v>
      </c>
      <c r="B78" s="438">
        <f>'Sources and Uses Budget'!$C77</f>
        <v>323732</v>
      </c>
      <c r="C78" s="438">
        <f>'Sources and Uses Budget'!$C77</f>
        <v>323732</v>
      </c>
      <c r="D78" s="442">
        <f t="shared" ref="D78" si="2">C78-B78</f>
        <v>0</v>
      </c>
      <c r="E78" s="440"/>
      <c r="F78" s="439"/>
      <c r="G78" s="577"/>
    </row>
    <row r="79" spans="1:253" s="571" customFormat="1">
      <c r="A79" s="443" t="s">
        <v>1468</v>
      </c>
      <c r="B79" s="442">
        <f>SUM(B77:B78)</f>
        <v>1272653</v>
      </c>
      <c r="C79" s="442">
        <f>SUM(C77:C78)</f>
        <v>1272653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38096</v>
      </c>
      <c r="C81" s="438">
        <f>'Sources and Uses Budget'!$C80</f>
        <v>38096</v>
      </c>
      <c r="D81" s="442">
        <f t="shared" si="1"/>
        <v>0</v>
      </c>
      <c r="E81" s="440"/>
      <c r="F81" s="439"/>
      <c r="G81" s="577"/>
    </row>
    <row r="82" spans="1:7" s="571" customFormat="1">
      <c r="A82" s="441" t="s">
        <v>846</v>
      </c>
      <c r="B82" s="438">
        <f>'Sources and Uses Budget'!$C81</f>
        <v>55000</v>
      </c>
      <c r="C82" s="438">
        <f>'Sources and Uses Budget'!$C81</f>
        <v>55000</v>
      </c>
      <c r="D82" s="442">
        <f t="shared" si="1"/>
        <v>0</v>
      </c>
      <c r="E82" s="440"/>
      <c r="F82" s="439"/>
      <c r="G82" s="577"/>
    </row>
    <row r="83" spans="1:7" s="571" customFormat="1">
      <c r="A83" s="441" t="s">
        <v>847</v>
      </c>
      <c r="B83" s="438">
        <f>'Sources and Uses Budget'!$C82</f>
        <v>1251740</v>
      </c>
      <c r="C83" s="438">
        <f>'Sources and Uses Budget'!$C82</f>
        <v>1251740</v>
      </c>
      <c r="D83" s="442">
        <f t="shared" si="1"/>
        <v>0</v>
      </c>
      <c r="E83" s="440"/>
      <c r="F83" s="439"/>
      <c r="G83" s="577"/>
    </row>
    <row r="84" spans="1:7" s="571" customFormat="1">
      <c r="A84" s="441" t="s">
        <v>848</v>
      </c>
      <c r="B84" s="438">
        <f>'Sources and Uses Budget'!$C83</f>
        <v>301347</v>
      </c>
      <c r="C84" s="438">
        <f>'Sources and Uses Budget'!$C83</f>
        <v>301347</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75000</v>
      </c>
      <c r="C86" s="438">
        <f>'Sources and Uses Budget'!$C85</f>
        <v>75000</v>
      </c>
      <c r="D86" s="442">
        <f t="shared" si="1"/>
        <v>0</v>
      </c>
      <c r="E86" s="440"/>
      <c r="F86" s="439"/>
      <c r="G86" s="577"/>
    </row>
    <row r="87" spans="1:7" s="571" customFormat="1">
      <c r="A87" s="441" t="s">
        <v>851</v>
      </c>
      <c r="B87" s="438">
        <f>'Sources and Uses Budget'!$C86</f>
        <v>60000</v>
      </c>
      <c r="C87" s="438">
        <f>'Sources and Uses Budget'!$C86</f>
        <v>60000</v>
      </c>
      <c r="D87" s="442">
        <f t="shared" si="1"/>
        <v>0</v>
      </c>
      <c r="E87" s="440"/>
      <c r="F87" s="439"/>
      <c r="G87" s="577"/>
    </row>
    <row r="88" spans="1:7" s="571" customFormat="1">
      <c r="A88" s="441" t="s">
        <v>852</v>
      </c>
      <c r="B88" s="438">
        <f>'Sources and Uses Budget'!$C87</f>
        <v>25000</v>
      </c>
      <c r="C88" s="438">
        <f>'Sources and Uses Budget'!$C87</f>
        <v>25000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40000</v>
      </c>
      <c r="C92" s="438">
        <f>'Sources and Uses Budget'!$C91</f>
        <v>40000</v>
      </c>
      <c r="D92" s="442">
        <f t="shared" si="1"/>
        <v>0</v>
      </c>
      <c r="E92" s="440"/>
      <c r="F92" s="439"/>
      <c r="G92" s="577"/>
    </row>
    <row r="93" spans="1:7" s="571" customFormat="1">
      <c r="A93" s="444" t="s">
        <v>37</v>
      </c>
      <c r="B93" s="438">
        <f>'Sources and Uses Budget'!$C92</f>
        <v>69412</v>
      </c>
      <c r="C93" s="438">
        <f>'Sources and Uses Budget'!$C92</f>
        <v>69412</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1960595</v>
      </c>
      <c r="C96" s="442">
        <f>SUM(C81:C95)</f>
        <v>1960595</v>
      </c>
      <c r="D96" s="442">
        <f t="shared" si="1"/>
        <v>0</v>
      </c>
      <c r="E96" s="440"/>
      <c r="F96" s="439"/>
      <c r="G96" s="577"/>
    </row>
    <row r="97" spans="1:7" s="571" customFormat="1">
      <c r="A97" s="443" t="s">
        <v>854</v>
      </c>
      <c r="B97" s="442">
        <f>SUM(B64+B68+B75+B79+B96)</f>
        <v>26804088</v>
      </c>
      <c r="C97" s="442">
        <f>SUM(C64+C68+C75+C79+C96)</f>
        <v>26804088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3190012</v>
      </c>
      <c r="C99" s="438">
        <f>'Sources and Uses Budget'!$C98</f>
        <v>3190012</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3190012</v>
      </c>
      <c r="C105" s="442">
        <f>SUM(C99:C104)</f>
        <v>3190012</v>
      </c>
      <c r="D105" s="442">
        <f t="shared" si="1"/>
        <v>0</v>
      </c>
      <c r="E105" s="440"/>
      <c r="F105" s="439"/>
      <c r="G105" s="575"/>
    </row>
    <row r="106" spans="1:7" s="570" customFormat="1">
      <c r="A106" s="443" t="s">
        <v>862</v>
      </c>
      <c r="B106" s="445">
        <f>SUM(B97+B105)</f>
        <v>29994100</v>
      </c>
      <c r="C106" s="445">
        <f>SUM(C97+C105)</f>
        <v>29994100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904</v>
      </c>
      <c r="B6" s="1014"/>
      <c r="C6" s="1015"/>
      <c r="D6" s="1015"/>
      <c r="E6" s="1015"/>
      <c r="F6" s="1015"/>
      <c r="G6" s="1015"/>
      <c r="I6" s="701" t="s">
        <v>642</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3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1282</v>
      </c>
      <c r="E21" s="1026"/>
      <c r="F21" s="1026"/>
    </row>
    <row r="22" spans="1:7" ht="14.25">
      <c r="A22" s="270"/>
      <c r="B22" s="270"/>
      <c r="D22" s="138"/>
    </row>
    <row r="23" spans="1:7" ht="14.25">
      <c r="A23" s="270"/>
      <c r="B23" s="703" t="s">
        <v>329</v>
      </c>
      <c r="D23" s="960" t="s">
        <v>1283</v>
      </c>
      <c r="E23" s="960"/>
      <c r="F23" s="960"/>
    </row>
    <row r="24" spans="1:7" ht="14.25">
      <c r="A24" s="270"/>
      <c r="B24" s="270"/>
      <c r="D24" s="960"/>
      <c r="E24" s="960"/>
      <c r="F24" s="960"/>
    </row>
    <row r="25" spans="1:7"/>
    <row r="26" spans="1:7" ht="14.25">
      <c r="A26" s="270"/>
      <c r="B26" s="703" t="s">
        <v>329</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329</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1306</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1307</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3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329</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1333</v>
      </c>
      <c r="E194" s="985"/>
      <c r="F194" s="985"/>
    </row>
    <row r="195" spans="1:6" ht="12" customHeight="1">
      <c r="A195" s="23"/>
      <c r="B195" s="699"/>
      <c r="C195" s="23"/>
    </row>
    <row r="196" spans="1:6" ht="13.35" customHeight="1">
      <c r="A196" s="23"/>
      <c r="C196" s="23"/>
      <c r="D196" s="983" t="s">
        <v>593</v>
      </c>
      <c r="E196" s="983"/>
      <c r="F196" s="983"/>
    </row>
    <row r="197" spans="1:6" ht="14.25">
      <c r="A197" s="270"/>
      <c r="B197" s="703" t="s">
        <v>329</v>
      </c>
      <c r="D197" s="960" t="s">
        <v>1327</v>
      </c>
      <c r="E197" s="960"/>
      <c r="F197" s="960"/>
    </row>
    <row r="198" spans="1:6" ht="14.25">
      <c r="A198" s="270"/>
      <c r="B198" s="270"/>
      <c r="D198" s="960"/>
      <c r="E198" s="960"/>
      <c r="F198" s="960"/>
    </row>
    <row r="199" spans="1:6"/>
    <row r="200" spans="1:6" ht="14.25">
      <c r="A200" s="270"/>
      <c r="B200" s="703" t="s">
        <v>329</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1330</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1335</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1336</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1340</v>
      </c>
      <c r="E251" s="991"/>
      <c r="F251" s="991"/>
    </row>
    <row r="252" spans="1:7">
      <c r="E252" s="138"/>
      <c r="F252" s="138"/>
    </row>
    <row r="253" spans="1:7" ht="14.25">
      <c r="A253" s="270"/>
      <c r="B253" s="703" t="s">
        <v>329</v>
      </c>
      <c r="D253" s="960" t="s">
        <v>1341</v>
      </c>
      <c r="E253" s="960"/>
      <c r="F253" s="960"/>
    </row>
    <row r="254" spans="1:7" ht="14.25">
      <c r="A254" s="270"/>
      <c r="B254" s="270"/>
      <c r="D254" s="960"/>
      <c r="E254" s="960"/>
      <c r="F254" s="960"/>
    </row>
    <row r="255" spans="1:7">
      <c r="D255" s="138"/>
      <c r="E255" s="138"/>
      <c r="F255" s="138"/>
    </row>
    <row r="256" spans="1:7" ht="14.25">
      <c r="A256" s="270"/>
      <c r="B256" s="703" t="s">
        <v>329</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1344</v>
      </c>
      <c r="E266" s="973"/>
      <c r="F266" s="973"/>
    </row>
    <row r="267" spans="1:7">
      <c r="C267" s="23"/>
      <c r="D267" s="268"/>
    </row>
    <row r="268" spans="1:7">
      <c r="A268" s="282"/>
      <c r="B268" s="703" t="s">
        <v>329</v>
      </c>
      <c r="D268" s="973" t="s">
        <v>1345</v>
      </c>
      <c r="E268" s="973"/>
      <c r="F268" s="973"/>
    </row>
    <row r="269" spans="1:7" s="39" customFormat="1" ht="14.25">
      <c r="A269" s="420"/>
      <c r="B269" s="420"/>
      <c r="C269" s="282"/>
      <c r="D269" s="514"/>
      <c r="E269" s="515"/>
      <c r="F269" s="515"/>
      <c r="G269" s="133"/>
    </row>
    <row r="270" spans="1:7" s="39" customFormat="1" ht="13.35" customHeight="1">
      <c r="A270" s="282"/>
      <c r="B270" s="703" t="s">
        <v>329</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35" customHeight="1">
      <c r="A276" s="282"/>
      <c r="B276" s="703" t="s">
        <v>329</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1348</v>
      </c>
      <c r="E279" s="973"/>
      <c r="F279" s="973"/>
    </row>
    <row r="280" spans="1:7">
      <c r="E280" s="138"/>
      <c r="F280" s="138"/>
    </row>
    <row r="281" spans="1:7" ht="14.25">
      <c r="A281" s="270"/>
      <c r="B281" s="703" t="s">
        <v>329</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329</v>
      </c>
      <c r="C317" s="335"/>
      <c r="D317" s="994" t="s">
        <v>1353</v>
      </c>
      <c r="E317" s="994"/>
      <c r="F317" s="994"/>
      <c r="G317" s="12"/>
    </row>
    <row r="318" spans="1:7">
      <c r="A318" s="335"/>
      <c r="B318" s="335"/>
      <c r="C318" s="335"/>
      <c r="D318" s="484"/>
      <c r="E318" s="484"/>
      <c r="F318" s="138"/>
      <c r="G318" s="12"/>
    </row>
    <row r="319" spans="1:7">
      <c r="A319" s="335"/>
      <c r="B319" s="703" t="s">
        <v>329</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3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1364</v>
      </c>
      <c r="E416" s="974"/>
      <c r="F416" s="974"/>
      <c r="G416" s="12"/>
    </row>
    <row r="417" spans="1:7">
      <c r="D417" s="974"/>
      <c r="E417" s="974"/>
      <c r="F417" s="974"/>
      <c r="G417" s="12"/>
    </row>
    <row r="418" spans="1:7">
      <c r="D418" s="138"/>
      <c r="E418" s="138"/>
      <c r="F418" s="138"/>
      <c r="G418" s="12"/>
    </row>
    <row r="419" spans="1:7" ht="14.25">
      <c r="B419" s="703" t="s">
        <v>329</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1372</v>
      </c>
      <c r="E459" s="973"/>
      <c r="F459" s="973"/>
      <c r="G459" s="12"/>
    </row>
    <row r="460" spans="1:7" ht="14.25">
      <c r="A460" s="270"/>
      <c r="B460" s="270"/>
      <c r="D460" s="754"/>
      <c r="E460" s="6"/>
      <c r="F460" s="6"/>
      <c r="G460" s="12"/>
    </row>
    <row r="461" spans="1:7" ht="14.25">
      <c r="A461" s="270"/>
      <c r="B461" s="703" t="s">
        <v>329</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3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35" customHeight="1">
      <c r="A500" s="504"/>
      <c r="B500" s="703" t="s">
        <v>329</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35" customHeight="1">
      <c r="A519" s="270"/>
      <c r="B519" s="703" t="s">
        <v>329</v>
      </c>
      <c r="C519" s="275"/>
      <c r="D519" s="973" t="s">
        <v>979</v>
      </c>
      <c r="E519" s="973"/>
      <c r="F519" s="973"/>
      <c r="G519" s="12"/>
    </row>
    <row r="520" spans="1:7" ht="13.35" customHeight="1">
      <c r="A520" s="275"/>
      <c r="B520" s="275"/>
      <c r="C520" s="275"/>
      <c r="D520" s="728"/>
      <c r="E520" s="701"/>
      <c r="F520" s="701"/>
      <c r="G520" s="12"/>
    </row>
    <row r="521" spans="1:7" ht="14.25">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1275</v>
      </c>
      <c r="E543" s="973"/>
      <c r="F543" s="973"/>
      <c r="G543" s="57"/>
    </row>
    <row r="544" spans="1:7">
      <c r="A544" s="23"/>
      <c r="B544" s="699"/>
      <c r="C544" s="275"/>
      <c r="D544" s="973" t="s">
        <v>905</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329</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1231</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329</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1318</v>
      </c>
      <c r="E605" s="996"/>
      <c r="F605" s="996"/>
      <c r="G605" s="57"/>
    </row>
    <row r="606" spans="1:7">
      <c r="D606" s="996"/>
      <c r="E606" s="996"/>
      <c r="F606" s="996"/>
      <c r="G606" s="57"/>
    </row>
    <row r="607" spans="1:7">
      <c r="D607" s="12"/>
      <c r="G607" s="57"/>
    </row>
    <row r="608" spans="1:7">
      <c r="B608" s="703" t="s">
        <v>329</v>
      </c>
      <c r="D608" s="996" t="s">
        <v>1319</v>
      </c>
      <c r="E608" s="996"/>
      <c r="F608" s="996"/>
      <c r="G608" s="57"/>
    </row>
    <row r="609" spans="1:7">
      <c r="C609" s="277"/>
      <c r="D609" s="996"/>
      <c r="E609" s="996"/>
      <c r="F609" s="996"/>
      <c r="G609" s="57"/>
    </row>
    <row r="610" spans="1:7">
      <c r="C610" s="277"/>
      <c r="G610" s="57"/>
    </row>
    <row r="611" spans="1:7">
      <c r="B611" s="703" t="s">
        <v>329</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329</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3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329</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162" zoomScaleNormal="162"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3"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5" t="s">
        <v>1560</v>
      </c>
      <c r="B2" s="1055"/>
      <c r="C2" s="1056"/>
      <c r="D2" s="1056"/>
      <c r="E2" s="1056"/>
      <c r="F2" s="1056"/>
      <c r="G2" s="1056"/>
    </row>
    <row r="3" spans="1:9">
      <c r="A3" s="1063" t="s">
        <v>1563</v>
      </c>
      <c r="B3" s="1063"/>
      <c r="C3" s="1064"/>
      <c r="D3" s="1064"/>
      <c r="E3" s="1064"/>
      <c r="F3" s="1064"/>
      <c r="G3" s="1064"/>
      <c r="I3" s="717" t="s">
        <v>1199</v>
      </c>
    </row>
    <row r="4" spans="1:9">
      <c r="A4" s="1059" t="s">
        <v>1562</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329</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1282</v>
      </c>
      <c r="E19" s="1024"/>
      <c r="F19" s="1024"/>
    </row>
    <row r="20" spans="1:7" ht="14.25">
      <c r="A20" s="822"/>
      <c r="B20" s="822"/>
      <c r="D20" s="825"/>
    </row>
    <row r="21" spans="1:7" ht="14.25">
      <c r="A21" s="822"/>
      <c r="B21" s="823" t="s">
        <v>329</v>
      </c>
      <c r="D21" s="998" t="s">
        <v>1283</v>
      </c>
      <c r="E21" s="998"/>
      <c r="F21" s="998"/>
    </row>
    <row r="22" spans="1:7" ht="14.25">
      <c r="A22" s="822"/>
      <c r="B22" s="822"/>
      <c r="D22" s="998"/>
      <c r="E22" s="998"/>
      <c r="F22" s="998"/>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1291</v>
      </c>
      <c r="E56" s="999"/>
      <c r="F56" s="999"/>
    </row>
    <row r="57" spans="1:7">
      <c r="D57" s="999"/>
      <c r="E57" s="999"/>
      <c r="F57" s="999"/>
    </row>
    <row r="58" spans="1:7">
      <c r="D58" s="999"/>
      <c r="E58" s="999"/>
      <c r="F58" s="999"/>
    </row>
    <row r="59" spans="1:7">
      <c r="D59" s="717"/>
    </row>
    <row r="60" spans="1:7" ht="14.25">
      <c r="A60" s="822"/>
      <c r="B60" s="823" t="s">
        <v>329</v>
      </c>
      <c r="D60" s="999" t="s">
        <v>1292</v>
      </c>
      <c r="E60" s="999"/>
      <c r="F60" s="999"/>
    </row>
    <row r="61" spans="1:7">
      <c r="D61" s="999"/>
      <c r="E61" s="999"/>
      <c r="F61" s="999"/>
    </row>
    <row r="62" spans="1:7"/>
    <row r="63" spans="1:7" ht="14.25">
      <c r="A63" s="822"/>
      <c r="B63" s="823" t="s">
        <v>329</v>
      </c>
      <c r="D63" s="999" t="s">
        <v>1293</v>
      </c>
      <c r="E63" s="999"/>
      <c r="F63" s="999"/>
    </row>
    <row r="64" spans="1:7">
      <c r="D64" s="999"/>
      <c r="E64" s="999"/>
      <c r="F64" s="999"/>
    </row>
    <row r="65" spans="1:7">
      <c r="D65" s="999"/>
      <c r="E65" s="999"/>
      <c r="F65" s="999"/>
    </row>
    <row r="66" spans="1:7">
      <c r="D66" s="815"/>
    </row>
    <row r="67" spans="1:7" ht="14.25">
      <c r="A67" s="822"/>
      <c r="B67" s="823" t="s">
        <v>329</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7" customHeight="1">
      <c r="A75" s="822"/>
      <c r="B75" s="823" t="s">
        <v>329</v>
      </c>
      <c r="D75" s="998" t="s">
        <v>1527</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1305</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1413</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1307</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329</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1333</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1328</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1330</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1448</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1340</v>
      </c>
      <c r="E241" s="1053"/>
      <c r="F241" s="1053"/>
    </row>
    <row r="242" spans="1:7">
      <c r="E242" s="825"/>
      <c r="F242" s="825"/>
    </row>
    <row r="243" spans="1:7" ht="14.25">
      <c r="A243" s="822"/>
      <c r="B243" s="823" t="s">
        <v>329</v>
      </c>
      <c r="D243" s="998" t="s">
        <v>1341</v>
      </c>
      <c r="E243" s="998"/>
      <c r="F243" s="998"/>
    </row>
    <row r="244" spans="1:7" ht="14.25">
      <c r="A244" s="822"/>
      <c r="B244" s="822"/>
      <c r="D244" s="998"/>
      <c r="E244" s="998"/>
      <c r="F244" s="998"/>
    </row>
    <row r="245" spans="1:7">
      <c r="D245" s="825"/>
      <c r="E245" s="825"/>
      <c r="F245" s="825"/>
    </row>
    <row r="246" spans="1:7" ht="14.25">
      <c r="A246" s="822"/>
      <c r="B246" s="823" t="s">
        <v>329</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1344</v>
      </c>
      <c r="E256" s="1000"/>
      <c r="F256" s="1000"/>
    </row>
    <row r="257" spans="1:7">
      <c r="C257" s="841"/>
      <c r="D257" s="848"/>
    </row>
    <row r="258" spans="1:7">
      <c r="A258" s="826"/>
      <c r="B258" s="823" t="s">
        <v>329</v>
      </c>
      <c r="D258" s="1000" t="s">
        <v>1345</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1348</v>
      </c>
      <c r="E269" s="1000"/>
      <c r="F269" s="1000"/>
    </row>
    <row r="270" spans="1:7">
      <c r="E270" s="825"/>
      <c r="F270" s="825"/>
    </row>
    <row r="271" spans="1:7" ht="14.25">
      <c r="A271" s="822"/>
      <c r="B271" s="823" t="s">
        <v>329</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1581</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329</v>
      </c>
      <c r="C307" s="839"/>
      <c r="D307" s="994" t="s">
        <v>1353</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6"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1604</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1582</v>
      </c>
      <c r="E372" s="989"/>
      <c r="F372" s="989"/>
      <c r="G372" s="815"/>
    </row>
    <row r="373" spans="1:7">
      <c r="D373" s="825"/>
      <c r="E373" s="825"/>
      <c r="F373" s="825"/>
      <c r="G373" s="815"/>
    </row>
    <row r="374" spans="1:7" ht="14.25">
      <c r="A374" s="822"/>
      <c r="B374" s="823" t="s">
        <v>329</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1583</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1372</v>
      </c>
      <c r="E455" s="1000"/>
      <c r="F455" s="1000"/>
      <c r="G455" s="815"/>
    </row>
    <row r="456" spans="1:7" ht="14.25">
      <c r="A456" s="822"/>
      <c r="B456" s="822"/>
      <c r="D456" s="810"/>
      <c r="E456" s="696"/>
      <c r="F456" s="696"/>
      <c r="G456" s="815"/>
    </row>
    <row r="457" spans="1:7" ht="14.25">
      <c r="A457" s="822"/>
      <c r="B457" s="823" t="s">
        <v>329</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1628</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3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1268</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1275</v>
      </c>
      <c r="E539" s="1000"/>
      <c r="F539" s="1000"/>
      <c r="G539" s="844"/>
    </row>
    <row r="540" spans="1:7">
      <c r="A540" s="841"/>
      <c r="B540" s="841"/>
      <c r="C540" s="854"/>
      <c r="D540" s="1000" t="s">
        <v>905</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329</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329</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1318</v>
      </c>
      <c r="E594" s="996"/>
      <c r="F594" s="996"/>
      <c r="G594" s="844"/>
    </row>
    <row r="595" spans="1:7">
      <c r="D595" s="996"/>
      <c r="E595" s="996"/>
      <c r="F595" s="996"/>
      <c r="G595" s="844"/>
    </row>
    <row r="596" spans="1:7">
      <c r="D596" s="815"/>
      <c r="G596" s="844"/>
    </row>
    <row r="597" spans="1:7">
      <c r="B597" s="823" t="s">
        <v>329</v>
      </c>
      <c r="D597" s="996" t="s">
        <v>1319</v>
      </c>
      <c r="E597" s="996"/>
      <c r="F597" s="996"/>
      <c r="G597" s="844"/>
    </row>
    <row r="598" spans="1:7">
      <c r="C598" s="866"/>
      <c r="D598" s="996"/>
      <c r="E598" s="996"/>
      <c r="F598" s="996"/>
      <c r="G598" s="844"/>
    </row>
    <row r="599" spans="1:7">
      <c r="C599" s="866"/>
      <c r="G599" s="844"/>
    </row>
    <row r="600" spans="1:7">
      <c r="B600" s="823" t="s">
        <v>329</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329</v>
      </c>
      <c r="C607" s="843"/>
      <c r="D607" s="998" t="s">
        <v>1566</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329</v>
      </c>
      <c r="C627" s="854"/>
      <c r="D627" s="1067" t="s">
        <v>1600</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1603</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1601</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1602</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1565</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1571</v>
      </c>
      <c r="B760" s="1032"/>
      <c r="C760" s="1032"/>
      <c r="D760" s="1032"/>
      <c r="E760" s="1032"/>
      <c r="F760" s="1032"/>
      <c r="G760" s="1032"/>
    </row>
    <row r="761" spans="1:11">
      <c r="A761" s="820"/>
      <c r="B761" s="820"/>
      <c r="C761" s="820"/>
      <c r="D761" s="881"/>
      <c r="F761" s="868"/>
      <c r="G761" s="874"/>
    </row>
    <row r="762" spans="1:11">
      <c r="A762" s="826"/>
      <c r="B762" s="826"/>
      <c r="C762" s="831"/>
      <c r="D762" s="1033" t="s">
        <v>1579</v>
      </c>
      <c r="E762" s="1033"/>
      <c r="F762" s="1033"/>
      <c r="G762" s="874"/>
    </row>
    <row r="763" spans="1:11">
      <c r="A763" s="882"/>
      <c r="B763" s="882"/>
      <c r="C763" s="883"/>
      <c r="D763" s="1023" t="s">
        <v>1567</v>
      </c>
      <c r="E763" s="1023"/>
      <c r="F763" s="1023"/>
      <c r="G763" s="874"/>
    </row>
    <row r="764" spans="1:11">
      <c r="A764" s="882"/>
      <c r="B764" s="882"/>
      <c r="C764" s="883"/>
      <c r="D764" s="920"/>
      <c r="E764" s="920"/>
      <c r="F764" s="920"/>
      <c r="G764" s="874"/>
    </row>
    <row r="765" spans="1:11">
      <c r="A765" s="826"/>
      <c r="C765" s="831"/>
      <c r="D765" s="1033" t="s">
        <v>1564</v>
      </c>
      <c r="E765" s="1033"/>
      <c r="F765" s="1033"/>
      <c r="G765" s="874"/>
    </row>
    <row r="766" spans="1:11" ht="14.25">
      <c r="A766" s="822"/>
      <c r="B766" s="823" t="s">
        <v>329</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1580</v>
      </c>
      <c r="E770" s="1033"/>
      <c r="F770" s="1033"/>
      <c r="G770" s="874"/>
    </row>
    <row r="771" spans="1:7" ht="14.25">
      <c r="A771" s="822"/>
      <c r="B771" s="823" t="s">
        <v>329</v>
      </c>
      <c r="C771" s="831"/>
      <c r="D771" s="1051" t="s">
        <v>1576</v>
      </c>
      <c r="E771" s="1051"/>
      <c r="F771" s="1051"/>
      <c r="G771" s="815"/>
    </row>
    <row r="772" spans="1:7" ht="14.25">
      <c r="A772" s="822"/>
      <c r="B772" s="815"/>
      <c r="C772" s="831"/>
      <c r="D772" s="1051" t="s">
        <v>1577</v>
      </c>
      <c r="E772" s="1051"/>
      <c r="F772" s="1051"/>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view="pageBreakPreview" topLeftCell="A1001" zoomScaleNormal="100" zoomScaleSheetLayoutView="100" workbookViewId="0">
      <selection activeCell="X614" sqref="X614"/>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4" t="s">
        <v>1569</v>
      </c>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row>
    <row r="10" spans="1:38" ht="15" customHeight="1">
      <c r="A10" s="1085" t="s">
        <v>1570</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1568</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6" t="s">
        <v>1643</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89" t="s">
        <v>1658</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3" t="s">
        <v>1645</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6" t="s">
        <v>966</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39" ht="12.75" customHeight="1">
      <c r="A21" s="1509" t="s">
        <v>1154</v>
      </c>
      <c r="B21" s="1509"/>
      <c r="C21" s="1509"/>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8">
        <f>'Basis &amp; Credits'!AB56</f>
        <v>1129647</v>
      </c>
      <c r="N26" s="1508"/>
      <c r="O26" s="1508"/>
      <c r="P26" s="1508"/>
      <c r="Q26" s="150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6" t="s">
        <v>723</v>
      </c>
      <c r="P33" s="109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8"/>
      <c r="H122" s="1488"/>
      <c r="I122" s="247" t="s">
        <v>195</v>
      </c>
      <c r="L122" s="1488"/>
      <c r="M122" s="1488"/>
      <c r="N122" s="148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5"/>
      <c r="D124" s="1505"/>
      <c r="E124" s="1505"/>
      <c r="F124" s="1505"/>
      <c r="G124" s="1505"/>
      <c r="H124" s="1505"/>
      <c r="I124" s="1505"/>
      <c r="J124" s="1505"/>
      <c r="K124" s="150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8"/>
      <c r="Z126" s="1488"/>
      <c r="AA126" s="1488"/>
      <c r="AB126" s="1488"/>
      <c r="AC126" s="1488"/>
      <c r="AD126" s="1488"/>
      <c r="AE126" s="1488"/>
      <c r="AF126" s="1488"/>
      <c r="AG126" s="1488"/>
      <c r="AH126" s="1488"/>
      <c r="AI126" s="1488"/>
      <c r="AJ126" s="1488"/>
      <c r="AK126" s="148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1"/>
      <c r="G150" s="1501"/>
      <c r="H150" s="1501"/>
      <c r="I150" s="1501"/>
      <c r="J150" s="1501"/>
      <c r="K150" s="1501"/>
      <c r="L150" s="1501"/>
      <c r="M150" s="1501"/>
      <c r="N150" s="1501"/>
      <c r="O150" s="1501"/>
      <c r="P150" s="1501"/>
      <c r="Q150" s="1501"/>
      <c r="R150" s="1501"/>
      <c r="S150" s="1501"/>
      <c r="T150" s="150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1646</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22" t="s">
        <v>1647</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497" t="s">
        <v>477</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2.75">
      <c r="D156" s="32" t="s">
        <v>335</v>
      </c>
      <c r="F156" s="32"/>
      <c r="G156" s="32"/>
      <c r="H156" s="32"/>
      <c r="I156" s="32"/>
      <c r="J156" s="32"/>
      <c r="K156" s="32"/>
      <c r="L156" s="32"/>
      <c r="M156" s="32"/>
      <c r="N156" s="32"/>
      <c r="O156" s="1093" t="s">
        <v>1648</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1649</v>
      </c>
      <c r="P157" s="1215"/>
      <c r="Q157" s="1215"/>
      <c r="R157" s="1215"/>
      <c r="S157" s="1215"/>
      <c r="T157" s="1215"/>
      <c r="U157" s="1215"/>
      <c r="V157" s="1215"/>
      <c r="W157" s="1215"/>
      <c r="X157" s="121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0">
        <v>95668</v>
      </c>
      <c r="P158" s="1310"/>
      <c r="Q158" s="1310"/>
      <c r="R158" s="131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17" t="s">
        <v>1650</v>
      </c>
      <c r="P159" s="1309"/>
      <c r="Q159" s="1309"/>
      <c r="R159" s="1309"/>
      <c r="S159" s="1309"/>
      <c r="T159" s="1309"/>
      <c r="V159" s="149" t="s">
        <v>287</v>
      </c>
      <c r="W159" s="1311"/>
      <c r="X159" s="131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17" t="s">
        <v>1651</v>
      </c>
      <c r="P160" s="1309"/>
      <c r="Q160" s="1309"/>
      <c r="R160" s="1309"/>
      <c r="S160" s="1309"/>
      <c r="T160" s="130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2"/>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3" t="s">
        <v>1510</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6" t="s">
        <v>586</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727</v>
      </c>
      <c r="BG169" s="12" t="s">
        <v>535</v>
      </c>
    </row>
    <row r="170" spans="1:59" ht="13.5"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1" t="s">
        <v>403</v>
      </c>
      <c r="K173" s="1491"/>
      <c r="L173" s="1491"/>
      <c r="M173" s="1491"/>
      <c r="N173" s="1491"/>
      <c r="O173" s="1491"/>
      <c r="P173" s="1491"/>
      <c r="Q173" s="1491"/>
      <c r="R173" s="1491"/>
      <c r="S173" s="149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592</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7">
        <v>20</v>
      </c>
      <c r="V176" s="1487"/>
      <c r="W176" s="4" t="s">
        <v>328</v>
      </c>
      <c r="X176" s="1496">
        <v>201</v>
      </c>
      <c r="Y176" s="149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Pony Express Senior Apartments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222" t="s">
        <v>1653</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5"/>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329</v>
      </c>
      <c r="BA189" s="36" t="s">
        <v>251</v>
      </c>
      <c r="BG189" s="12" t="s">
        <v>72</v>
      </c>
    </row>
    <row r="190" spans="1:59" ht="12.7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1193</v>
      </c>
      <c r="BA190" s="36" t="s">
        <v>686</v>
      </c>
      <c r="BG190" s="12" t="s">
        <v>73</v>
      </c>
    </row>
    <row r="191" spans="1:59" ht="12.75">
      <c r="A191" s="25"/>
      <c r="C191" s="45"/>
      <c r="D191" s="25" t="s">
        <v>631</v>
      </c>
      <c r="E191" s="25"/>
      <c r="I191" s="1093" t="s">
        <v>1649</v>
      </c>
      <c r="J191" s="1095"/>
      <c r="K191" s="1095"/>
      <c r="L191" s="1095"/>
      <c r="M191" s="1095"/>
      <c r="N191" s="1095"/>
      <c r="O191" s="1095"/>
      <c r="P191" s="1095"/>
      <c r="Q191" s="25" t="s">
        <v>633</v>
      </c>
      <c r="T191" s="1093" t="s">
        <v>211</v>
      </c>
      <c r="U191" s="1095"/>
      <c r="V191" s="1095"/>
      <c r="W191" s="1095"/>
      <c r="X191" s="1095"/>
      <c r="Y191" s="1095"/>
      <c r="Z191" s="1095"/>
      <c r="AA191" s="1095"/>
      <c r="AB191" s="1095"/>
      <c r="AC191" s="1095"/>
      <c r="AD191" s="1095"/>
      <c r="AE191" s="1095"/>
      <c r="AH191" s="25"/>
      <c r="AJ191" s="3"/>
      <c r="AK191" s="3"/>
      <c r="AL191" s="3"/>
      <c r="AP191" s="12" t="s">
        <v>1194</v>
      </c>
      <c r="BA191" s="36" t="s">
        <v>743</v>
      </c>
      <c r="BG191" s="12" t="s">
        <v>789</v>
      </c>
    </row>
    <row r="192" spans="1:59" ht="12.75">
      <c r="A192" s="25"/>
      <c r="C192" s="46"/>
      <c r="D192" s="25" t="s">
        <v>634</v>
      </c>
      <c r="E192" s="25"/>
      <c r="F192" s="25"/>
      <c r="G192" s="25"/>
      <c r="I192" s="1116">
        <v>95687</v>
      </c>
      <c r="J192" s="1116"/>
      <c r="K192" s="1116"/>
      <c r="L192" s="1116"/>
      <c r="M192" s="1116"/>
      <c r="N192" s="1116"/>
      <c r="O192" s="25" t="s">
        <v>636</v>
      </c>
      <c r="P192" s="25"/>
      <c r="Q192" s="25"/>
      <c r="R192" s="25"/>
      <c r="S192" s="25"/>
      <c r="T192" s="1490">
        <v>2531.0500000000002</v>
      </c>
      <c r="U192" s="1490"/>
      <c r="V192" s="1490"/>
      <c r="W192" s="1490"/>
      <c r="X192" s="1490"/>
      <c r="Y192" s="1490"/>
      <c r="Z192" s="1490"/>
      <c r="AA192" s="1490"/>
      <c r="AB192" s="1490"/>
      <c r="AC192" s="1490"/>
      <c r="AD192" s="1490"/>
      <c r="AE192" s="1490"/>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4" t="s">
        <v>1654</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3</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723</v>
      </c>
      <c r="U196" s="1220"/>
      <c r="W196" s="25" t="s">
        <v>740</v>
      </c>
      <c r="X196" s="25"/>
      <c r="Y196" s="25"/>
      <c r="Z196" s="25"/>
      <c r="AA196" s="25"/>
      <c r="AB196" s="25"/>
      <c r="AC196" s="25"/>
      <c r="AD196" s="25"/>
      <c r="AE196" s="25"/>
      <c r="AF196" s="25"/>
      <c r="AG196" s="25"/>
      <c r="AH196" s="1096">
        <v>11</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723</v>
      </c>
      <c r="U197" s="1220"/>
      <c r="V197" s="12"/>
      <c r="W197" s="25" t="s">
        <v>741</v>
      </c>
      <c r="X197" s="25"/>
      <c r="Y197" s="25"/>
      <c r="Z197" s="25"/>
      <c r="AA197" s="25"/>
      <c r="AB197" s="25"/>
      <c r="AC197" s="25"/>
      <c r="AD197" s="25"/>
      <c r="AE197" s="25"/>
      <c r="AF197" s="25"/>
      <c r="AG197" s="25"/>
      <c r="AH197" s="1096">
        <v>3</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0" t="s">
        <v>723</v>
      </c>
      <c r="Z198" s="12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5">
        <f>M26</f>
        <v>1129647</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3" t="s">
        <v>1532</v>
      </c>
      <c r="E204" s="1097"/>
      <c r="F204" s="1097"/>
      <c r="G204" s="1097"/>
      <c r="H204" s="1097"/>
      <c r="I204" s="1097"/>
      <c r="J204" s="1097"/>
      <c r="K204" s="1097"/>
      <c r="L204" s="1097"/>
      <c r="M204" s="1097"/>
      <c r="P204" s="1312">
        <f>M27</f>
        <v>0</v>
      </c>
      <c r="Q204" s="1312"/>
      <c r="R204" s="1312"/>
      <c r="S204" s="1312"/>
      <c r="T204" s="1312"/>
      <c r="U204" s="1312"/>
      <c r="V204" s="47"/>
      <c r="W204" s="25" t="s">
        <v>1533</v>
      </c>
      <c r="X204" s="25"/>
      <c r="Y204" s="25"/>
      <c r="Z204" s="25"/>
      <c r="AA204" s="25"/>
      <c r="AB204" s="25"/>
      <c r="AC204" s="25"/>
      <c r="AD204" s="25"/>
      <c r="AE204" s="25"/>
      <c r="AF204" s="1096" t="s">
        <v>723</v>
      </c>
      <c r="AG204" s="109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5" t="s">
        <v>1655</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5" t="s">
        <v>1193</v>
      </c>
      <c r="E210" s="1215"/>
      <c r="F210" s="1215"/>
      <c r="G210" s="1215"/>
      <c r="H210" s="1215"/>
      <c r="I210" s="1215"/>
      <c r="J210" s="1215"/>
      <c r="K210" s="1215"/>
      <c r="L210" s="1215"/>
      <c r="M210" s="1215"/>
      <c r="N210" s="12" t="s">
        <v>1517</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15" t="s">
        <v>1224</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6" t="s">
        <v>587</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5"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592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642</v>
      </c>
      <c r="AJ223" s="109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8" t="str">
        <f>H16</f>
        <v>Pony Express Senior Apartments,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585</v>
      </c>
      <c r="AT227" s="406">
        <f>IF(AND(AND($M$244="nonprofit",$M$252="for profit",$M$260="nonprofit")),2,0)</f>
        <v>0</v>
      </c>
    </row>
    <row r="228" spans="1:59" ht="12.75">
      <c r="D228" s="57" t="s">
        <v>92</v>
      </c>
      <c r="E228" s="57"/>
      <c r="F228" s="57"/>
      <c r="G228" s="57"/>
      <c r="H228" s="57"/>
      <c r="I228" s="57"/>
      <c r="J228" s="57"/>
      <c r="K228" s="7"/>
      <c r="M228" s="1093" t="s">
        <v>1659</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585</v>
      </c>
      <c r="AT228" s="405">
        <f>IF(AND(AND($M$244="for profit",$M$252="nonprofit",$M$260="nonprofit")),2,0)</f>
        <v>0</v>
      </c>
      <c r="BB228" s="61"/>
    </row>
    <row r="229" spans="1:59" ht="12.75">
      <c r="D229" s="57" t="s">
        <v>631</v>
      </c>
      <c r="E229" s="57"/>
      <c r="M229" s="1093" t="s">
        <v>1660</v>
      </c>
      <c r="N229" s="1215"/>
      <c r="O229" s="1215"/>
      <c r="P229" s="1215"/>
      <c r="Q229" s="1215"/>
      <c r="R229" s="1215"/>
      <c r="S229" s="1215"/>
      <c r="T229" s="1215"/>
      <c r="V229" s="59" t="s">
        <v>93</v>
      </c>
      <c r="W229" s="1222" t="s">
        <v>1661</v>
      </c>
      <c r="X229" s="1099"/>
      <c r="Y229" s="57" t="s">
        <v>634</v>
      </c>
      <c r="AC229" s="1215">
        <v>95409</v>
      </c>
      <c r="AD229" s="1215"/>
      <c r="AE229" s="1215"/>
      <c r="AO229" s="402"/>
      <c r="AT229" s="403"/>
    </row>
    <row r="230" spans="1:59" ht="12.75">
      <c r="D230" s="60" t="s">
        <v>94</v>
      </c>
      <c r="E230" s="7"/>
      <c r="F230" s="7"/>
      <c r="G230" s="7"/>
      <c r="H230" s="7"/>
      <c r="I230" s="7"/>
      <c r="J230" s="7"/>
      <c r="K230" s="29"/>
      <c r="M230" s="1093" t="s">
        <v>1662</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584</v>
      </c>
      <c r="AT230" s="406">
        <f>IF(AND(AND($M$244="nonprofit",$M$252="nonprofit",$M$260="(select one)")),1,0)</f>
        <v>1</v>
      </c>
    </row>
    <row r="231" spans="1:59" ht="12.75">
      <c r="D231" s="60" t="s">
        <v>95</v>
      </c>
      <c r="E231" s="7"/>
      <c r="F231" s="7"/>
      <c r="M231" s="1260" t="s">
        <v>1663</v>
      </c>
      <c r="N231" s="1098"/>
      <c r="O231" s="1098"/>
      <c r="P231" s="1098"/>
      <c r="Q231" s="1098"/>
      <c r="R231" s="1098"/>
      <c r="S231" s="7" t="s">
        <v>220</v>
      </c>
      <c r="T231" s="7"/>
      <c r="U231" s="1099"/>
      <c r="V231" s="1099"/>
      <c r="W231" s="1099"/>
      <c r="X231" s="7" t="s">
        <v>96</v>
      </c>
      <c r="Z231" s="1260" t="s">
        <v>1664</v>
      </c>
      <c r="AA231" s="1098"/>
      <c r="AB231" s="1098"/>
      <c r="AC231" s="1098"/>
      <c r="AD231" s="1098"/>
      <c r="AE231" s="1098"/>
      <c r="AO231" s="400" t="s">
        <v>584</v>
      </c>
      <c r="AT231" s="406">
        <f>IF(AND(AND($M$244="nonprofit",$M$252="nonprofit",$M$260="nonprofit")),1,0)</f>
        <v>0</v>
      </c>
    </row>
    <row r="232" spans="1:59" ht="12.75">
      <c r="D232" s="60" t="s">
        <v>97</v>
      </c>
      <c r="E232" s="7"/>
      <c r="F232" s="7"/>
      <c r="M232" s="1492" t="s">
        <v>1665</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6" t="s">
        <v>575</v>
      </c>
      <c r="N233" s="1116"/>
      <c r="O233" s="1116"/>
      <c r="P233" s="1116"/>
      <c r="Q233" s="1116"/>
      <c r="R233" s="1116"/>
      <c r="S233" s="1116"/>
      <c r="T233" s="1116"/>
      <c r="U233" s="404" t="s">
        <v>1005</v>
      </c>
      <c r="V233" s="335"/>
      <c r="W233" s="335"/>
      <c r="X233" s="335"/>
      <c r="Y233" s="335"/>
      <c r="Z233" s="335"/>
      <c r="AA233" s="1258" t="s">
        <v>1771</v>
      </c>
      <c r="AB233" s="1259"/>
      <c r="AC233" s="1259"/>
      <c r="AD233" s="1259"/>
      <c r="AE233" s="1259"/>
      <c r="AF233" s="1259"/>
      <c r="AG233" s="1259"/>
      <c r="AH233" s="1259"/>
      <c r="AI233" s="1259"/>
      <c r="AJ233" s="1259"/>
      <c r="AK233" s="1259"/>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89" t="s">
        <v>1666</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1657</v>
      </c>
      <c r="AG238" s="1251"/>
      <c r="AH238" s="1251"/>
      <c r="AI238" s="1251"/>
      <c r="AJ238" s="1251"/>
      <c r="AK238" s="1251"/>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1667</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3" t="s">
        <v>1668</v>
      </c>
      <c r="N240" s="1215"/>
      <c r="O240" s="1215"/>
      <c r="P240" s="1215"/>
      <c r="Q240" s="1215"/>
      <c r="R240" s="1215"/>
      <c r="S240" s="1215"/>
      <c r="T240" s="1215"/>
      <c r="V240" s="59" t="s">
        <v>93</v>
      </c>
      <c r="W240" s="1222" t="s">
        <v>1661</v>
      </c>
      <c r="X240" s="1099"/>
      <c r="Y240" s="57" t="s">
        <v>634</v>
      </c>
      <c r="AC240" s="1215">
        <v>94901</v>
      </c>
      <c r="AD240" s="1215"/>
      <c r="AE240" s="1215"/>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1669</v>
      </c>
      <c r="N241" s="1215"/>
      <c r="O241" s="1215"/>
      <c r="P241" s="1215"/>
      <c r="Q241" s="1215"/>
      <c r="R241" s="1215"/>
      <c r="S241" s="1215"/>
      <c r="T241" s="1215"/>
      <c r="U241" s="1215"/>
      <c r="V241" s="1215"/>
      <c r="W241" s="1215"/>
      <c r="X241" s="1215"/>
      <c r="Y241" s="1215"/>
      <c r="Z241" s="1215"/>
      <c r="AA241" s="1215"/>
      <c r="AB241" s="1215"/>
      <c r="AC241" s="1215"/>
      <c r="AD241" s="1215"/>
      <c r="AE241" s="1215"/>
      <c r="AH241" s="1576">
        <v>5.1000000000000004E-3</v>
      </c>
      <c r="AI241" s="1576"/>
      <c r="AJ241" s="1576"/>
      <c r="AK241" s="1576"/>
      <c r="AL241" s="7"/>
      <c r="AN241" s="7" t="s">
        <v>296</v>
      </c>
      <c r="BA241" s="61"/>
    </row>
    <row r="242" spans="1:53" ht="12.75">
      <c r="A242" s="29"/>
      <c r="B242" s="7"/>
      <c r="C242" s="7"/>
      <c r="D242" s="60" t="s">
        <v>95</v>
      </c>
      <c r="E242" s="7"/>
      <c r="F242" s="7"/>
      <c r="M242" s="1260" t="s">
        <v>1670</v>
      </c>
      <c r="N242" s="1098"/>
      <c r="O242" s="1098"/>
      <c r="P242" s="1098"/>
      <c r="Q242" s="1098"/>
      <c r="R242" s="1098"/>
      <c r="S242" s="7" t="s">
        <v>220</v>
      </c>
      <c r="T242" s="7"/>
      <c r="U242" s="1099"/>
      <c r="V242" s="1099"/>
      <c r="W242" s="1099"/>
      <c r="X242" s="7" t="s">
        <v>96</v>
      </c>
      <c r="Z242" s="1098"/>
      <c r="AA242" s="1098"/>
      <c r="AB242" s="1098"/>
      <c r="AC242" s="1098"/>
      <c r="AD242" s="1098"/>
      <c r="AE242" s="1098"/>
      <c r="AN242" s="7" t="s">
        <v>186</v>
      </c>
      <c r="BA242" s="61"/>
    </row>
    <row r="243" spans="1:53" ht="12.75">
      <c r="A243" s="29"/>
      <c r="B243" s="7"/>
      <c r="C243" s="7"/>
      <c r="D243" s="60" t="s">
        <v>97</v>
      </c>
      <c r="E243" s="7"/>
      <c r="F243" s="7"/>
      <c r="M243" s="1492" t="s">
        <v>1671</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581</v>
      </c>
      <c r="N244" s="1116"/>
      <c r="O244" s="1116"/>
      <c r="P244" s="1116"/>
      <c r="Q244" s="1116"/>
      <c r="R244" s="1116"/>
      <c r="S244" s="1116"/>
      <c r="T244" s="1116"/>
      <c r="U244" s="404" t="s">
        <v>1005</v>
      </c>
      <c r="V244" s="335"/>
      <c r="W244" s="335"/>
      <c r="X244" s="335"/>
      <c r="Y244" s="335"/>
      <c r="Z244" s="335"/>
      <c r="AA244" s="1258" t="s">
        <v>1673</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9" t="s">
        <v>1656</v>
      </c>
      <c r="N246" s="1251"/>
      <c r="O246" s="1251"/>
      <c r="P246" s="1251"/>
      <c r="Q246" s="1251"/>
      <c r="R246" s="1251"/>
      <c r="S246" s="1251"/>
      <c r="T246" s="1251"/>
      <c r="U246" s="1251"/>
      <c r="V246" s="1251"/>
      <c r="W246" s="1251"/>
      <c r="X246" s="1251"/>
      <c r="Y246" s="1251"/>
      <c r="Z246" s="1251"/>
      <c r="AA246" s="1251"/>
      <c r="AB246" s="1251"/>
      <c r="AC246" s="1251"/>
      <c r="AD246" s="1251"/>
      <c r="AE246" s="1251"/>
      <c r="AF246" s="1251" t="s">
        <v>1672</v>
      </c>
      <c r="AG246" s="1251"/>
      <c r="AH246" s="1251"/>
      <c r="AI246" s="1251"/>
      <c r="AJ246" s="1251"/>
      <c r="AK246" s="1251"/>
      <c r="BA246" s="61"/>
    </row>
    <row r="247" spans="1:53" ht="12.75">
      <c r="A247" s="29"/>
      <c r="B247" s="7"/>
      <c r="C247" s="7"/>
      <c r="D247" s="57" t="s">
        <v>92</v>
      </c>
      <c r="E247" s="57"/>
      <c r="F247" s="57"/>
      <c r="G247" s="57"/>
      <c r="H247" s="57"/>
      <c r="I247" s="57"/>
      <c r="J247" s="57"/>
      <c r="K247" s="57"/>
      <c r="L247" s="7"/>
      <c r="M247" s="1093" t="s">
        <v>1659</v>
      </c>
      <c r="N247" s="1215"/>
      <c r="O247" s="1215"/>
      <c r="P247" s="1215"/>
      <c r="Q247" s="1215"/>
      <c r="R247" s="1215"/>
      <c r="S247" s="1215"/>
      <c r="T247" s="1215"/>
      <c r="U247" s="1215"/>
      <c r="V247" s="1215"/>
      <c r="W247" s="1215"/>
      <c r="X247" s="1215"/>
      <c r="Y247" s="1215"/>
      <c r="Z247" s="1215"/>
      <c r="AA247" s="1215"/>
      <c r="AB247" s="1215"/>
      <c r="AC247" s="1215"/>
      <c r="AD247" s="1215"/>
      <c r="AE247" s="1215"/>
      <c r="AF247" s="58" t="s">
        <v>1419</v>
      </c>
      <c r="AG247" s="743"/>
      <c r="AH247" s="743"/>
      <c r="AI247" s="743"/>
      <c r="AJ247" s="743"/>
      <c r="AK247" s="743"/>
      <c r="AL247" s="7"/>
      <c r="BA247" s="61"/>
    </row>
    <row r="248" spans="1:53" ht="12.75">
      <c r="A248" s="29"/>
      <c r="B248" s="7"/>
      <c r="C248" s="7"/>
      <c r="D248" s="57" t="s">
        <v>631</v>
      </c>
      <c r="E248" s="57"/>
      <c r="M248" s="1093" t="s">
        <v>1660</v>
      </c>
      <c r="N248" s="1215"/>
      <c r="O248" s="1215"/>
      <c r="P248" s="1215"/>
      <c r="Q248" s="1215"/>
      <c r="R248" s="1215"/>
      <c r="S248" s="1215"/>
      <c r="T248" s="1215"/>
      <c r="V248" s="59" t="s">
        <v>93</v>
      </c>
      <c r="W248" s="1222" t="s">
        <v>1661</v>
      </c>
      <c r="X248" s="1099"/>
      <c r="Y248" s="57" t="s">
        <v>634</v>
      </c>
      <c r="AC248" s="1215">
        <v>95409</v>
      </c>
      <c r="AD248" s="1215"/>
      <c r="AE248" s="121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3" t="s">
        <v>1662</v>
      </c>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76">
        <v>4.8999999999999998E-3</v>
      </c>
      <c r="AI249" s="1576"/>
      <c r="AJ249" s="1576"/>
      <c r="AK249" s="1576"/>
      <c r="AL249" s="7"/>
      <c r="BA249" s="61"/>
    </row>
    <row r="250" spans="1:53" ht="12.75">
      <c r="A250" s="29"/>
      <c r="B250" s="7"/>
      <c r="C250" s="7"/>
      <c r="D250" s="60" t="s">
        <v>95</v>
      </c>
      <c r="E250" s="7"/>
      <c r="F250" s="7"/>
      <c r="M250" s="1098" t="str">
        <f>M231</f>
        <v>707.762.2336</v>
      </c>
      <c r="N250" s="1098"/>
      <c r="O250" s="1098"/>
      <c r="P250" s="1098"/>
      <c r="Q250" s="1098"/>
      <c r="R250" s="1098"/>
      <c r="S250" s="7" t="s">
        <v>220</v>
      </c>
      <c r="T250" s="7"/>
      <c r="U250" s="1099"/>
      <c r="V250" s="1099"/>
      <c r="W250" s="1099"/>
      <c r="X250" s="7" t="s">
        <v>96</v>
      </c>
      <c r="Z250" s="1098" t="str">
        <f>Z231</f>
        <v>707.762.4657</v>
      </c>
      <c r="AA250" s="1098"/>
      <c r="AB250" s="1098"/>
      <c r="AC250" s="1098"/>
      <c r="AD250" s="1098"/>
      <c r="AE250" s="1098"/>
      <c r="BA250" s="61"/>
    </row>
    <row r="251" spans="1:53" ht="12.75" customHeight="1">
      <c r="A251" s="29"/>
      <c r="B251" s="7"/>
      <c r="C251" s="7"/>
      <c r="D251" s="60" t="s">
        <v>97</v>
      </c>
      <c r="E251" s="7"/>
      <c r="F251" s="7"/>
      <c r="M251" s="1492" t="str">
        <f>M232</f>
        <v>marys@pephousing.org</v>
      </c>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581</v>
      </c>
      <c r="N252" s="1116"/>
      <c r="O252" s="1116"/>
      <c r="P252" s="1116"/>
      <c r="Q252" s="1116"/>
      <c r="R252" s="1116"/>
      <c r="S252" s="1116"/>
      <c r="T252" s="1116"/>
      <c r="U252" s="404" t="s">
        <v>1005</v>
      </c>
      <c r="V252" s="335"/>
      <c r="W252" s="335"/>
      <c r="X252" s="335"/>
      <c r="Y252" s="335"/>
      <c r="Z252" s="335"/>
      <c r="AA252" s="1258" t="s">
        <v>1777</v>
      </c>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1419</v>
      </c>
      <c r="AG255" s="743"/>
      <c r="AH255" s="743"/>
      <c r="AI255" s="743"/>
      <c r="AJ255" s="743"/>
      <c r="AK255" s="743"/>
      <c r="AL255" s="58"/>
      <c r="BA255" s="61"/>
    </row>
    <row r="256" spans="1:53" ht="12.75">
      <c r="A256" s="23"/>
      <c r="B256" s="7"/>
      <c r="C256" s="7"/>
      <c r="D256" s="57" t="s">
        <v>631</v>
      </c>
      <c r="E256" s="57"/>
      <c r="M256" s="1215"/>
      <c r="N256" s="1215"/>
      <c r="O256" s="1215"/>
      <c r="P256" s="1215"/>
      <c r="Q256" s="1215"/>
      <c r="R256" s="1215"/>
      <c r="S256" s="1215"/>
      <c r="T256" s="1215"/>
      <c r="V256" s="59" t="s">
        <v>93</v>
      </c>
      <c r="W256" s="1099"/>
      <c r="X256" s="1099"/>
      <c r="Y256" s="57" t="s">
        <v>634</v>
      </c>
      <c r="AC256" s="1215"/>
      <c r="AD256" s="1215"/>
      <c r="AE256" s="121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76"/>
      <c r="AI257" s="1576"/>
      <c r="AJ257" s="1576"/>
      <c r="AK257" s="1576"/>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499"/>
      <c r="AB259" s="1499"/>
      <c r="AC259" s="1499"/>
      <c r="AD259" s="1499"/>
      <c r="AE259" s="1499"/>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5" t="str">
        <f>BB239</f>
        <v>Nonprofit</v>
      </c>
      <c r="U262" s="1495"/>
      <c r="V262" s="1495"/>
      <c r="W262" s="1495"/>
      <c r="X262" s="149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20"/>
      <c r="Y265" s="1420"/>
      <c r="Z265" s="1420"/>
      <c r="AA265" s="1420"/>
      <c r="AB265" s="1420"/>
      <c r="AC265" s="14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9" t="s">
        <v>1674</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3" t="s">
        <v>1659</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631</v>
      </c>
      <c r="E271" s="57"/>
      <c r="L271" s="1093" t="s">
        <v>1660</v>
      </c>
      <c r="M271" s="1215"/>
      <c r="N271" s="1215"/>
      <c r="O271" s="1215"/>
      <c r="P271" s="1215"/>
      <c r="Q271" s="1215"/>
      <c r="R271" s="1215"/>
      <c r="S271" s="1215"/>
      <c r="U271" s="59" t="s">
        <v>93</v>
      </c>
      <c r="V271" s="1222" t="s">
        <v>1661</v>
      </c>
      <c r="W271" s="1099"/>
      <c r="X271" s="57" t="s">
        <v>634</v>
      </c>
      <c r="AB271" s="1215">
        <v>95409</v>
      </c>
      <c r="AC271" s="1215"/>
      <c r="AD271" s="1215"/>
      <c r="AK271" s="58"/>
      <c r="AL271" s="58"/>
      <c r="BA271" s="61"/>
    </row>
    <row r="272" spans="1:53" ht="12.75">
      <c r="D272" s="60" t="s">
        <v>94</v>
      </c>
      <c r="E272" s="7"/>
      <c r="F272" s="7"/>
      <c r="G272" s="7"/>
      <c r="H272" s="7"/>
      <c r="I272" s="7"/>
      <c r="J272" s="7"/>
      <c r="K272" s="29"/>
      <c r="L272" s="1093" t="s">
        <v>1662</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260" t="str">
        <f>M250</f>
        <v>707.762.2336</v>
      </c>
      <c r="M273" s="1098"/>
      <c r="N273" s="1098"/>
      <c r="O273" s="1098"/>
      <c r="P273" s="1098"/>
      <c r="Q273" s="1098"/>
      <c r="R273" s="7" t="s">
        <v>220</v>
      </c>
      <c r="S273" s="7"/>
      <c r="T273" s="1099"/>
      <c r="U273" s="1099"/>
      <c r="V273" s="1099"/>
      <c r="W273" s="7" t="s">
        <v>96</v>
      </c>
      <c r="Y273" s="1098" t="str">
        <f>Z250</f>
        <v>707.762.4657</v>
      </c>
      <c r="Z273" s="1098"/>
      <c r="AA273" s="1098"/>
      <c r="AB273" s="1098"/>
      <c r="AC273" s="1098"/>
      <c r="AD273" s="1098"/>
      <c r="BA273" s="61"/>
    </row>
    <row r="274" spans="1:53" ht="12.75">
      <c r="D274" s="60" t="s">
        <v>97</v>
      </c>
      <c r="E274" s="7"/>
      <c r="F274" s="7"/>
      <c r="L274" s="1492" t="str">
        <f>M251</f>
        <v>marys@pephousing.org</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674</v>
      </c>
      <c r="E275" s="58"/>
      <c r="F275" s="58"/>
      <c r="G275" s="58"/>
      <c r="H275" s="58"/>
      <c r="I275" s="58"/>
      <c r="L275" s="1222" t="s">
        <v>1772</v>
      </c>
      <c r="M275" s="1222"/>
      <c r="N275" s="1222"/>
      <c r="O275" s="1222"/>
      <c r="P275" s="1222"/>
      <c r="Q275" s="1222"/>
      <c r="R275" s="1222"/>
      <c r="S275" s="1222"/>
      <c r="T275" s="1222"/>
      <c r="U275" s="1222"/>
      <c r="V275" s="1222"/>
      <c r="W275" s="1222"/>
      <c r="X275" s="1222"/>
      <c r="Y275" s="1222"/>
      <c r="Z275" s="1222"/>
      <c r="AA275" s="1222"/>
      <c r="AB275" s="1222"/>
      <c r="AC275" s="1222"/>
      <c r="AD275" s="1222"/>
      <c r="AK275" s="58"/>
      <c r="AL275" s="58"/>
      <c r="BA275" s="61"/>
    </row>
    <row r="276" spans="1:53" ht="12.75">
      <c r="L276" s="35" t="s">
        <v>675</v>
      </c>
      <c r="BA276" s="61"/>
    </row>
    <row r="277" spans="1:53" ht="12.75">
      <c r="A277" s="1256" t="s">
        <v>588</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5"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1674</v>
      </c>
      <c r="I282" s="1095"/>
      <c r="J282" s="1095"/>
      <c r="K282" s="1095"/>
      <c r="L282" s="1095"/>
      <c r="M282" s="1095"/>
      <c r="N282" s="1095"/>
      <c r="O282" s="1095"/>
      <c r="P282" s="1095"/>
      <c r="Q282" s="1095"/>
      <c r="R282" s="1095"/>
      <c r="T282" s="58" t="s">
        <v>616</v>
      </c>
      <c r="V282" s="58"/>
      <c r="W282" s="58"/>
      <c r="X282" s="58"/>
      <c r="Y282" s="58"/>
      <c r="AA282" s="1095" t="s">
        <v>1675</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tr">
        <f>L270</f>
        <v>625 Acacia Lane</v>
      </c>
      <c r="I283" s="1116"/>
      <c r="J283" s="1116"/>
      <c r="K283" s="1116"/>
      <c r="L283" s="1116"/>
      <c r="M283" s="1116"/>
      <c r="N283" s="1116"/>
      <c r="O283" s="1116"/>
      <c r="P283" s="1116"/>
      <c r="Q283" s="1116"/>
      <c r="R283" s="1116"/>
      <c r="T283" s="58" t="s">
        <v>518</v>
      </c>
      <c r="V283" s="58"/>
      <c r="W283" s="58"/>
      <c r="X283" s="58"/>
      <c r="Y283" s="58"/>
      <c r="AA283" s="1116" t="s">
        <v>1676</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1677</v>
      </c>
      <c r="I284" s="1116"/>
      <c r="J284" s="1116"/>
      <c r="K284" s="1116"/>
      <c r="L284" s="1116"/>
      <c r="M284" s="1116"/>
      <c r="N284" s="1116"/>
      <c r="O284" s="1116"/>
      <c r="P284" s="1116"/>
      <c r="Q284" s="1116"/>
      <c r="R284" s="1116"/>
      <c r="T284" s="58" t="s">
        <v>81</v>
      </c>
      <c r="V284" s="58"/>
      <c r="W284" s="58"/>
      <c r="X284" s="58"/>
      <c r="Y284" s="58"/>
      <c r="AA284" s="1116" t="s">
        <v>1678</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1662</v>
      </c>
      <c r="I285" s="1116"/>
      <c r="J285" s="1116"/>
      <c r="K285" s="1116"/>
      <c r="L285" s="1116"/>
      <c r="M285" s="1116"/>
      <c r="N285" s="1116"/>
      <c r="O285" s="1116"/>
      <c r="P285" s="1116"/>
      <c r="Q285" s="1116"/>
      <c r="R285" s="1116"/>
      <c r="T285" s="58" t="s">
        <v>94</v>
      </c>
      <c r="V285" s="58"/>
      <c r="W285" s="58"/>
      <c r="X285" s="58"/>
      <c r="Y285" s="58"/>
      <c r="AA285" s="1116" t="s">
        <v>1679</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8" t="str">
        <f>L273</f>
        <v>707.762.2336</v>
      </c>
      <c r="I286" s="1118"/>
      <c r="J286" s="1118"/>
      <c r="K286" s="1118"/>
      <c r="L286" s="1118"/>
      <c r="M286" s="1118"/>
      <c r="N286" s="7" t="s">
        <v>220</v>
      </c>
      <c r="O286" s="7"/>
      <c r="P286" s="1215"/>
      <c r="Q286" s="1215"/>
      <c r="R286" s="1215"/>
      <c r="S286" s="58"/>
      <c r="T286" s="58" t="s">
        <v>95</v>
      </c>
      <c r="V286" s="58"/>
      <c r="W286" s="58"/>
      <c r="X286" s="58"/>
      <c r="Y286" s="58"/>
      <c r="AA286" s="1117" t="s">
        <v>1680</v>
      </c>
      <c r="AB286" s="1118"/>
      <c r="AC286" s="1118"/>
      <c r="AD286" s="1118"/>
      <c r="AE286" s="1118"/>
      <c r="AF286" s="1118"/>
      <c r="AG286" s="7" t="s">
        <v>220</v>
      </c>
      <c r="AH286" s="7"/>
      <c r="AI286" s="1215"/>
      <c r="AJ286" s="1215"/>
      <c r="AK286" s="1215"/>
      <c r="BA286" s="61"/>
    </row>
    <row r="287" spans="1:53" ht="12.75">
      <c r="B287" s="58" t="s">
        <v>96</v>
      </c>
      <c r="C287" s="58"/>
      <c r="D287" s="58"/>
      <c r="E287" s="58"/>
      <c r="F287" s="58"/>
      <c r="G287" s="58"/>
      <c r="H287" s="1098" t="str">
        <f>Y273</f>
        <v>707.762.4657</v>
      </c>
      <c r="I287" s="1098"/>
      <c r="J287" s="1098"/>
      <c r="K287" s="1098"/>
      <c r="L287" s="1098"/>
      <c r="M287" s="1098"/>
      <c r="N287" s="60"/>
      <c r="O287" s="60"/>
      <c r="P287" s="62"/>
      <c r="Q287" s="62"/>
      <c r="R287" s="62"/>
      <c r="S287" s="58"/>
      <c r="T287" s="58" t="s">
        <v>96</v>
      </c>
      <c r="V287" s="58"/>
      <c r="W287" s="58"/>
      <c r="X287" s="58"/>
      <c r="Y287" s="58"/>
      <c r="AA287" s="1098"/>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tr">
        <f>L274</f>
        <v>marys@pephousing.org</v>
      </c>
      <c r="I288" s="1116"/>
      <c r="J288" s="1116"/>
      <c r="K288" s="1116"/>
      <c r="L288" s="1116"/>
      <c r="M288" s="1116"/>
      <c r="N288" s="1095"/>
      <c r="O288" s="1095"/>
      <c r="P288" s="1095"/>
      <c r="Q288" s="1095"/>
      <c r="R288" s="1095"/>
      <c r="S288" s="58"/>
      <c r="T288" s="58" t="s">
        <v>82</v>
      </c>
      <c r="V288" s="58"/>
      <c r="W288" s="58"/>
      <c r="X288" s="58"/>
      <c r="Y288" s="58"/>
      <c r="AA288" s="1116" t="s">
        <v>1681</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1682</v>
      </c>
      <c r="I290" s="1095"/>
      <c r="J290" s="1095"/>
      <c r="K290" s="1095"/>
      <c r="L290" s="1095"/>
      <c r="M290" s="1095"/>
      <c r="N290" s="1095"/>
      <c r="O290" s="1095"/>
      <c r="P290" s="1095"/>
      <c r="Q290" s="1095"/>
      <c r="R290" s="1095"/>
      <c r="T290" s="58" t="s">
        <v>388</v>
      </c>
      <c r="V290" s="58"/>
      <c r="W290" s="58"/>
      <c r="X290" s="58"/>
      <c r="Y290" s="58"/>
      <c r="AA290" s="1095" t="s">
        <v>1683</v>
      </c>
      <c r="AB290" s="1095"/>
      <c r="AC290" s="1095"/>
      <c r="AD290" s="1095"/>
      <c r="AE290" s="1095"/>
      <c r="AF290" s="1095"/>
      <c r="AG290" s="1095"/>
      <c r="AH290" s="1095"/>
      <c r="AI290" s="1095"/>
      <c r="AJ290" s="1095"/>
      <c r="AK290" s="1095"/>
      <c r="BA290" s="61"/>
    </row>
    <row r="291" spans="2:53" ht="12.75">
      <c r="B291" s="58" t="s">
        <v>518</v>
      </c>
      <c r="C291" s="58"/>
      <c r="D291" s="58"/>
      <c r="E291" s="58"/>
      <c r="F291" s="58"/>
      <c r="H291" s="1116" t="s">
        <v>1684</v>
      </c>
      <c r="I291" s="1116"/>
      <c r="J291" s="1116"/>
      <c r="K291" s="1116"/>
      <c r="L291" s="1116"/>
      <c r="M291" s="1116"/>
      <c r="N291" s="1116"/>
      <c r="O291" s="1116"/>
      <c r="P291" s="1116"/>
      <c r="Q291" s="1116"/>
      <c r="R291" s="1116"/>
      <c r="T291" s="58" t="s">
        <v>518</v>
      </c>
      <c r="V291" s="58"/>
      <c r="W291" s="58"/>
      <c r="X291" s="58"/>
      <c r="Y291" s="58"/>
      <c r="AA291" s="1116" t="s">
        <v>1685</v>
      </c>
      <c r="AB291" s="1116"/>
      <c r="AC291" s="1116"/>
      <c r="AD291" s="1116"/>
      <c r="AE291" s="1116"/>
      <c r="AF291" s="1116"/>
      <c r="AG291" s="1116"/>
      <c r="AH291" s="1116"/>
      <c r="AI291" s="1116"/>
      <c r="AJ291" s="1116"/>
      <c r="AK291" s="1116"/>
      <c r="BA291" s="61"/>
    </row>
    <row r="292" spans="2:53" ht="12.75">
      <c r="B292" s="58" t="s">
        <v>519</v>
      </c>
      <c r="C292" s="58"/>
      <c r="D292" s="58"/>
      <c r="E292" s="58"/>
      <c r="F292" s="58"/>
      <c r="H292" s="1116" t="s">
        <v>1686</v>
      </c>
      <c r="I292" s="1116"/>
      <c r="J292" s="1116"/>
      <c r="K292" s="1116"/>
      <c r="L292" s="1116"/>
      <c r="M292" s="1116"/>
      <c r="N292" s="1116"/>
      <c r="O292" s="1116"/>
      <c r="P292" s="1116"/>
      <c r="Q292" s="1116"/>
      <c r="R292" s="1116"/>
      <c r="T292" s="58" t="s">
        <v>81</v>
      </c>
      <c r="V292" s="58"/>
      <c r="W292" s="58"/>
      <c r="X292" s="58"/>
      <c r="Y292" s="58"/>
      <c r="AA292" s="1116" t="s">
        <v>1687</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1688</v>
      </c>
      <c r="I293" s="1116"/>
      <c r="J293" s="1116"/>
      <c r="K293" s="1116"/>
      <c r="L293" s="1116"/>
      <c r="M293" s="1116"/>
      <c r="N293" s="1116"/>
      <c r="O293" s="1116"/>
      <c r="P293" s="1116"/>
      <c r="Q293" s="1116"/>
      <c r="R293" s="1116"/>
      <c r="T293" s="58" t="s">
        <v>94</v>
      </c>
      <c r="V293" s="58"/>
      <c r="W293" s="58"/>
      <c r="X293" s="58"/>
      <c r="Y293" s="58"/>
      <c r="AA293" s="1116" t="s">
        <v>1689</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1690</v>
      </c>
      <c r="I294" s="1118"/>
      <c r="J294" s="1118"/>
      <c r="K294" s="1118"/>
      <c r="L294" s="1118"/>
      <c r="M294" s="1118"/>
      <c r="N294" s="7" t="s">
        <v>220</v>
      </c>
      <c r="O294" s="7"/>
      <c r="P294" s="1215"/>
      <c r="Q294" s="1215"/>
      <c r="R294" s="1215"/>
      <c r="S294" s="58"/>
      <c r="T294" s="58" t="s">
        <v>95</v>
      </c>
      <c r="V294" s="58"/>
      <c r="W294" s="58"/>
      <c r="X294" s="58"/>
      <c r="Y294" s="58"/>
      <c r="AA294" s="1117" t="s">
        <v>1691</v>
      </c>
      <c r="AB294" s="1118"/>
      <c r="AC294" s="1118"/>
      <c r="AD294" s="1118"/>
      <c r="AE294" s="1118"/>
      <c r="AF294" s="1118"/>
      <c r="AG294" s="7" t="s">
        <v>220</v>
      </c>
      <c r="AH294" s="7"/>
      <c r="AI294" s="1215"/>
      <c r="AJ294" s="1215"/>
      <c r="AK294" s="1215"/>
      <c r="BA294" s="61"/>
    </row>
    <row r="295" spans="2:53" ht="12.75" customHeight="1">
      <c r="B295" s="58" t="s">
        <v>96</v>
      </c>
      <c r="C295" s="58"/>
      <c r="D295" s="58"/>
      <c r="E295" s="58"/>
      <c r="F295" s="58"/>
      <c r="G295" s="58"/>
      <c r="H295" s="1260" t="s">
        <v>1692</v>
      </c>
      <c r="I295" s="1098"/>
      <c r="J295" s="1098"/>
      <c r="K295" s="1098"/>
      <c r="L295" s="1098"/>
      <c r="M295" s="1098"/>
      <c r="N295" s="60"/>
      <c r="O295" s="60"/>
      <c r="P295" s="62"/>
      <c r="Q295" s="62"/>
      <c r="R295" s="62"/>
      <c r="S295" s="58"/>
      <c r="T295" s="58" t="s">
        <v>96</v>
      </c>
      <c r="V295" s="58"/>
      <c r="W295" s="58"/>
      <c r="X295" s="58"/>
      <c r="Y295" s="58"/>
      <c r="AA295" s="1098"/>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1693</v>
      </c>
      <c r="I296" s="1116"/>
      <c r="J296" s="1116"/>
      <c r="K296" s="1116"/>
      <c r="L296" s="1116"/>
      <c r="M296" s="1116"/>
      <c r="N296" s="1095"/>
      <c r="O296" s="1095"/>
      <c r="P296" s="1095"/>
      <c r="Q296" s="1095"/>
      <c r="R296" s="1095"/>
      <c r="S296" s="58"/>
      <c r="T296" s="58" t="s">
        <v>82</v>
      </c>
      <c r="V296" s="58"/>
      <c r="W296" s="58"/>
      <c r="X296" s="58"/>
      <c r="Y296" s="58"/>
      <c r="AA296" s="1116" t="s">
        <v>1694</v>
      </c>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5" t="str">
        <f t="shared" ref="H298:H304" si="0">H290</f>
        <v>Gubb &amp; Barshay</v>
      </c>
      <c r="I298" s="1095"/>
      <c r="J298" s="1095"/>
      <c r="K298" s="1095"/>
      <c r="L298" s="1095"/>
      <c r="M298" s="1095"/>
      <c r="N298" s="1095"/>
      <c r="O298" s="1095"/>
      <c r="P298" s="1095"/>
      <c r="Q298" s="1095"/>
      <c r="R298" s="1095"/>
      <c r="T298" s="7" t="s">
        <v>973</v>
      </c>
      <c r="V298" s="58"/>
      <c r="W298" s="58"/>
      <c r="X298" s="58"/>
      <c r="Y298" s="58"/>
      <c r="AA298" s="1095" t="s">
        <v>1695</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tr">
        <f t="shared" si="0"/>
        <v>505 14th Street, Suite 450</v>
      </c>
      <c r="I299" s="1116"/>
      <c r="J299" s="1116"/>
      <c r="K299" s="1116"/>
      <c r="L299" s="1116"/>
      <c r="M299" s="1116"/>
      <c r="N299" s="1116"/>
      <c r="O299" s="1116"/>
      <c r="P299" s="1116"/>
      <c r="Q299" s="1116"/>
      <c r="R299" s="1116"/>
      <c r="T299" s="58" t="s">
        <v>518</v>
      </c>
      <c r="V299" s="58"/>
      <c r="W299" s="58"/>
      <c r="X299" s="58"/>
      <c r="Y299" s="58"/>
      <c r="AA299" s="1116" t="s">
        <v>1696</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tr">
        <f t="shared" si="0"/>
        <v>Oakland, CA 94612</v>
      </c>
      <c r="I300" s="1116"/>
      <c r="J300" s="1116"/>
      <c r="K300" s="1116"/>
      <c r="L300" s="1116"/>
      <c r="M300" s="1116"/>
      <c r="N300" s="1116"/>
      <c r="O300" s="1116"/>
      <c r="P300" s="1116"/>
      <c r="Q300" s="1116"/>
      <c r="R300" s="1116"/>
      <c r="T300" s="58" t="s">
        <v>81</v>
      </c>
      <c r="V300" s="58"/>
      <c r="W300" s="58"/>
      <c r="X300" s="58"/>
      <c r="Y300" s="58"/>
      <c r="AA300" s="1116" t="s">
        <v>1697</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tr">
        <f t="shared" si="0"/>
        <v>Scott Barshay</v>
      </c>
      <c r="I301" s="1116"/>
      <c r="J301" s="1116"/>
      <c r="K301" s="1116"/>
      <c r="L301" s="1116"/>
      <c r="M301" s="1116"/>
      <c r="N301" s="1116"/>
      <c r="O301" s="1116"/>
      <c r="P301" s="1116"/>
      <c r="Q301" s="1116"/>
      <c r="R301" s="1116"/>
      <c r="T301" s="58" t="s">
        <v>94</v>
      </c>
      <c r="V301" s="58"/>
      <c r="W301" s="58"/>
      <c r="X301" s="58"/>
      <c r="Y301" s="58"/>
      <c r="AA301" s="1116" t="s">
        <v>1698</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8" t="str">
        <f t="shared" si="0"/>
        <v>415.781.6600</v>
      </c>
      <c r="I302" s="1118"/>
      <c r="J302" s="1118"/>
      <c r="K302" s="1118"/>
      <c r="L302" s="1118"/>
      <c r="M302" s="1118"/>
      <c r="N302" s="7" t="s">
        <v>220</v>
      </c>
      <c r="O302" s="7"/>
      <c r="P302" s="1215"/>
      <c r="Q302" s="1215"/>
      <c r="R302" s="1215"/>
      <c r="S302" s="58"/>
      <c r="T302" s="58" t="s">
        <v>95</v>
      </c>
      <c r="V302" s="58"/>
      <c r="W302" s="58"/>
      <c r="X302" s="58"/>
      <c r="Y302" s="58"/>
      <c r="AA302" s="1117" t="s">
        <v>1699</v>
      </c>
      <c r="AB302" s="1118"/>
      <c r="AC302" s="1118"/>
      <c r="AD302" s="1118"/>
      <c r="AE302" s="1118"/>
      <c r="AF302" s="1118"/>
      <c r="AG302" s="7" t="s">
        <v>220</v>
      </c>
      <c r="AH302" s="7"/>
      <c r="AI302" s="1215"/>
      <c r="AJ302" s="1215"/>
      <c r="AK302" s="1215"/>
      <c r="BA302" s="61"/>
    </row>
    <row r="303" spans="2:53" ht="12.75">
      <c r="B303" s="58" t="s">
        <v>96</v>
      </c>
      <c r="C303" s="58"/>
      <c r="D303" s="58"/>
      <c r="E303" s="58"/>
      <c r="F303" s="58"/>
      <c r="G303" s="58"/>
      <c r="H303" s="1098" t="str">
        <f t="shared" si="0"/>
        <v>415.781.6967</v>
      </c>
      <c r="I303" s="1098"/>
      <c r="J303" s="1098"/>
      <c r="K303" s="1098"/>
      <c r="L303" s="1098"/>
      <c r="M303" s="1098"/>
      <c r="N303" s="60"/>
      <c r="O303" s="60"/>
      <c r="P303" s="62"/>
      <c r="Q303" s="62"/>
      <c r="R303" s="62"/>
      <c r="S303" s="58"/>
      <c r="T303" s="58" t="s">
        <v>96</v>
      </c>
      <c r="V303" s="58"/>
      <c r="W303" s="58"/>
      <c r="X303" s="58"/>
      <c r="Y303" s="58"/>
      <c r="AA303" s="1260" t="s">
        <v>1700</v>
      </c>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tr">
        <f t="shared" si="0"/>
        <v>sbarshay@gubbandbarshay.com</v>
      </c>
      <c r="I304" s="1116"/>
      <c r="J304" s="1116"/>
      <c r="K304" s="1116"/>
      <c r="L304" s="1116"/>
      <c r="M304" s="1116"/>
      <c r="N304" s="1095"/>
      <c r="O304" s="1095"/>
      <c r="P304" s="1095"/>
      <c r="Q304" s="1095"/>
      <c r="R304" s="1095"/>
      <c r="S304" s="58"/>
      <c r="T304" s="58" t="s">
        <v>82</v>
      </c>
      <c r="V304" s="58"/>
      <c r="W304" s="58"/>
      <c r="X304" s="58"/>
      <c r="Y304" s="58"/>
      <c r="AA304" s="1116" t="s">
        <v>1701</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1702</v>
      </c>
      <c r="I306" s="1095"/>
      <c r="J306" s="1095"/>
      <c r="K306" s="1095"/>
      <c r="L306" s="1095"/>
      <c r="M306" s="1095"/>
      <c r="N306" s="1095"/>
      <c r="O306" s="1095"/>
      <c r="P306" s="1095"/>
      <c r="Q306" s="1095"/>
      <c r="R306" s="1095"/>
      <c r="S306" s="58"/>
      <c r="T306" s="58" t="s">
        <v>389</v>
      </c>
      <c r="V306" s="58"/>
      <c r="W306" s="58"/>
      <c r="X306" s="58"/>
      <c r="Y306" s="58"/>
      <c r="AA306" s="1095" t="s">
        <v>1703</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1704</v>
      </c>
      <c r="I307" s="1116"/>
      <c r="J307" s="1116"/>
      <c r="K307" s="1116"/>
      <c r="L307" s="1116"/>
      <c r="M307" s="1116"/>
      <c r="N307" s="1116"/>
      <c r="O307" s="1116"/>
      <c r="P307" s="1116"/>
      <c r="Q307" s="1116"/>
      <c r="R307" s="1116"/>
      <c r="S307" s="58"/>
      <c r="T307" s="58" t="s">
        <v>518</v>
      </c>
      <c r="V307" s="58"/>
      <c r="W307" s="58"/>
      <c r="X307" s="58"/>
      <c r="Y307" s="58"/>
      <c r="AA307" s="1116"/>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1705</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1706</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1707</v>
      </c>
      <c r="I310" s="1118"/>
      <c r="J310" s="1118"/>
      <c r="K310" s="1118"/>
      <c r="L310" s="1118"/>
      <c r="M310" s="1118"/>
      <c r="N310" s="7" t="s">
        <v>220</v>
      </c>
      <c r="O310" s="7"/>
      <c r="P310" s="1215"/>
      <c r="Q310" s="1215"/>
      <c r="R310" s="1215"/>
      <c r="S310" s="58"/>
      <c r="T310" s="58" t="s">
        <v>95</v>
      </c>
      <c r="V310" s="58"/>
      <c r="W310" s="58"/>
      <c r="X310" s="58"/>
      <c r="Y310" s="58"/>
      <c r="AA310" s="1118"/>
      <c r="AB310" s="1118"/>
      <c r="AC310" s="1118"/>
      <c r="AD310" s="1118"/>
      <c r="AE310" s="1118"/>
      <c r="AF310" s="1118"/>
      <c r="AG310" s="7" t="s">
        <v>220</v>
      </c>
      <c r="AH310" s="7"/>
      <c r="AI310" s="1215"/>
      <c r="AJ310" s="1215"/>
      <c r="AK310" s="1215"/>
      <c r="BA310" s="61"/>
    </row>
    <row r="311" spans="1:53" ht="12.75">
      <c r="B311" s="58" t="s">
        <v>96</v>
      </c>
      <c r="C311" s="58"/>
      <c r="D311" s="58"/>
      <c r="E311" s="58"/>
      <c r="F311" s="58"/>
      <c r="G311" s="58"/>
      <c r="H311" s="1260" t="s">
        <v>1708</v>
      </c>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t="s">
        <v>1709</v>
      </c>
      <c r="I312" s="1116"/>
      <c r="J312" s="1116"/>
      <c r="K312" s="1116"/>
      <c r="L312" s="1116"/>
      <c r="M312" s="1116"/>
      <c r="N312" s="1095"/>
      <c r="O312" s="1095"/>
      <c r="P312" s="1095"/>
      <c r="Q312" s="1095"/>
      <c r="R312" s="1095"/>
      <c r="S312" s="58"/>
      <c r="T312" s="58" t="s">
        <v>82</v>
      </c>
      <c r="V312" s="58"/>
      <c r="W312" s="58"/>
      <c r="X312" s="58"/>
      <c r="Y312" s="58"/>
      <c r="AA312" s="1116"/>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1710</v>
      </c>
      <c r="I314" s="1095"/>
      <c r="J314" s="1095"/>
      <c r="K314" s="1095"/>
      <c r="L314" s="1095"/>
      <c r="M314" s="1095"/>
      <c r="N314" s="1095"/>
      <c r="O314" s="1095"/>
      <c r="P314" s="1095"/>
      <c r="Q314" s="1095"/>
      <c r="R314" s="1095"/>
      <c r="T314" s="58" t="s">
        <v>390</v>
      </c>
      <c r="V314" s="58"/>
      <c r="W314" s="58"/>
      <c r="X314" s="58"/>
      <c r="Y314" s="58"/>
      <c r="AA314" s="1095" t="s">
        <v>1711</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6" t="s">
        <v>1712</v>
      </c>
      <c r="I315" s="1116"/>
      <c r="J315" s="1116"/>
      <c r="K315" s="1116"/>
      <c r="L315" s="1116"/>
      <c r="M315" s="1116"/>
      <c r="N315" s="1116"/>
      <c r="O315" s="1116"/>
      <c r="P315" s="1116"/>
      <c r="Q315" s="1116"/>
      <c r="R315" s="1116"/>
      <c r="T315" s="58" t="s">
        <v>518</v>
      </c>
      <c r="V315" s="58"/>
      <c r="W315" s="58"/>
      <c r="X315" s="58"/>
      <c r="Y315" s="58"/>
      <c r="AA315" s="1116" t="s">
        <v>1713</v>
      </c>
      <c r="AB315" s="1116"/>
      <c r="AC315" s="1116"/>
      <c r="AD315" s="1116"/>
      <c r="AE315" s="1116"/>
      <c r="AF315" s="1116"/>
      <c r="AG315" s="1116"/>
      <c r="AH315" s="1116"/>
      <c r="AI315" s="1116"/>
      <c r="AJ315" s="1116"/>
      <c r="AK315" s="1116"/>
      <c r="BA315" s="61"/>
    </row>
    <row r="316" spans="1:53" ht="12.75">
      <c r="B316" s="58" t="s">
        <v>519</v>
      </c>
      <c r="C316" s="58"/>
      <c r="D316" s="58"/>
      <c r="E316" s="58"/>
      <c r="F316" s="58"/>
      <c r="H316" s="1116" t="s">
        <v>1714</v>
      </c>
      <c r="I316" s="1116"/>
      <c r="J316" s="1116"/>
      <c r="K316" s="1116"/>
      <c r="L316" s="1116"/>
      <c r="M316" s="1116"/>
      <c r="N316" s="1116"/>
      <c r="O316" s="1116"/>
      <c r="P316" s="1116"/>
      <c r="Q316" s="1116"/>
      <c r="R316" s="1116"/>
      <c r="T316" s="58" t="s">
        <v>81</v>
      </c>
      <c r="V316" s="58"/>
      <c r="W316" s="58"/>
      <c r="X316" s="58"/>
      <c r="Y316" s="58"/>
      <c r="AA316" s="1116" t="s">
        <v>1715</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1716</v>
      </c>
      <c r="I317" s="1116"/>
      <c r="J317" s="1116"/>
      <c r="K317" s="1116"/>
      <c r="L317" s="1116"/>
      <c r="M317" s="1116"/>
      <c r="N317" s="1116"/>
      <c r="O317" s="1116"/>
      <c r="P317" s="1116"/>
      <c r="Q317" s="1116"/>
      <c r="R317" s="1116"/>
      <c r="T317" s="58" t="s">
        <v>94</v>
      </c>
      <c r="V317" s="58"/>
      <c r="W317" s="58"/>
      <c r="X317" s="58"/>
      <c r="Y317" s="58"/>
      <c r="AA317" s="1116" t="s">
        <v>1744</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1717</v>
      </c>
      <c r="I318" s="1118"/>
      <c r="J318" s="1118"/>
      <c r="K318" s="1118"/>
      <c r="L318" s="1118"/>
      <c r="M318" s="1118"/>
      <c r="N318" s="7" t="s">
        <v>220</v>
      </c>
      <c r="O318" s="7"/>
      <c r="P318" s="1215"/>
      <c r="Q318" s="1215"/>
      <c r="R318" s="1215"/>
      <c r="S318" s="58"/>
      <c r="T318" s="58" t="s">
        <v>95</v>
      </c>
      <c r="V318" s="58"/>
      <c r="W318" s="58"/>
      <c r="X318" s="58"/>
      <c r="Y318" s="58"/>
      <c r="AA318" s="1117" t="s">
        <v>1745</v>
      </c>
      <c r="AB318" s="1118"/>
      <c r="AC318" s="1118"/>
      <c r="AD318" s="1118"/>
      <c r="AE318" s="1118"/>
      <c r="AF318" s="1118"/>
      <c r="AG318" s="7" t="s">
        <v>220</v>
      </c>
      <c r="AH318" s="7"/>
      <c r="AI318" s="1215"/>
      <c r="AJ318" s="1215"/>
      <c r="AK318" s="1215"/>
      <c r="AL318" s="39"/>
    </row>
    <row r="319" spans="1:53" ht="12.7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8"/>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1718</v>
      </c>
      <c r="I320" s="1116"/>
      <c r="J320" s="1116"/>
      <c r="K320" s="1116"/>
      <c r="L320" s="1116"/>
      <c r="M320" s="1116"/>
      <c r="N320" s="1095"/>
      <c r="O320" s="1095"/>
      <c r="P320" s="1095"/>
      <c r="Q320" s="1095"/>
      <c r="R320" s="1095"/>
      <c r="S320" s="58"/>
      <c r="T320" s="58" t="s">
        <v>82</v>
      </c>
      <c r="V320" s="58"/>
      <c r="W320" s="58"/>
      <c r="X320" s="58"/>
      <c r="Y320" s="58"/>
      <c r="AA320" s="1116" t="s">
        <v>1746</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1719</v>
      </c>
      <c r="I322" s="1095"/>
      <c r="J322" s="1095"/>
      <c r="K322" s="1095"/>
      <c r="L322" s="1095"/>
      <c r="M322" s="1095"/>
      <c r="N322" s="1095"/>
      <c r="O322" s="1095"/>
      <c r="P322" s="1095"/>
      <c r="Q322" s="1095"/>
      <c r="R322" s="1095"/>
      <c r="T322" s="58" t="s">
        <v>392</v>
      </c>
      <c r="V322" s="58"/>
      <c r="W322" s="58"/>
      <c r="X322" s="58"/>
      <c r="Y322" s="58"/>
      <c r="AA322" s="1095" t="s">
        <v>1720</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1721</v>
      </c>
      <c r="I323" s="1116"/>
      <c r="J323" s="1116"/>
      <c r="K323" s="1116"/>
      <c r="L323" s="1116"/>
      <c r="M323" s="1116"/>
      <c r="N323" s="1116"/>
      <c r="O323" s="1116"/>
      <c r="P323" s="1116"/>
      <c r="Q323" s="1116"/>
      <c r="R323" s="1116"/>
      <c r="T323" s="58" t="s">
        <v>518</v>
      </c>
      <c r="V323" s="58"/>
      <c r="W323" s="58"/>
      <c r="X323" s="58"/>
      <c r="Y323" s="58"/>
      <c r="AA323" s="1116"/>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1722</v>
      </c>
      <c r="I324" s="1116"/>
      <c r="J324" s="1116"/>
      <c r="K324" s="1116"/>
      <c r="L324" s="1116"/>
      <c r="M324" s="1116"/>
      <c r="N324" s="1116"/>
      <c r="O324" s="1116"/>
      <c r="P324" s="1116"/>
      <c r="Q324" s="1116"/>
      <c r="R324" s="1116"/>
      <c r="T324" s="58" t="s">
        <v>81</v>
      </c>
      <c r="V324" s="58"/>
      <c r="W324" s="58"/>
      <c r="X324" s="58"/>
      <c r="Y324" s="58"/>
      <c r="AA324" s="1116"/>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1723</v>
      </c>
      <c r="I325" s="1116"/>
      <c r="J325" s="1116"/>
      <c r="K325" s="1116"/>
      <c r="L325" s="1116"/>
      <c r="M325" s="1116"/>
      <c r="N325" s="1116"/>
      <c r="O325" s="1116"/>
      <c r="P325" s="1116"/>
      <c r="Q325" s="1116"/>
      <c r="R325" s="1116"/>
      <c r="T325" s="58" t="s">
        <v>94</v>
      </c>
      <c r="V325" s="58"/>
      <c r="W325" s="58"/>
      <c r="X325" s="58"/>
      <c r="Y325" s="58"/>
      <c r="AA325" s="1116"/>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1724</v>
      </c>
      <c r="I326" s="1118"/>
      <c r="J326" s="1118"/>
      <c r="K326" s="1118"/>
      <c r="L326" s="1118"/>
      <c r="M326" s="1118"/>
      <c r="N326" s="7" t="s">
        <v>220</v>
      </c>
      <c r="O326" s="7"/>
      <c r="P326" s="1215"/>
      <c r="Q326" s="1215"/>
      <c r="R326" s="1215"/>
      <c r="S326" s="58"/>
      <c r="T326" s="58" t="s">
        <v>95</v>
      </c>
      <c r="V326" s="58"/>
      <c r="W326" s="58"/>
      <c r="X326" s="58"/>
      <c r="Y326" s="58"/>
      <c r="AA326" s="1118"/>
      <c r="AB326" s="1118"/>
      <c r="AC326" s="1118"/>
      <c r="AD326" s="1118"/>
      <c r="AE326" s="1118"/>
      <c r="AF326" s="1118"/>
      <c r="AG326" s="7" t="s">
        <v>220</v>
      </c>
      <c r="AH326" s="7"/>
      <c r="AI326" s="1215"/>
      <c r="AJ326" s="1215"/>
      <c r="AK326" s="1215"/>
      <c r="AL326" s="39"/>
    </row>
    <row r="327" spans="1:53" ht="12.75" customHeight="1">
      <c r="A327" s="39"/>
      <c r="B327" s="58" t="s">
        <v>96</v>
      </c>
      <c r="C327" s="58"/>
      <c r="D327" s="58"/>
      <c r="E327" s="58"/>
      <c r="F327" s="58"/>
      <c r="G327" s="58"/>
      <c r="H327" s="1098"/>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1725</v>
      </c>
      <c r="I328" s="1116"/>
      <c r="J328" s="1116"/>
      <c r="K328" s="1116"/>
      <c r="L328" s="1116"/>
      <c r="M328" s="1116"/>
      <c r="N328" s="1095"/>
      <c r="O328" s="1095"/>
      <c r="P328" s="1095"/>
      <c r="Q328" s="1095"/>
      <c r="R328" s="1095"/>
      <c r="S328" s="58"/>
      <c r="T328" s="58" t="s">
        <v>82</v>
      </c>
      <c r="V328" s="58"/>
      <c r="W328" s="58"/>
      <c r="X328" s="58"/>
      <c r="Y328" s="58"/>
      <c r="AA328" s="1116"/>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1726</v>
      </c>
      <c r="I330" s="1095"/>
      <c r="J330" s="1095"/>
      <c r="K330" s="1095"/>
      <c r="L330" s="1095"/>
      <c r="M330" s="1095"/>
      <c r="N330" s="1095"/>
      <c r="O330" s="1095"/>
      <c r="P330" s="1095"/>
      <c r="Q330" s="1095"/>
      <c r="R330" s="1095"/>
      <c r="T330" s="422" t="s">
        <v>982</v>
      </c>
      <c r="V330" s="58"/>
      <c r="W330" s="58"/>
      <c r="X330" s="58"/>
      <c r="Y330" s="58"/>
      <c r="AA330" s="1095" t="s">
        <v>1674</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1727</v>
      </c>
      <c r="I331" s="1116"/>
      <c r="J331" s="1116"/>
      <c r="K331" s="1116"/>
      <c r="L331" s="1116"/>
      <c r="M331" s="1116"/>
      <c r="N331" s="1116"/>
      <c r="O331" s="1116"/>
      <c r="P331" s="1116"/>
      <c r="Q331" s="1116"/>
      <c r="R331" s="1116"/>
      <c r="T331" s="58" t="s">
        <v>518</v>
      </c>
      <c r="V331" s="58"/>
      <c r="W331" s="58"/>
      <c r="X331" s="58"/>
      <c r="Y331" s="58"/>
      <c r="AA331" s="1116" t="s">
        <v>1659</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1728</v>
      </c>
      <c r="I332" s="1116"/>
      <c r="J332" s="1116"/>
      <c r="K332" s="1116"/>
      <c r="L332" s="1116"/>
      <c r="M332" s="1116"/>
      <c r="N332" s="1116"/>
      <c r="O332" s="1116"/>
      <c r="P332" s="1116"/>
      <c r="Q332" s="1116"/>
      <c r="R332" s="1116"/>
      <c r="T332" s="58" t="s">
        <v>81</v>
      </c>
      <c r="V332" s="58"/>
      <c r="W332" s="58"/>
      <c r="X332" s="58"/>
      <c r="Y332" s="58"/>
      <c r="AA332" s="1116" t="s">
        <v>1677</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1729</v>
      </c>
      <c r="I333" s="1116"/>
      <c r="J333" s="1116"/>
      <c r="K333" s="1116"/>
      <c r="L333" s="1116"/>
      <c r="M333" s="1116"/>
      <c r="N333" s="1116"/>
      <c r="O333" s="1116"/>
      <c r="P333" s="1116"/>
      <c r="Q333" s="1116"/>
      <c r="R333" s="1116"/>
      <c r="T333" s="58" t="s">
        <v>94</v>
      </c>
      <c r="V333" s="58"/>
      <c r="W333" s="58"/>
      <c r="X333" s="58"/>
      <c r="Y333" s="58"/>
      <c r="AA333" s="1116" t="s">
        <v>1662</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1730</v>
      </c>
      <c r="I334" s="1118"/>
      <c r="J334" s="1118"/>
      <c r="K334" s="1118"/>
      <c r="L334" s="1118"/>
      <c r="M334" s="1118"/>
      <c r="N334" s="7" t="s">
        <v>220</v>
      </c>
      <c r="O334" s="7"/>
      <c r="P334" s="1215"/>
      <c r="Q334" s="1215"/>
      <c r="R334" s="1215"/>
      <c r="S334" s="58"/>
      <c r="T334" s="58" t="s">
        <v>95</v>
      </c>
      <c r="V334" s="58"/>
      <c r="W334" s="58"/>
      <c r="X334" s="58"/>
      <c r="Y334" s="58"/>
      <c r="AA334" s="1117" t="s">
        <v>1663</v>
      </c>
      <c r="AB334" s="1118"/>
      <c r="AC334" s="1118"/>
      <c r="AD334" s="1118"/>
      <c r="AE334" s="1118"/>
      <c r="AF334" s="1118"/>
      <c r="AG334" s="7" t="s">
        <v>220</v>
      </c>
      <c r="AH334" s="7"/>
      <c r="AI334" s="1215"/>
      <c r="AJ334" s="1215"/>
      <c r="AK334" s="1215"/>
      <c r="AL334" s="39"/>
    </row>
    <row r="335" spans="1:53" ht="12.75" customHeight="1">
      <c r="A335" s="39"/>
      <c r="B335" s="58" t="s">
        <v>96</v>
      </c>
      <c r="C335" s="248"/>
      <c r="D335" s="248"/>
      <c r="E335" s="248"/>
      <c r="F335" s="248"/>
      <c r="G335" s="248"/>
      <c r="H335" s="1260" t="s">
        <v>1731</v>
      </c>
      <c r="I335" s="1098"/>
      <c r="J335" s="1098"/>
      <c r="K335" s="1098"/>
      <c r="L335" s="1098"/>
      <c r="M335" s="1098"/>
      <c r="N335" s="60"/>
      <c r="O335" s="60"/>
      <c r="P335" s="62"/>
      <c r="Q335" s="62"/>
      <c r="R335" s="62"/>
      <c r="S335" s="58"/>
      <c r="T335" s="58" t="s">
        <v>96</v>
      </c>
      <c r="V335" s="58"/>
      <c r="W335" s="58"/>
      <c r="X335" s="58"/>
      <c r="Y335" s="58"/>
      <c r="AA335" s="1260" t="s">
        <v>1664</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1732</v>
      </c>
      <c r="I336" s="1116"/>
      <c r="J336" s="1116"/>
      <c r="K336" s="1116"/>
      <c r="L336" s="1116"/>
      <c r="M336" s="1116"/>
      <c r="N336" s="1095"/>
      <c r="O336" s="1095"/>
      <c r="P336" s="1095"/>
      <c r="Q336" s="1095"/>
      <c r="R336" s="1095"/>
      <c r="S336" s="58"/>
      <c r="T336" s="58" t="s">
        <v>82</v>
      </c>
      <c r="V336" s="58"/>
      <c r="W336" s="58"/>
      <c r="X336" s="58"/>
      <c r="Y336" s="58"/>
      <c r="AA336" s="1116" t="s">
        <v>1665</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6" t="s">
        <v>589</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723</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1092</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768</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493</v>
      </c>
      <c r="F365" s="7"/>
      <c r="G365" s="7"/>
      <c r="H365" s="7"/>
      <c r="I365" s="7"/>
      <c r="J365" s="7"/>
      <c r="K365" s="7"/>
      <c r="L365" s="7"/>
      <c r="N365" s="1414"/>
      <c r="O365" s="1414"/>
      <c r="P365" s="1414"/>
      <c r="Q365" s="1414"/>
      <c r="R365" s="7"/>
      <c r="U365" s="7" t="s">
        <v>494</v>
      </c>
      <c r="V365" s="7"/>
      <c r="W365" s="7"/>
      <c r="X365" s="7"/>
      <c r="Y365" s="7"/>
      <c r="Z365" s="7"/>
      <c r="AA365" s="7"/>
      <c r="AB365" s="7"/>
      <c r="AC365" s="1414"/>
      <c r="AD365" s="1414"/>
      <c r="AE365" s="1414"/>
      <c r="AF365" s="1414"/>
    </row>
    <row r="366" spans="1:34" ht="12.75" customHeight="1">
      <c r="E366" s="7" t="s">
        <v>495</v>
      </c>
      <c r="F366" s="7"/>
      <c r="G366" s="7"/>
      <c r="H366" s="7"/>
      <c r="I366" s="7"/>
      <c r="J366" s="7"/>
      <c r="K366" s="7"/>
      <c r="L366" s="7"/>
      <c r="N366" s="1414"/>
      <c r="O366" s="1414"/>
      <c r="P366" s="1414"/>
      <c r="Q366" s="1414"/>
      <c r="R366" s="7"/>
      <c r="U366" s="7" t="s">
        <v>0</v>
      </c>
      <c r="V366" s="7"/>
      <c r="W366" s="7"/>
      <c r="X366" s="7"/>
      <c r="Y366" s="7"/>
      <c r="Z366" s="7"/>
      <c r="AA366" s="7"/>
      <c r="AB366" s="7"/>
      <c r="AC366" s="1414"/>
      <c r="AD366" s="1414"/>
      <c r="AE366" s="1414"/>
      <c r="AF366" s="1414"/>
    </row>
    <row r="367" spans="1:34" ht="12.75" customHeight="1">
      <c r="E367" s="7" t="s">
        <v>1</v>
      </c>
      <c r="F367" s="7"/>
      <c r="G367" s="7"/>
      <c r="H367" s="7"/>
      <c r="I367" s="7"/>
      <c r="J367" s="7"/>
      <c r="K367" s="7"/>
      <c r="L367" s="7"/>
      <c r="N367" s="1414"/>
      <c r="O367" s="1414"/>
      <c r="P367" s="1414"/>
      <c r="Q367" s="1414"/>
      <c r="R367" s="7"/>
      <c r="V367" s="7"/>
      <c r="W367" s="7"/>
      <c r="X367" s="7"/>
      <c r="Y367" s="7"/>
      <c r="Z367" s="7"/>
      <c r="AA367" s="7"/>
      <c r="AB367" s="7"/>
    </row>
    <row r="368" spans="1:34" ht="12.75" customHeight="1">
      <c r="E368" s="7" t="s">
        <v>2</v>
      </c>
      <c r="F368" s="7"/>
      <c r="G368" s="7"/>
      <c r="H368" s="7"/>
      <c r="I368" s="7"/>
      <c r="J368" s="7"/>
      <c r="K368" s="7"/>
      <c r="L368" s="7"/>
      <c r="N368" s="1570"/>
      <c r="O368" s="1570"/>
      <c r="P368" s="1570"/>
      <c r="Q368" s="1570"/>
      <c r="R368" s="1570"/>
      <c r="S368" s="1570"/>
      <c r="T368" s="1570"/>
      <c r="U368" s="1570"/>
      <c r="V368" s="1570"/>
      <c r="W368" s="1570"/>
      <c r="X368" s="1570"/>
      <c r="Y368" s="1570"/>
      <c r="Z368" s="1570"/>
      <c r="AA368" s="1570"/>
      <c r="AB368" s="1570"/>
      <c r="AC368" s="1570"/>
      <c r="AD368" s="1570"/>
      <c r="AE368" s="1570"/>
      <c r="AF368" s="1570"/>
    </row>
    <row r="369" spans="1:38" ht="12.75" customHeight="1">
      <c r="E369" s="7"/>
      <c r="F369" s="7"/>
      <c r="G369" s="7"/>
      <c r="H369" s="7"/>
      <c r="I369" s="7"/>
      <c r="J369" s="7"/>
      <c r="K369" s="7"/>
      <c r="L369" s="7"/>
      <c r="N369" s="1571"/>
      <c r="O369" s="1571"/>
      <c r="P369" s="1571"/>
      <c r="Q369" s="1571"/>
      <c r="R369" s="1571"/>
      <c r="S369" s="1571"/>
      <c r="T369" s="1571"/>
      <c r="U369" s="1571"/>
      <c r="V369" s="1571"/>
      <c r="W369" s="1571"/>
      <c r="X369" s="1571"/>
      <c r="Y369" s="1571"/>
      <c r="Z369" s="1571"/>
      <c r="AA369" s="1571"/>
      <c r="AB369" s="1571"/>
      <c r="AC369" s="1571"/>
      <c r="AD369" s="1571"/>
      <c r="AE369" s="1571"/>
      <c r="AF369" s="157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114" t="s">
        <v>642</v>
      </c>
      <c r="AH374" s="1114"/>
    </row>
    <row r="375" spans="1:38" ht="12.75" customHeight="1">
      <c r="E375" s="7"/>
      <c r="F375" s="7"/>
      <c r="G375" s="7" t="s">
        <v>1150</v>
      </c>
      <c r="H375" s="7"/>
      <c r="I375" s="7"/>
      <c r="J375" s="7"/>
      <c r="K375" s="7"/>
      <c r="L375" s="7"/>
      <c r="AG375" s="1114" t="s">
        <v>642</v>
      </c>
      <c r="AH375" s="1114"/>
    </row>
    <row r="376" spans="1:38" ht="12.75" customHeight="1">
      <c r="E376" s="7"/>
      <c r="F376" s="7"/>
      <c r="G376" s="530" t="s">
        <v>1130</v>
      </c>
      <c r="H376" s="7"/>
      <c r="I376" s="7"/>
      <c r="J376" s="7"/>
      <c r="K376" s="7"/>
      <c r="L376" s="7"/>
      <c r="V376" s="1096" t="s">
        <v>642</v>
      </c>
      <c r="W376" s="1096"/>
      <c r="Y376" s="35" t="s">
        <v>1094</v>
      </c>
    </row>
    <row r="377" spans="1:38" ht="12.75" customHeight="1">
      <c r="E377" s="7" t="s">
        <v>1095</v>
      </c>
      <c r="F377" s="7"/>
      <c r="G377" s="7"/>
      <c r="H377" s="7"/>
      <c r="I377" s="7"/>
      <c r="J377" s="7"/>
      <c r="K377" s="7"/>
      <c r="L377" s="7"/>
      <c r="V377" s="1096" t="s">
        <v>642</v>
      </c>
      <c r="W377" s="1096"/>
      <c r="Y377" s="7" t="s">
        <v>1096</v>
      </c>
    </row>
    <row r="378" spans="1:38" ht="12.75" customHeight="1"/>
    <row r="379" spans="1:38" ht="12.75" customHeight="1">
      <c r="A379" s="50" t="s">
        <v>84</v>
      </c>
      <c r="B379" s="50"/>
    </row>
    <row r="380" spans="1:38" ht="12.75" customHeight="1">
      <c r="D380" s="12" t="s">
        <v>463</v>
      </c>
      <c r="J380" s="1095" t="s">
        <v>1646</v>
      </c>
      <c r="K380" s="1095"/>
      <c r="L380" s="1095"/>
      <c r="M380" s="1095"/>
      <c r="N380" s="1095"/>
      <c r="O380" s="1095"/>
      <c r="P380" s="1095"/>
      <c r="Q380" s="1095"/>
      <c r="R380" s="1095"/>
      <c r="S380" s="1095"/>
      <c r="T380" s="1095"/>
      <c r="U380" s="1095"/>
      <c r="V380" s="14" t="s">
        <v>90</v>
      </c>
      <c r="W380" s="14"/>
      <c r="X380" s="14"/>
      <c r="Y380" s="14"/>
      <c r="Z380" s="14"/>
      <c r="AA380" s="14"/>
      <c r="AB380" s="14"/>
      <c r="AC380" s="1095" t="s">
        <v>1733</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16" t="s">
        <v>1734</v>
      </c>
      <c r="K381" s="1116"/>
      <c r="L381" s="1116"/>
      <c r="M381" s="1116"/>
      <c r="N381" s="1116"/>
      <c r="O381" s="1116"/>
      <c r="P381" s="1116"/>
      <c r="Q381" s="1116"/>
      <c r="R381" s="1116"/>
      <c r="S381" s="1116"/>
      <c r="T381" s="1116"/>
      <c r="U381" s="1116"/>
      <c r="V381" s="58" t="s">
        <v>1422</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t="s">
        <v>477</v>
      </c>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220" t="s">
        <v>1735</v>
      </c>
      <c r="K383" s="1220"/>
      <c r="L383" s="1220"/>
      <c r="M383" s="1220"/>
      <c r="N383" s="1220"/>
      <c r="O383" s="1220"/>
      <c r="P383" s="1220"/>
      <c r="Q383" s="1220"/>
      <c r="R383" s="1220"/>
      <c r="S383" s="1220"/>
      <c r="T383" s="1220"/>
      <c r="U383" s="1220"/>
      <c r="V383" s="1095" t="s">
        <v>1736</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1">
        <v>42823</v>
      </c>
      <c r="R384" s="1541"/>
      <c r="S384" s="1541"/>
      <c r="T384" s="1541"/>
      <c r="U384" s="1541"/>
      <c r="V384" s="12" t="s">
        <v>331</v>
      </c>
      <c r="AI384" s="1096" t="s">
        <v>723</v>
      </c>
      <c r="AJ384" s="1096"/>
    </row>
    <row r="385" spans="1:38" ht="12.75" customHeight="1">
      <c r="D385" s="12" t="s">
        <v>5</v>
      </c>
      <c r="Q385" s="1209">
        <v>44409</v>
      </c>
      <c r="R385" s="1210"/>
      <c r="S385" s="1210"/>
      <c r="T385" s="1210"/>
      <c r="U385" s="1210"/>
      <c r="W385" s="33" t="s">
        <v>80</v>
      </c>
      <c r="AG385" s="1539"/>
      <c r="AH385" s="1539"/>
      <c r="AI385" s="1539"/>
      <c r="AJ385" s="1539"/>
    </row>
    <row r="386" spans="1:38" ht="12.75" customHeight="1">
      <c r="D386" s="12" t="s">
        <v>462</v>
      </c>
      <c r="Q386" s="1569">
        <v>1320000</v>
      </c>
      <c r="R386" s="1569"/>
      <c r="S386" s="1569"/>
      <c r="T386" s="1569"/>
      <c r="U386" s="1569"/>
      <c r="V386" s="58" t="s">
        <v>1421</v>
      </c>
      <c r="AG386" s="1540">
        <v>44256</v>
      </c>
      <c r="AH386" s="1540"/>
      <c r="AI386" s="1540"/>
      <c r="AJ386" s="1540"/>
    </row>
    <row r="387" spans="1:38" ht="12.75" customHeight="1">
      <c r="D387" s="12" t="s">
        <v>95</v>
      </c>
      <c r="I387" s="1117" t="s">
        <v>1737</v>
      </c>
      <c r="J387" s="1118"/>
      <c r="K387" s="1118"/>
      <c r="L387" s="1118"/>
      <c r="M387" s="1118"/>
      <c r="N387" s="1118"/>
      <c r="Q387" s="57" t="s">
        <v>220</v>
      </c>
      <c r="S387" s="1566"/>
      <c r="T387" s="1566"/>
      <c r="U387" s="1566"/>
      <c r="V387" s="12" t="s">
        <v>79</v>
      </c>
      <c r="AI387" s="1096" t="s">
        <v>723</v>
      </c>
      <c r="AJ387" s="1096"/>
    </row>
    <row r="388" spans="1:38" ht="12.75">
      <c r="D388" s="12" t="s">
        <v>332</v>
      </c>
      <c r="Q388" s="1184"/>
      <c r="R388" s="1184"/>
      <c r="S388" s="1184"/>
      <c r="T388" s="1184"/>
      <c r="U388" s="1184"/>
      <c r="V388" s="12" t="s">
        <v>333</v>
      </c>
      <c r="AG388" s="1539"/>
      <c r="AH388" s="1539"/>
      <c r="AI388" s="1539"/>
      <c r="AJ388" s="1539"/>
    </row>
    <row r="389" spans="1:38" ht="12.75">
      <c r="D389" s="12" t="s">
        <v>334</v>
      </c>
      <c r="Q389" s="1538"/>
      <c r="R389" s="1538"/>
      <c r="S389" s="1538"/>
      <c r="T389" s="1538"/>
      <c r="U389" s="1538"/>
      <c r="V389" s="743" t="s">
        <v>1398</v>
      </c>
      <c r="AG389" s="1539"/>
      <c r="AH389" s="1539"/>
      <c r="AI389" s="1539"/>
      <c r="AJ389" s="1539"/>
    </row>
    <row r="390" spans="1:38" ht="12.75">
      <c r="D390" s="743" t="s">
        <v>1397</v>
      </c>
      <c r="V390" s="743"/>
      <c r="AG390" s="1539"/>
      <c r="AH390" s="1539"/>
      <c r="AI390" s="1539"/>
      <c r="AJ390" s="153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3" t="s">
        <v>1738</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14">
        <v>3</v>
      </c>
      <c r="AE394" s="1414"/>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4">
        <v>0</v>
      </c>
      <c r="AE395" s="1414"/>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4" t="s">
        <v>357</v>
      </c>
      <c r="I397" s="1564"/>
      <c r="J397" s="1564"/>
      <c r="K397" s="1564"/>
      <c r="L397" s="1564"/>
      <c r="M397" s="1564"/>
      <c r="N397" s="1564"/>
      <c r="O397" s="1564"/>
      <c r="P397" s="1564"/>
      <c r="Q397" s="1564"/>
      <c r="R397" s="1564"/>
      <c r="S397" s="1564"/>
      <c r="T397" s="1564"/>
      <c r="U397" s="1564"/>
      <c r="V397" s="1564"/>
      <c r="W397" s="1564"/>
      <c r="X397" s="1564"/>
      <c r="Y397" s="1564"/>
      <c r="Z397" s="1564"/>
      <c r="AA397" s="1564"/>
      <c r="AB397" s="1564"/>
      <c r="AC397" s="1564"/>
      <c r="AD397" s="1564"/>
      <c r="AE397" s="1564"/>
      <c r="AF397" s="743"/>
    </row>
    <row r="398" spans="1:38" ht="12.75" customHeight="1">
      <c r="E398" s="25"/>
      <c r="F398" s="743"/>
      <c r="G398" s="743"/>
      <c r="H398" s="1565"/>
      <c r="I398" s="1565"/>
      <c r="J398" s="1565"/>
      <c r="K398" s="1565"/>
      <c r="L398" s="1565"/>
      <c r="M398" s="1565"/>
      <c r="N398" s="1565"/>
      <c r="O398" s="1565"/>
      <c r="P398" s="1565"/>
      <c r="Q398" s="1565"/>
      <c r="R398" s="1565"/>
      <c r="S398" s="1565"/>
      <c r="T398" s="1565"/>
      <c r="U398" s="1565"/>
      <c r="V398" s="1565"/>
      <c r="W398" s="1565"/>
      <c r="X398" s="1565"/>
      <c r="Y398" s="1565"/>
      <c r="Z398" s="1565"/>
      <c r="AA398" s="1565"/>
      <c r="AB398" s="1565"/>
      <c r="AC398" s="1565"/>
      <c r="AD398" s="1565"/>
      <c r="AE398" s="156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115">
        <v>1.82884</v>
      </c>
      <c r="Q406" s="1115"/>
      <c r="R406" s="1115"/>
      <c r="S406" s="12" t="s">
        <v>124</v>
      </c>
      <c r="W406" s="1568">
        <f>IF(E406&gt;0,(E406*I406),(P406*43560))</f>
        <v>79664.270399999994</v>
      </c>
      <c r="X406" s="1568"/>
      <c r="Y406" s="1568"/>
      <c r="Z406" s="12" t="s">
        <v>125</v>
      </c>
      <c r="AF406" s="1115">
        <f>AG424/P406</f>
        <v>32.807681371798516</v>
      </c>
      <c r="AG406" s="1115"/>
      <c r="AH406" s="1115"/>
    </row>
    <row r="407" spans="1:36" ht="12.75">
      <c r="E407" s="12" t="s">
        <v>56</v>
      </c>
    </row>
    <row r="408" spans="1:36" ht="12.75">
      <c r="E408" s="1572"/>
      <c r="F408" s="1572"/>
      <c r="G408" s="1572"/>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2.75"/>
    <row r="410" spans="1:36" ht="12.75">
      <c r="A410" s="50" t="s">
        <v>643</v>
      </c>
      <c r="B410" s="50"/>
      <c r="C410" s="50"/>
      <c r="D410" s="50" t="s">
        <v>127</v>
      </c>
    </row>
    <row r="411" spans="1:36" ht="12.75">
      <c r="E411" s="12" t="s">
        <v>128</v>
      </c>
      <c r="P411" s="1096">
        <v>3</v>
      </c>
      <c r="Q411" s="1096"/>
      <c r="S411" s="12" t="s">
        <v>203</v>
      </c>
      <c r="AE411" s="1096">
        <v>2</v>
      </c>
      <c r="AF411" s="1096"/>
    </row>
    <row r="412" spans="1:36" ht="12.75">
      <c r="E412" s="12" t="s">
        <v>204</v>
      </c>
      <c r="P412" s="1096">
        <v>1</v>
      </c>
      <c r="Q412" s="1096"/>
      <c r="S412" s="12" t="s">
        <v>138</v>
      </c>
      <c r="AE412" s="1096" t="s">
        <v>642</v>
      </c>
      <c r="AF412" s="1096"/>
    </row>
    <row r="413" spans="1:36" ht="12.75" customHeight="1">
      <c r="F413" s="67" t="s">
        <v>139</v>
      </c>
    </row>
    <row r="414" spans="1:36" ht="12.75" customHeight="1">
      <c r="F414" s="1315"/>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659</v>
      </c>
      <c r="N416" s="39"/>
      <c r="O416" s="39"/>
      <c r="P416" s="243"/>
      <c r="Q416" s="1096" t="s">
        <v>592</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77"/>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3"/>
      <c r="AG424" s="1520">
        <v>60</v>
      </c>
      <c r="AH424" s="1520"/>
      <c r="AI424" s="1520"/>
      <c r="AJ424" s="1520"/>
    </row>
    <row r="425" spans="1:96" ht="12.75" customHeight="1">
      <c r="D425" s="1502" t="s">
        <v>1490</v>
      </c>
      <c r="E425" s="1503"/>
      <c r="F425" s="1503"/>
      <c r="G425" s="150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4"/>
      <c r="AG425" s="1527">
        <v>0</v>
      </c>
      <c r="AH425" s="1168"/>
      <c r="AI425" s="1168"/>
      <c r="AJ425" s="1168"/>
    </row>
    <row r="426" spans="1:96" ht="12.75" customHeight="1">
      <c r="D426" s="1502" t="s">
        <v>1184</v>
      </c>
      <c r="E426" s="1503"/>
      <c r="F426" s="1503"/>
      <c r="G426" s="1503"/>
      <c r="H426" s="1503"/>
      <c r="I426" s="1503"/>
      <c r="J426" s="1503"/>
      <c r="K426" s="1503"/>
      <c r="L426" s="1503"/>
      <c r="M426" s="1503"/>
      <c r="N426" s="1503"/>
      <c r="O426" s="1503"/>
      <c r="P426" s="1503"/>
      <c r="Q426" s="1503"/>
      <c r="R426" s="1503"/>
      <c r="S426" s="1503"/>
      <c r="T426" s="1503"/>
      <c r="U426" s="1503"/>
      <c r="V426" s="1503"/>
      <c r="W426" s="1503"/>
      <c r="X426" s="1503"/>
      <c r="Y426" s="1503"/>
      <c r="Z426" s="1503"/>
      <c r="AA426" s="1503"/>
      <c r="AB426" s="1503"/>
      <c r="AC426" s="1503"/>
      <c r="AD426" s="1503"/>
      <c r="AE426" s="1503"/>
      <c r="AF426" s="1504"/>
      <c r="AG426" s="1520">
        <v>59</v>
      </c>
      <c r="AH426" s="1520"/>
      <c r="AI426" s="1520"/>
      <c r="AJ426" s="1520"/>
    </row>
    <row r="427" spans="1:96" ht="12.75" customHeight="1">
      <c r="D427" s="1502" t="s">
        <v>1185</v>
      </c>
      <c r="E427" s="1503"/>
      <c r="F427" s="1503"/>
      <c r="G427" s="1503"/>
      <c r="H427" s="1503"/>
      <c r="I427" s="1503"/>
      <c r="J427" s="1503"/>
      <c r="K427" s="1503"/>
      <c r="L427" s="1503"/>
      <c r="M427" s="1503"/>
      <c r="N427" s="1503"/>
      <c r="O427" s="1503"/>
      <c r="P427" s="1503"/>
      <c r="Q427" s="1503"/>
      <c r="R427" s="1503"/>
      <c r="S427" s="1503"/>
      <c r="T427" s="1503"/>
      <c r="U427" s="1503"/>
      <c r="V427" s="1503"/>
      <c r="W427" s="1503"/>
      <c r="X427" s="1503"/>
      <c r="Y427" s="1503"/>
      <c r="Z427" s="1503"/>
      <c r="AA427" s="1503"/>
      <c r="AB427" s="1503"/>
      <c r="AC427" s="1503"/>
      <c r="AD427" s="1503"/>
      <c r="AE427" s="1503"/>
      <c r="AF427" s="1504"/>
      <c r="AG427" s="1520">
        <v>59</v>
      </c>
      <c r="AH427" s="1520"/>
      <c r="AI427" s="1520"/>
      <c r="AJ427" s="1520"/>
    </row>
    <row r="428" spans="1:96" ht="12.75" customHeight="1">
      <c r="D428" s="1502" t="s">
        <v>1187</v>
      </c>
      <c r="E428" s="1503"/>
      <c r="F428" s="1503"/>
      <c r="G428" s="1503"/>
      <c r="H428" s="1503"/>
      <c r="I428" s="1503"/>
      <c r="J428" s="1503"/>
      <c r="K428" s="1503"/>
      <c r="L428" s="1503"/>
      <c r="M428" s="1503"/>
      <c r="N428" s="1503"/>
      <c r="O428" s="1503"/>
      <c r="P428" s="1503"/>
      <c r="Q428" s="1503"/>
      <c r="R428" s="1503"/>
      <c r="S428" s="1503"/>
      <c r="T428" s="1503"/>
      <c r="U428" s="1503"/>
      <c r="V428" s="1503"/>
      <c r="W428" s="1503"/>
      <c r="X428" s="1503"/>
      <c r="Y428" s="1503"/>
      <c r="Z428" s="1503"/>
      <c r="AA428" s="1503"/>
      <c r="AB428" s="1503"/>
      <c r="AC428" s="1503"/>
      <c r="AD428" s="1503"/>
      <c r="AE428" s="1503"/>
      <c r="AF428" s="1504"/>
      <c r="AG428" s="1567">
        <f>IF(ISERROR(AG427/AG426),"",AG427/AG426)</f>
        <v>1</v>
      </c>
      <c r="AH428" s="1567"/>
      <c r="AI428" s="1567"/>
      <c r="AJ428" s="1567"/>
    </row>
    <row r="429" spans="1:96" ht="12.75" customHeight="1">
      <c r="D429" s="1502" t="s">
        <v>1186</v>
      </c>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4"/>
      <c r="AG429" s="1448">
        <f>52625-10450-150-380-144-920-1050</f>
        <v>39531</v>
      </c>
      <c r="AH429" s="1448"/>
      <c r="AI429" s="1448"/>
      <c r="AJ429" s="1448"/>
    </row>
    <row r="430" spans="1:96" ht="12.75" customHeight="1">
      <c r="D430" s="1502" t="s">
        <v>1188</v>
      </c>
      <c r="E430" s="1503"/>
      <c r="F430" s="1503"/>
      <c r="G430" s="1503"/>
      <c r="H430" s="1503"/>
      <c r="I430" s="1503"/>
      <c r="J430" s="1503"/>
      <c r="K430" s="1503"/>
      <c r="L430" s="1503"/>
      <c r="M430" s="1503"/>
      <c r="N430" s="1503"/>
      <c r="O430" s="1503"/>
      <c r="P430" s="1503"/>
      <c r="Q430" s="1503"/>
      <c r="R430" s="1503"/>
      <c r="S430" s="1503"/>
      <c r="T430" s="1503"/>
      <c r="U430" s="1503"/>
      <c r="V430" s="1503"/>
      <c r="W430" s="1503"/>
      <c r="X430" s="1503"/>
      <c r="Y430" s="1503"/>
      <c r="Z430" s="1503"/>
      <c r="AA430" s="1503"/>
      <c r="AB430" s="1503"/>
      <c r="AC430" s="1503"/>
      <c r="AD430" s="1503"/>
      <c r="AE430" s="1503"/>
      <c r="AF430" s="1504"/>
      <c r="AG430" s="1448">
        <f>AG429</f>
        <v>39531</v>
      </c>
      <c r="AH430" s="1448"/>
      <c r="AI430" s="1448"/>
      <c r="AJ430" s="1448"/>
    </row>
    <row r="431" spans="1:96" ht="12.75" customHeight="1">
      <c r="D431" s="1502" t="s">
        <v>1189</v>
      </c>
      <c r="E431" s="1503"/>
      <c r="F431" s="1503"/>
      <c r="G431" s="1503"/>
      <c r="H431" s="1503"/>
      <c r="I431" s="1503"/>
      <c r="J431" s="1503"/>
      <c r="K431" s="1503"/>
      <c r="L431" s="1503"/>
      <c r="M431" s="1503"/>
      <c r="N431" s="1503"/>
      <c r="O431" s="1503"/>
      <c r="P431" s="1503"/>
      <c r="Q431" s="1503"/>
      <c r="R431" s="1503"/>
      <c r="S431" s="1503"/>
      <c r="T431" s="1503"/>
      <c r="U431" s="1503"/>
      <c r="V431" s="1503"/>
      <c r="W431" s="1503"/>
      <c r="X431" s="1503"/>
      <c r="Y431" s="1503"/>
      <c r="Z431" s="1503"/>
      <c r="AA431" s="1503"/>
      <c r="AB431" s="1503"/>
      <c r="AC431" s="1503"/>
      <c r="AD431" s="1503"/>
      <c r="AE431" s="1503"/>
      <c r="AF431" s="1504"/>
      <c r="AG431" s="1567">
        <f>IF(ISERROR(AG430/AG429),"",AG430/AG429)</f>
        <v>1</v>
      </c>
      <c r="AH431" s="1567"/>
      <c r="AI431" s="1567"/>
      <c r="AJ431" s="1567"/>
    </row>
    <row r="432" spans="1:96" ht="12.75" customHeight="1">
      <c r="D432" s="1502" t="s">
        <v>1190</v>
      </c>
      <c r="E432" s="1503"/>
      <c r="F432" s="1503"/>
      <c r="G432" s="1503"/>
      <c r="H432" s="1503"/>
      <c r="I432" s="1503"/>
      <c r="J432" s="1503"/>
      <c r="K432" s="1503"/>
      <c r="L432" s="1503"/>
      <c r="M432" s="1503"/>
      <c r="N432" s="1503"/>
      <c r="O432" s="1503"/>
      <c r="P432" s="1503"/>
      <c r="Q432" s="1503"/>
      <c r="R432" s="1503"/>
      <c r="S432" s="1503"/>
      <c r="T432" s="1503"/>
      <c r="U432" s="1503"/>
      <c r="V432" s="1503"/>
      <c r="W432" s="1503"/>
      <c r="X432" s="1503"/>
      <c r="Y432" s="1503"/>
      <c r="Z432" s="1503"/>
      <c r="AA432" s="1503"/>
      <c r="AB432" s="1503"/>
      <c r="AC432" s="1503"/>
      <c r="AD432" s="1503"/>
      <c r="AE432" s="1503"/>
      <c r="AF432" s="1504"/>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2" t="s">
        <v>1461</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3"/>
      <c r="AG433" s="1448">
        <v>3355</v>
      </c>
      <c r="AH433" s="1448"/>
      <c r="AI433" s="1448"/>
      <c r="AJ433" s="144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57"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3"/>
      <c r="AG434" s="1448">
        <v>0</v>
      </c>
      <c r="AH434" s="1448"/>
      <c r="AI434" s="1448"/>
      <c r="AJ434" s="144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2" t="s">
        <v>1462</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3"/>
      <c r="AG435" s="1448">
        <v>13260</v>
      </c>
      <c r="AH435" s="1448"/>
      <c r="AI435" s="1448"/>
      <c r="AJ435" s="144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2"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3"/>
      <c r="AG436" s="1448">
        <v>0</v>
      </c>
      <c r="AH436" s="1448"/>
      <c r="AI436" s="1448"/>
      <c r="AJ436" s="144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4" t="s">
        <v>1192</v>
      </c>
      <c r="E437" s="1555"/>
      <c r="F437" s="1555"/>
      <c r="G437" s="1555"/>
      <c r="H437" s="1555"/>
      <c r="I437" s="1555"/>
      <c r="J437" s="1555"/>
      <c r="K437" s="1555"/>
      <c r="L437" s="1555"/>
      <c r="M437" s="1555"/>
      <c r="N437" s="1555"/>
      <c r="O437" s="1555"/>
      <c r="P437" s="1555"/>
      <c r="Q437" s="1555"/>
      <c r="R437" s="1555"/>
      <c r="S437" s="1555"/>
      <c r="T437" s="1555"/>
      <c r="U437" s="1555"/>
      <c r="V437" s="1555"/>
      <c r="W437" s="1555"/>
      <c r="X437" s="1555"/>
      <c r="Y437" s="1555"/>
      <c r="Z437" s="1555"/>
      <c r="AA437" s="1555"/>
      <c r="AB437" s="1555"/>
      <c r="AC437" s="1555"/>
      <c r="AD437" s="1555"/>
      <c r="AE437" s="1555"/>
      <c r="AF437" s="1556"/>
      <c r="AG437" s="1521">
        <f>AG429+AG433+AG435+AG436</f>
        <v>56146</v>
      </c>
      <c r="AH437" s="1521"/>
      <c r="AI437" s="1521"/>
      <c r="AJ437" s="152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7" t="s">
        <v>1463</v>
      </c>
      <c r="E438" s="1557"/>
      <c r="F438" s="1557"/>
      <c r="G438" s="1557"/>
      <c r="H438" s="1557"/>
      <c r="I438" s="1557"/>
      <c r="J438" s="1557"/>
      <c r="K438" s="1557"/>
      <c r="L438" s="1557"/>
      <c r="M438" s="1557"/>
      <c r="N438" s="1557"/>
      <c r="O438" s="1557"/>
      <c r="P438" s="1557"/>
      <c r="Q438" s="1557"/>
      <c r="R438" s="1557"/>
      <c r="S438" s="1557"/>
      <c r="T438" s="1557"/>
      <c r="U438" s="1557"/>
      <c r="V438" s="1557"/>
      <c r="W438" s="1557"/>
      <c r="X438" s="1557"/>
      <c r="Y438" s="1557"/>
      <c r="Z438" s="1557"/>
      <c r="AA438" s="1557"/>
      <c r="AB438" s="1557"/>
      <c r="AC438" s="1557"/>
      <c r="AD438" s="1557"/>
      <c r="AE438" s="1557"/>
      <c r="AF438" s="1557"/>
      <c r="AG438" s="1557"/>
      <c r="AH438" s="1557"/>
      <c r="AI438" s="1557"/>
      <c r="AJ438" s="155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8"/>
      <c r="E439" s="1558"/>
      <c r="F439" s="1558"/>
      <c r="G439" s="1558"/>
      <c r="H439" s="1558"/>
      <c r="I439" s="1558"/>
      <c r="J439" s="1558"/>
      <c r="K439" s="1558"/>
      <c r="L439" s="1558"/>
      <c r="M439" s="1558"/>
      <c r="N439" s="1558"/>
      <c r="O439" s="1558"/>
      <c r="P439" s="1558"/>
      <c r="Q439" s="1558"/>
      <c r="R439" s="1558"/>
      <c r="S439" s="1558"/>
      <c r="T439" s="1558"/>
      <c r="U439" s="1558"/>
      <c r="V439" s="1558"/>
      <c r="W439" s="1558"/>
      <c r="X439" s="1558"/>
      <c r="Y439" s="1558"/>
      <c r="Z439" s="1558"/>
      <c r="AA439" s="1558"/>
      <c r="AB439" s="1558"/>
      <c r="AC439" s="1558"/>
      <c r="AD439" s="1558"/>
      <c r="AE439" s="1558"/>
      <c r="AF439" s="1558"/>
      <c r="AG439" s="1558"/>
      <c r="AH439" s="1558"/>
      <c r="AI439" s="1558"/>
      <c r="AJ439" s="15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499901.66666666669</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499901.66666666669</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446995.51666666666</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9" t="s">
        <v>750</v>
      </c>
      <c r="E452" s="1450"/>
      <c r="F452" s="1450"/>
      <c r="G452" s="1450"/>
      <c r="H452" s="1450"/>
      <c r="I452" s="1450"/>
      <c r="J452" s="1450"/>
      <c r="K452" s="1450"/>
      <c r="L452" s="1450"/>
      <c r="M452" s="1450"/>
      <c r="N452" s="1450"/>
      <c r="O452" s="1450"/>
      <c r="P452" s="1450"/>
      <c r="Q452" s="1450"/>
      <c r="R452" s="1450"/>
      <c r="S452" s="1450"/>
      <c r="T452" s="1450"/>
      <c r="U452" s="1450"/>
      <c r="V452" s="1451"/>
      <c r="W452" s="1252">
        <v>15</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9" t="s">
        <v>751</v>
      </c>
      <c r="E453" s="1450"/>
      <c r="F453" s="1450"/>
      <c r="G453" s="1450"/>
      <c r="H453" s="1450"/>
      <c r="I453" s="1450"/>
      <c r="J453" s="1450"/>
      <c r="K453" s="1450"/>
      <c r="L453" s="1450"/>
      <c r="M453" s="1450"/>
      <c r="N453" s="1450"/>
      <c r="O453" s="1450"/>
      <c r="P453" s="1450"/>
      <c r="Q453" s="1450"/>
      <c r="R453" s="1450"/>
      <c r="S453" s="1450"/>
      <c r="T453" s="1450"/>
      <c r="U453" s="1450"/>
      <c r="V453" s="1451"/>
      <c r="W453" s="1252" t="s">
        <v>642</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9" t="s">
        <v>752</v>
      </c>
      <c r="E454" s="1450"/>
      <c r="F454" s="1450"/>
      <c r="G454" s="1450"/>
      <c r="H454" s="1450"/>
      <c r="I454" s="1450"/>
      <c r="J454" s="1450"/>
      <c r="K454" s="1450"/>
      <c r="L454" s="1450"/>
      <c r="M454" s="1450"/>
      <c r="N454" s="1450"/>
      <c r="O454" s="1450"/>
      <c r="P454" s="1450"/>
      <c r="Q454" s="1450"/>
      <c r="R454" s="1450"/>
      <c r="S454" s="1450"/>
      <c r="T454" s="1450"/>
      <c r="U454" s="1450"/>
      <c r="V454" s="1451"/>
      <c r="W454" s="1252" t="s">
        <v>642</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9" t="s">
        <v>753</v>
      </c>
      <c r="E455" s="1450"/>
      <c r="F455" s="1450"/>
      <c r="G455" s="1450"/>
      <c r="H455" s="1450"/>
      <c r="I455" s="1450"/>
      <c r="J455" s="1450"/>
      <c r="K455" s="1450"/>
      <c r="L455" s="1450"/>
      <c r="M455" s="1450"/>
      <c r="N455" s="1450"/>
      <c r="O455" s="1450"/>
      <c r="P455" s="1450"/>
      <c r="Q455" s="1450"/>
      <c r="R455" s="1450"/>
      <c r="S455" s="1450"/>
      <c r="T455" s="1450"/>
      <c r="U455" s="1450"/>
      <c r="V455" s="1451"/>
      <c r="W455" s="1252" t="s">
        <v>642</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9" t="s">
        <v>976</v>
      </c>
      <c r="E456" s="1450"/>
      <c r="F456" s="1450"/>
      <c r="G456" s="1450"/>
      <c r="H456" s="1450"/>
      <c r="I456" s="1450"/>
      <c r="J456" s="1450"/>
      <c r="K456" s="1450"/>
      <c r="L456" s="1450"/>
      <c r="M456" s="1450"/>
      <c r="N456" s="1450"/>
      <c r="O456" s="1450"/>
      <c r="P456" s="1450"/>
      <c r="Q456" s="1450"/>
      <c r="R456" s="1450"/>
      <c r="S456" s="1450"/>
      <c r="T456" s="1450"/>
      <c r="U456" s="1450"/>
      <c r="V456" s="1451"/>
      <c r="W456" s="1252" t="s">
        <v>642</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9" t="s">
        <v>754</v>
      </c>
      <c r="E457" s="1450"/>
      <c r="F457" s="1450"/>
      <c r="G457" s="1450"/>
      <c r="H457" s="1450"/>
      <c r="I457" s="1450"/>
      <c r="J457" s="1450"/>
      <c r="K457" s="1450"/>
      <c r="L457" s="1450"/>
      <c r="M457" s="1450"/>
      <c r="N457" s="1450"/>
      <c r="O457" s="1450"/>
      <c r="P457" s="1450"/>
      <c r="Q457" s="1450"/>
      <c r="R457" s="1450"/>
      <c r="S457" s="1450"/>
      <c r="T457" s="1450"/>
      <c r="U457" s="1450"/>
      <c r="V457" s="1451"/>
      <c r="W457" s="1252" t="s">
        <v>642</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9" t="s">
        <v>1157</v>
      </c>
      <c r="E458" s="1450"/>
      <c r="F458" s="1450"/>
      <c r="G458" s="1450"/>
      <c r="H458" s="1450"/>
      <c r="I458" s="1450"/>
      <c r="J458" s="1450"/>
      <c r="K458" s="1450"/>
      <c r="L458" s="1450"/>
      <c r="M458" s="1450"/>
      <c r="N458" s="1450"/>
      <c r="O458" s="1450"/>
      <c r="P458" s="1450"/>
      <c r="Q458" s="1450"/>
      <c r="R458" s="1450"/>
      <c r="S458" s="1450"/>
      <c r="T458" s="1450"/>
      <c r="U458" s="1450"/>
      <c r="V458" s="1451"/>
      <c r="W458" s="1252" t="s">
        <v>642</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7"/>
      <c r="H459" s="1518"/>
      <c r="I459" s="1518"/>
      <c r="J459" s="1518"/>
      <c r="K459" s="1518"/>
      <c r="L459" s="1518"/>
      <c r="M459" s="1518"/>
      <c r="N459" s="1518"/>
      <c r="O459" s="1518"/>
      <c r="P459" s="1518"/>
      <c r="Q459" s="1518"/>
      <c r="R459" s="1518"/>
      <c r="S459" s="1518"/>
      <c r="T459" s="1518"/>
      <c r="U459" s="1518"/>
      <c r="V459" s="1519"/>
      <c r="W459" s="1252" t="s">
        <v>642</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3" t="s">
        <v>755</v>
      </c>
      <c r="E463" s="1454"/>
      <c r="F463" s="1454"/>
      <c r="G463" s="1454"/>
      <c r="H463" s="1454"/>
      <c r="I463" s="1454"/>
      <c r="J463" s="1454"/>
      <c r="K463" s="1454"/>
      <c r="L463" s="1454"/>
      <c r="M463" s="1454"/>
      <c r="N463" s="1454"/>
      <c r="O463" s="1454"/>
      <c r="P463" s="1454"/>
      <c r="Q463" s="1454"/>
      <c r="R463" s="1454"/>
      <c r="S463" s="1454"/>
      <c r="T463" s="1454"/>
      <c r="U463" s="1454"/>
      <c r="V463" s="1454"/>
      <c r="W463" s="1559"/>
      <c r="X463" s="1559"/>
      <c r="Y463" s="156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9" t="s">
        <v>756</v>
      </c>
      <c r="E464" s="1450"/>
      <c r="F464" s="1450"/>
      <c r="G464" s="1450"/>
      <c r="H464" s="1450"/>
      <c r="I464" s="1450"/>
      <c r="J464" s="1450"/>
      <c r="K464" s="1450"/>
      <c r="L464" s="1450"/>
      <c r="M464" s="1450"/>
      <c r="N464" s="1450"/>
      <c r="O464" s="1450"/>
      <c r="P464" s="1450"/>
      <c r="Q464" s="1450"/>
      <c r="R464" s="1450"/>
      <c r="S464" s="1450"/>
      <c r="T464" s="1450"/>
      <c r="U464" s="1450"/>
      <c r="V464" s="1451"/>
      <c r="W464" s="1252" t="s">
        <v>642</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6" t="s">
        <v>893</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0" t="s">
        <v>894</v>
      </c>
      <c r="U471" s="1461"/>
      <c r="V471" s="1461"/>
      <c r="W471" s="1461"/>
      <c r="X471" s="1461"/>
      <c r="Y471" s="1461"/>
      <c r="Z471" s="1461"/>
      <c r="AA471" s="1461"/>
      <c r="AB471" s="1461"/>
      <c r="AC471" s="1461"/>
      <c r="AD471" s="1461"/>
      <c r="AE471" s="1461"/>
      <c r="AF471" s="1461"/>
      <c r="AG471" s="1461"/>
      <c r="AH471" s="151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5" t="s">
        <v>38</v>
      </c>
      <c r="U472" s="1455"/>
      <c r="V472" s="1455"/>
      <c r="W472" s="1455"/>
      <c r="X472" s="1455"/>
      <c r="Y472" s="1455" t="s">
        <v>39</v>
      </c>
      <c r="Z472" s="1455"/>
      <c r="AA472" s="1455"/>
      <c r="AB472" s="1455"/>
      <c r="AC472" s="1455"/>
      <c r="AD472" s="1455" t="s">
        <v>362</v>
      </c>
      <c r="AE472" s="1455"/>
      <c r="AF472" s="1455"/>
      <c r="AG472" s="1455"/>
      <c r="AH472" s="145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5"/>
      <c r="U473" s="1455"/>
      <c r="V473" s="1455"/>
      <c r="W473" s="1455"/>
      <c r="X473" s="1455"/>
      <c r="Y473" s="1455"/>
      <c r="Z473" s="1455"/>
      <c r="AA473" s="1455"/>
      <c r="AB473" s="1455"/>
      <c r="AC473" s="1455"/>
      <c r="AD473" s="1455"/>
      <c r="AE473" s="1455"/>
      <c r="AF473" s="1455"/>
      <c r="AG473" s="1455"/>
      <c r="AH473" s="145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2">
        <v>0</v>
      </c>
      <c r="U474" s="1452"/>
      <c r="V474" s="1452"/>
      <c r="W474" s="1452"/>
      <c r="X474" s="1452"/>
      <c r="Y474" s="1452">
        <v>0</v>
      </c>
      <c r="Z474" s="1452"/>
      <c r="AA474" s="1452"/>
      <c r="AB474" s="1452"/>
      <c r="AC474" s="1452"/>
      <c r="AD474" s="1452">
        <v>43417</v>
      </c>
      <c r="AE474" s="1452"/>
      <c r="AF474" s="1452"/>
      <c r="AG474" s="1452"/>
      <c r="AH474" s="145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2">
        <v>0</v>
      </c>
      <c r="U475" s="1452"/>
      <c r="V475" s="1452"/>
      <c r="W475" s="1452"/>
      <c r="X475" s="1452"/>
      <c r="Y475" s="1452">
        <v>0</v>
      </c>
      <c r="Z475" s="1452"/>
      <c r="AA475" s="1452"/>
      <c r="AB475" s="1452"/>
      <c r="AC475" s="1452"/>
      <c r="AD475" s="1452">
        <v>43377</v>
      </c>
      <c r="AE475" s="1452"/>
      <c r="AF475" s="1452"/>
      <c r="AG475" s="1452"/>
      <c r="AH475" s="145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2">
        <v>0</v>
      </c>
      <c r="U476" s="1452"/>
      <c r="V476" s="1452"/>
      <c r="W476" s="1452"/>
      <c r="X476" s="1452"/>
      <c r="Y476" s="1452">
        <v>0</v>
      </c>
      <c r="Z476" s="1452"/>
      <c r="AA476" s="1452"/>
      <c r="AB476" s="1452"/>
      <c r="AC476" s="1452"/>
      <c r="AD476" s="1452">
        <v>0</v>
      </c>
      <c r="AE476" s="1452"/>
      <c r="AF476" s="1452"/>
      <c r="AG476" s="1452"/>
      <c r="AH476" s="145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2">
        <v>0</v>
      </c>
      <c r="U477" s="1452"/>
      <c r="V477" s="1452"/>
      <c r="W477" s="1452"/>
      <c r="X477" s="1452"/>
      <c r="Y477" s="1452">
        <v>0</v>
      </c>
      <c r="Z477" s="1452"/>
      <c r="AA477" s="1452"/>
      <c r="AB477" s="1452"/>
      <c r="AC477" s="1452"/>
      <c r="AD477" s="1452">
        <v>0</v>
      </c>
      <c r="AE477" s="1452"/>
      <c r="AF477" s="1452"/>
      <c r="AG477" s="1452"/>
      <c r="AH477" s="145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2">
        <v>0</v>
      </c>
      <c r="U478" s="1452"/>
      <c r="V478" s="1452"/>
      <c r="W478" s="1452"/>
      <c r="X478" s="1452"/>
      <c r="Y478" s="1452">
        <v>0</v>
      </c>
      <c r="Z478" s="1452"/>
      <c r="AA478" s="1452"/>
      <c r="AB478" s="1452"/>
      <c r="AC478" s="1452"/>
      <c r="AD478" s="1452">
        <v>0</v>
      </c>
      <c r="AE478" s="1452"/>
      <c r="AF478" s="1452"/>
      <c r="AG478" s="1452"/>
      <c r="AH478" s="145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2">
        <v>0</v>
      </c>
      <c r="U479" s="1452"/>
      <c r="V479" s="1452"/>
      <c r="W479" s="1452"/>
      <c r="X479" s="1452"/>
      <c r="Y479" s="1452">
        <v>0</v>
      </c>
      <c r="Z479" s="1452"/>
      <c r="AA479" s="1452"/>
      <c r="AB479" s="1452"/>
      <c r="AC479" s="1452"/>
      <c r="AD479" s="1452">
        <v>43693</v>
      </c>
      <c r="AE479" s="1452"/>
      <c r="AF479" s="1452"/>
      <c r="AG479" s="1452"/>
      <c r="AH479" s="145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2">
        <v>0</v>
      </c>
      <c r="U480" s="1452"/>
      <c r="V480" s="1452"/>
      <c r="W480" s="1452"/>
      <c r="X480" s="1452"/>
      <c r="Y480" s="1452">
        <v>0</v>
      </c>
      <c r="Z480" s="1452"/>
      <c r="AA480" s="1452"/>
      <c r="AB480" s="1452"/>
      <c r="AC480" s="1452"/>
      <c r="AD480" s="1452">
        <v>0</v>
      </c>
      <c r="AE480" s="1452"/>
      <c r="AF480" s="1452"/>
      <c r="AG480" s="1452"/>
      <c r="AH480" s="145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2">
        <v>0</v>
      </c>
      <c r="U481" s="1452"/>
      <c r="V481" s="1452"/>
      <c r="W481" s="1452"/>
      <c r="X481" s="1452"/>
      <c r="Y481" s="1452">
        <v>0</v>
      </c>
      <c r="Z481" s="1452"/>
      <c r="AA481" s="1452"/>
      <c r="AB481" s="1452"/>
      <c r="AC481" s="1452"/>
      <c r="AD481" s="1452">
        <v>0</v>
      </c>
      <c r="AE481" s="1452"/>
      <c r="AF481" s="1452"/>
      <c r="AG481" s="1452"/>
      <c r="AH481" s="145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2">
        <v>0</v>
      </c>
      <c r="U482" s="1452"/>
      <c r="V482" s="1452"/>
      <c r="W482" s="1452"/>
      <c r="X482" s="1452"/>
      <c r="Y482" s="1452">
        <v>0</v>
      </c>
      <c r="Z482" s="1452"/>
      <c r="AA482" s="1452"/>
      <c r="AB482" s="1452"/>
      <c r="AC482" s="1452"/>
      <c r="AD482" s="1452">
        <v>0</v>
      </c>
      <c r="AE482" s="1452"/>
      <c r="AF482" s="1452"/>
      <c r="AG482" s="1452"/>
      <c r="AH482" s="145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2">
        <v>0</v>
      </c>
      <c r="U483" s="1452"/>
      <c r="V483" s="1452"/>
      <c r="W483" s="1452"/>
      <c r="X483" s="1452"/>
      <c r="Y483" s="1452">
        <v>0</v>
      </c>
      <c r="Z483" s="1452"/>
      <c r="AA483" s="1452"/>
      <c r="AB483" s="1452"/>
      <c r="AC483" s="1452"/>
      <c r="AD483" s="1452">
        <v>43417</v>
      </c>
      <c r="AE483" s="1452"/>
      <c r="AF483" s="1452"/>
      <c r="AG483" s="1452"/>
      <c r="AH483" s="145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7" t="s">
        <v>428</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t="s">
        <v>1739</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t="s">
        <v>1740</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t="s">
        <v>1741</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2" t="s">
        <v>432</v>
      </c>
      <c r="C489" s="1463"/>
      <c r="D489" s="1463"/>
      <c r="E489" s="1463"/>
      <c r="F489" s="1463"/>
      <c r="G489" s="1463"/>
      <c r="H489" s="1463"/>
      <c r="I489" s="1463"/>
      <c r="J489" s="1463"/>
      <c r="K489" s="1463"/>
      <c r="L489" s="1463"/>
      <c r="M489" s="1463"/>
      <c r="N489" s="1463"/>
      <c r="O489" s="1463"/>
      <c r="P489" s="146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5"/>
      <c r="C490" s="1466"/>
      <c r="D490" s="1466"/>
      <c r="E490" s="1466"/>
      <c r="F490" s="1466"/>
      <c r="G490" s="1466"/>
      <c r="H490" s="1466"/>
      <c r="I490" s="1466"/>
      <c r="J490" s="1466"/>
      <c r="K490" s="1466"/>
      <c r="L490" s="1466"/>
      <c r="M490" s="1466"/>
      <c r="N490" s="1466"/>
      <c r="O490" s="1466"/>
      <c r="P490" s="1467"/>
      <c r="Q490" s="1471" t="s">
        <v>723</v>
      </c>
      <c r="R490" s="1472"/>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8"/>
      <c r="C491" s="1469"/>
      <c r="D491" s="1469"/>
      <c r="E491" s="1469"/>
      <c r="F491" s="1469"/>
      <c r="G491" s="1469"/>
      <c r="H491" s="1469"/>
      <c r="I491" s="1469"/>
      <c r="J491" s="1469"/>
      <c r="K491" s="1469"/>
      <c r="L491" s="1469"/>
      <c r="M491" s="1469"/>
      <c r="N491" s="1469"/>
      <c r="O491" s="1469"/>
      <c r="P491" s="1470"/>
      <c r="Q491" s="1473"/>
      <c r="R491" s="1474"/>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3" t="s">
        <v>1742</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3" t="s">
        <v>1743</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7" t="s">
        <v>436</v>
      </c>
      <c r="AD498" s="1458"/>
      <c r="AE498" s="1458"/>
      <c r="AF498" s="1458"/>
      <c r="AG498" s="1458"/>
      <c r="AH498" s="1458"/>
      <c r="AI498" s="1458"/>
      <c r="AJ498" s="1458"/>
      <c r="AK498" s="14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0" t="s">
        <v>437</v>
      </c>
      <c r="AD499" s="1461"/>
      <c r="AE499" s="1461"/>
      <c r="AF499" s="1461"/>
      <c r="AG499" s="82" t="s">
        <v>438</v>
      </c>
      <c r="AH499" s="1461" t="s">
        <v>439</v>
      </c>
      <c r="AI499" s="1461"/>
      <c r="AJ499" s="1461"/>
      <c r="AK499" s="151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5" t="s">
        <v>440</v>
      </c>
      <c r="C500" s="1476"/>
      <c r="D500" s="1476"/>
      <c r="E500" s="1476"/>
      <c r="F500" s="1476"/>
      <c r="G500" s="1476"/>
      <c r="H500" s="1477"/>
      <c r="I500" s="72" t="s">
        <v>441</v>
      </c>
      <c r="J500" s="72"/>
      <c r="K500" s="72"/>
      <c r="L500" s="72"/>
      <c r="M500" s="72"/>
      <c r="N500" s="72"/>
      <c r="O500" s="72"/>
      <c r="P500" s="72"/>
      <c r="Q500" s="72"/>
      <c r="R500" s="72"/>
      <c r="S500" s="72"/>
      <c r="T500" s="72"/>
      <c r="U500" s="72"/>
      <c r="V500" s="72"/>
      <c r="W500" s="72"/>
      <c r="X500" s="25"/>
      <c r="Y500" s="25"/>
      <c r="AC500" s="1456">
        <v>11</v>
      </c>
      <c r="AD500" s="1414"/>
      <c r="AE500" s="1414"/>
      <c r="AF500" s="1414"/>
      <c r="AG500" s="75" t="s">
        <v>438</v>
      </c>
      <c r="AH500" s="1220">
        <v>2018</v>
      </c>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8"/>
      <c r="C501" s="1479"/>
      <c r="D501" s="1479"/>
      <c r="E501" s="1479"/>
      <c r="F501" s="1479"/>
      <c r="G501" s="1479"/>
      <c r="H501" s="1480"/>
      <c r="I501" s="80" t="s">
        <v>442</v>
      </c>
      <c r="J501" s="80"/>
      <c r="K501" s="80"/>
      <c r="L501" s="80"/>
      <c r="M501" s="80"/>
      <c r="N501" s="80"/>
      <c r="O501" s="80"/>
      <c r="P501" s="80"/>
      <c r="Q501" s="80"/>
      <c r="R501" s="80"/>
      <c r="S501" s="80"/>
      <c r="T501" s="80"/>
      <c r="U501" s="80"/>
      <c r="V501" s="80"/>
      <c r="W501" s="80"/>
      <c r="X501" s="80"/>
      <c r="Y501" s="80"/>
      <c r="Z501" s="80"/>
      <c r="AA501" s="80"/>
      <c r="AB501" s="80"/>
      <c r="AC501" s="1456">
        <v>3</v>
      </c>
      <c r="AD501" s="1414"/>
      <c r="AE501" s="1414"/>
      <c r="AF501" s="1414"/>
      <c r="AG501" s="65" t="s">
        <v>438</v>
      </c>
      <c r="AH501" s="1220">
        <v>2021</v>
      </c>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5" t="s">
        <v>443</v>
      </c>
      <c r="C502" s="1476"/>
      <c r="D502" s="1476"/>
      <c r="E502" s="1476"/>
      <c r="F502" s="1476"/>
      <c r="G502" s="1476"/>
      <c r="H502" s="1477"/>
      <c r="I502" s="72" t="s">
        <v>444</v>
      </c>
      <c r="J502" s="72"/>
      <c r="K502" s="72"/>
      <c r="L502" s="72"/>
      <c r="M502" s="72"/>
      <c r="N502" s="72"/>
      <c r="O502" s="72"/>
      <c r="P502" s="72"/>
      <c r="Q502" s="72"/>
      <c r="R502" s="72"/>
      <c r="S502" s="72"/>
      <c r="T502" s="72"/>
      <c r="U502" s="72"/>
      <c r="V502" s="72"/>
      <c r="W502" s="72"/>
      <c r="X502" s="25"/>
      <c r="Y502" s="25"/>
      <c r="AC502" s="1456" t="s">
        <v>642</v>
      </c>
      <c r="AD502" s="1414"/>
      <c r="AE502" s="1414"/>
      <c r="AF502" s="1414"/>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8"/>
      <c r="C503" s="1479"/>
      <c r="D503" s="1479"/>
      <c r="E503" s="1479"/>
      <c r="F503" s="1479"/>
      <c r="G503" s="1479"/>
      <c r="H503" s="1480"/>
      <c r="I503" s="25" t="s">
        <v>445</v>
      </c>
      <c r="J503" s="25"/>
      <c r="K503" s="25"/>
      <c r="L503" s="25"/>
      <c r="M503" s="25"/>
      <c r="N503" s="25"/>
      <c r="O503" s="25"/>
      <c r="P503" s="25"/>
      <c r="Q503" s="25"/>
      <c r="R503" s="25"/>
      <c r="S503" s="25"/>
      <c r="T503" s="25"/>
      <c r="U503" s="25"/>
      <c r="V503" s="25"/>
      <c r="W503" s="25"/>
      <c r="X503" s="25"/>
      <c r="Y503" s="25"/>
      <c r="AC503" s="1456" t="s">
        <v>642</v>
      </c>
      <c r="AD503" s="1414"/>
      <c r="AE503" s="1414"/>
      <c r="AF503" s="1414"/>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8"/>
      <c r="C504" s="1479"/>
      <c r="D504" s="1479"/>
      <c r="E504" s="1479"/>
      <c r="F504" s="1479"/>
      <c r="G504" s="1479"/>
      <c r="H504" s="1480"/>
      <c r="I504" s="25" t="s">
        <v>446</v>
      </c>
      <c r="J504" s="25"/>
      <c r="K504" s="25"/>
      <c r="L504" s="25"/>
      <c r="M504" s="25"/>
      <c r="N504" s="25"/>
      <c r="O504" s="25"/>
      <c r="P504" s="25"/>
      <c r="Q504" s="25"/>
      <c r="R504" s="25"/>
      <c r="S504" s="25"/>
      <c r="T504" s="25"/>
      <c r="U504" s="25"/>
      <c r="V504" s="25"/>
      <c r="W504" s="25"/>
      <c r="X504" s="25"/>
      <c r="Y504" s="25"/>
      <c r="AC504" s="1456">
        <v>11</v>
      </c>
      <c r="AD504" s="1414"/>
      <c r="AE504" s="1414"/>
      <c r="AF504" s="1414"/>
      <c r="AG504" s="75" t="s">
        <v>438</v>
      </c>
      <c r="AH504" s="1220">
        <v>2018</v>
      </c>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8"/>
      <c r="C505" s="1479"/>
      <c r="D505" s="1479"/>
      <c r="E505" s="1479"/>
      <c r="F505" s="1479"/>
      <c r="G505" s="1479"/>
      <c r="H505" s="1480"/>
      <c r="I505" s="25" t="s">
        <v>447</v>
      </c>
      <c r="J505" s="25"/>
      <c r="K505" s="25"/>
      <c r="L505" s="25"/>
      <c r="M505" s="25"/>
      <c r="N505" s="25"/>
      <c r="O505" s="25"/>
      <c r="P505" s="25"/>
      <c r="Q505" s="25"/>
      <c r="R505" s="25"/>
      <c r="S505" s="25"/>
      <c r="T505" s="25"/>
      <c r="U505" s="25"/>
      <c r="V505" s="25"/>
      <c r="W505" s="25"/>
      <c r="X505" s="25"/>
      <c r="Y505" s="25"/>
      <c r="AC505" s="1456" t="s">
        <v>642</v>
      </c>
      <c r="AD505" s="1414"/>
      <c r="AE505" s="1414"/>
      <c r="AF505" s="1414"/>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8"/>
      <c r="C506" s="1479"/>
      <c r="D506" s="1479"/>
      <c r="E506" s="1479"/>
      <c r="F506" s="1479"/>
      <c r="G506" s="1479"/>
      <c r="H506" s="1480"/>
      <c r="I506" s="80" t="s">
        <v>448</v>
      </c>
      <c r="J506" s="80"/>
      <c r="K506" s="80"/>
      <c r="L506" s="80"/>
      <c r="M506" s="80"/>
      <c r="N506" s="80"/>
      <c r="O506" s="80"/>
      <c r="P506" s="80"/>
      <c r="Q506" s="80"/>
      <c r="R506" s="80"/>
      <c r="S506" s="80"/>
      <c r="T506" s="80"/>
      <c r="U506" s="80"/>
      <c r="V506" s="80"/>
      <c r="W506" s="80"/>
      <c r="X506" s="80"/>
      <c r="Y506" s="80"/>
      <c r="Z506" s="80"/>
      <c r="AA506" s="80"/>
      <c r="AB506" s="80"/>
      <c r="AC506" s="1456">
        <v>12</v>
      </c>
      <c r="AD506" s="1414"/>
      <c r="AE506" s="1414"/>
      <c r="AF506" s="1414"/>
      <c r="AG506" s="65" t="s">
        <v>438</v>
      </c>
      <c r="AH506" s="1220">
        <v>2020</v>
      </c>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5" t="s">
        <v>449</v>
      </c>
      <c r="C507" s="1476"/>
      <c r="D507" s="1476"/>
      <c r="E507" s="1476"/>
      <c r="F507" s="1476"/>
      <c r="G507" s="1476"/>
      <c r="H507" s="1477"/>
      <c r="I507" s="72" t="s">
        <v>450</v>
      </c>
      <c r="J507" s="72"/>
      <c r="K507" s="72"/>
      <c r="L507" s="72"/>
      <c r="M507" s="72"/>
      <c r="N507" s="72"/>
      <c r="O507" s="72"/>
      <c r="P507" s="72"/>
      <c r="Q507" s="72"/>
      <c r="R507" s="72"/>
      <c r="S507" s="72"/>
      <c r="T507" s="72"/>
      <c r="U507" s="72"/>
      <c r="V507" s="72"/>
      <c r="W507" s="72"/>
      <c r="X507" s="25"/>
      <c r="Y507" s="25"/>
      <c r="AC507" s="1456" t="s">
        <v>642</v>
      </c>
      <c r="AD507" s="1414"/>
      <c r="AE507" s="1414"/>
      <c r="AF507" s="1414"/>
      <c r="AG507" s="75" t="s">
        <v>438</v>
      </c>
      <c r="AH507" s="1220"/>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8"/>
      <c r="C508" s="1479"/>
      <c r="D508" s="1479"/>
      <c r="E508" s="1479"/>
      <c r="F508" s="1479"/>
      <c r="G508" s="1479"/>
      <c r="H508" s="1480"/>
      <c r="I508" s="25" t="s">
        <v>451</v>
      </c>
      <c r="J508" s="25"/>
      <c r="K508" s="25"/>
      <c r="L508" s="25"/>
      <c r="M508" s="25"/>
      <c r="N508" s="25"/>
      <c r="O508" s="25"/>
      <c r="P508" s="25"/>
      <c r="Q508" s="25"/>
      <c r="R508" s="25"/>
      <c r="S508" s="25"/>
      <c r="T508" s="25"/>
      <c r="U508" s="25"/>
      <c r="V508" s="25"/>
      <c r="W508" s="25"/>
      <c r="X508" s="25"/>
      <c r="Y508" s="25"/>
      <c r="AC508" s="1456">
        <v>9</v>
      </c>
      <c r="AD508" s="1414"/>
      <c r="AE508" s="1414"/>
      <c r="AF508" s="1414"/>
      <c r="AG508" s="75" t="s">
        <v>438</v>
      </c>
      <c r="AH508" s="1220">
        <v>2020</v>
      </c>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8"/>
      <c r="C509" s="1479"/>
      <c r="D509" s="1479"/>
      <c r="E509" s="1479"/>
      <c r="F509" s="1479"/>
      <c r="G509" s="1479"/>
      <c r="H509" s="1480"/>
      <c r="I509" s="80" t="s">
        <v>452</v>
      </c>
      <c r="J509" s="80"/>
      <c r="K509" s="80"/>
      <c r="L509" s="80"/>
      <c r="M509" s="80"/>
      <c r="N509" s="80"/>
      <c r="O509" s="80"/>
      <c r="P509" s="80"/>
      <c r="Q509" s="80"/>
      <c r="R509" s="80"/>
      <c r="S509" s="80"/>
      <c r="T509" s="80"/>
      <c r="U509" s="80"/>
      <c r="V509" s="80"/>
      <c r="W509" s="80"/>
      <c r="X509" s="80"/>
      <c r="Y509" s="80"/>
      <c r="Z509" s="80"/>
      <c r="AA509" s="80"/>
      <c r="AB509" s="80"/>
      <c r="AC509" s="1456">
        <v>3</v>
      </c>
      <c r="AD509" s="1414"/>
      <c r="AE509" s="1414"/>
      <c r="AF509" s="1414"/>
      <c r="AG509" s="65" t="s">
        <v>438</v>
      </c>
      <c r="AH509" s="1220">
        <v>2021</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5" t="s">
        <v>453</v>
      </c>
      <c r="C510" s="1476"/>
      <c r="D510" s="1476"/>
      <c r="E510" s="1476"/>
      <c r="F510" s="1476"/>
      <c r="G510" s="1476"/>
      <c r="H510" s="1477"/>
      <c r="I510" s="72" t="s">
        <v>450</v>
      </c>
      <c r="J510" s="72"/>
      <c r="K510" s="72"/>
      <c r="L510" s="72"/>
      <c r="M510" s="72"/>
      <c r="N510" s="72"/>
      <c r="O510" s="72"/>
      <c r="P510" s="72"/>
      <c r="Q510" s="72"/>
      <c r="R510" s="72"/>
      <c r="S510" s="72"/>
      <c r="T510" s="72"/>
      <c r="U510" s="72"/>
      <c r="V510" s="72"/>
      <c r="W510" s="72"/>
      <c r="X510" s="72"/>
      <c r="Y510" s="72"/>
      <c r="Z510" s="72"/>
      <c r="AA510" s="72"/>
      <c r="AB510" s="72"/>
      <c r="AC510" s="1165" t="s">
        <v>642</v>
      </c>
      <c r="AD510" s="1166"/>
      <c r="AE510" s="1166"/>
      <c r="AF510" s="1166"/>
      <c r="AG510" s="204" t="s">
        <v>438</v>
      </c>
      <c r="AH510" s="1220"/>
      <c r="AI510" s="1220"/>
      <c r="AJ510" s="1220"/>
      <c r="AK510" s="12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8"/>
      <c r="C511" s="1479"/>
      <c r="D511" s="1479"/>
      <c r="E511" s="1479"/>
      <c r="F511" s="1479"/>
      <c r="G511" s="1479"/>
      <c r="H511" s="1480"/>
      <c r="I511" s="25" t="s">
        <v>451</v>
      </c>
      <c r="J511" s="25"/>
      <c r="K511" s="25"/>
      <c r="L511" s="25"/>
      <c r="M511" s="25"/>
      <c r="N511" s="25"/>
      <c r="O511" s="25"/>
      <c r="P511" s="25"/>
      <c r="Q511" s="25"/>
      <c r="R511" s="25"/>
      <c r="S511" s="25"/>
      <c r="T511" s="25"/>
      <c r="U511" s="25"/>
      <c r="V511" s="25"/>
      <c r="W511" s="25"/>
      <c r="X511" s="25"/>
      <c r="Y511" s="25"/>
      <c r="Z511" s="25"/>
      <c r="AA511" s="25"/>
      <c r="AB511" s="25"/>
      <c r="AC511" s="1456">
        <v>9</v>
      </c>
      <c r="AD511" s="1414"/>
      <c r="AE511" s="1414"/>
      <c r="AF511" s="1414"/>
      <c r="AG511" s="75" t="s">
        <v>438</v>
      </c>
      <c r="AH511" s="1220">
        <v>2020</v>
      </c>
      <c r="AI511" s="1220"/>
      <c r="AJ511" s="1220"/>
      <c r="AK511" s="12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1"/>
      <c r="C512" s="1482"/>
      <c r="D512" s="1482"/>
      <c r="E512" s="1482"/>
      <c r="F512" s="1482"/>
      <c r="G512" s="1482"/>
      <c r="H512" s="1483"/>
      <c r="I512" s="80" t="s">
        <v>452</v>
      </c>
      <c r="J512" s="80"/>
      <c r="K512" s="80"/>
      <c r="L512" s="80"/>
      <c r="M512" s="80"/>
      <c r="N512" s="80"/>
      <c r="O512" s="80"/>
      <c r="P512" s="80"/>
      <c r="Q512" s="80"/>
      <c r="R512" s="80"/>
      <c r="S512" s="80"/>
      <c r="T512" s="80"/>
      <c r="U512" s="80"/>
      <c r="V512" s="80"/>
      <c r="W512" s="80"/>
      <c r="X512" s="80"/>
      <c r="Y512" s="80"/>
      <c r="Z512" s="80"/>
      <c r="AA512" s="80"/>
      <c r="AB512" s="80"/>
      <c r="AC512" s="1456">
        <v>5</v>
      </c>
      <c r="AD512" s="1414"/>
      <c r="AE512" s="1414"/>
      <c r="AF512" s="1414"/>
      <c r="AG512" s="65" t="s">
        <v>438</v>
      </c>
      <c r="AH512" s="1220">
        <v>2023</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5" t="s">
        <v>454</v>
      </c>
      <c r="C513" s="1476"/>
      <c r="D513" s="1476"/>
      <c r="E513" s="1476"/>
      <c r="F513" s="1476"/>
      <c r="G513" s="1476"/>
      <c r="H513" s="1477"/>
      <c r="I513" s="71" t="s">
        <v>455</v>
      </c>
      <c r="J513" s="72"/>
      <c r="K513" s="72"/>
      <c r="L513" s="72"/>
      <c r="M513" s="72"/>
      <c r="N513" s="72"/>
      <c r="O513" s="1116" t="s">
        <v>1646</v>
      </c>
      <c r="P513" s="1116"/>
      <c r="Q513" s="1116"/>
      <c r="R513" s="1116"/>
      <c r="S513" s="1116"/>
      <c r="T513" s="1116"/>
      <c r="U513" s="1116"/>
      <c r="V513" s="1116"/>
      <c r="W513" s="1116"/>
      <c r="X513" s="1116"/>
      <c r="Y513" s="1116"/>
      <c r="Z513" s="1116"/>
      <c r="AA513" s="1116"/>
      <c r="AB513" s="94"/>
      <c r="AC513" s="1165">
        <v>3</v>
      </c>
      <c r="AD513" s="1166"/>
      <c r="AE513" s="1166"/>
      <c r="AF513" s="1166"/>
      <c r="AG513" s="204" t="s">
        <v>438</v>
      </c>
      <c r="AH513" s="1220">
        <v>2017</v>
      </c>
      <c r="AI513" s="1220"/>
      <c r="AJ513" s="1220"/>
      <c r="AK513" s="12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8"/>
      <c r="C514" s="1479"/>
      <c r="D514" s="1479"/>
      <c r="E514" s="1479"/>
      <c r="F514" s="1479"/>
      <c r="G514" s="1479"/>
      <c r="H514" s="1480"/>
      <c r="I514" s="175" t="s">
        <v>456</v>
      </c>
      <c r="J514" s="25"/>
      <c r="K514" s="25"/>
      <c r="L514" s="25"/>
      <c r="M514" s="25"/>
      <c r="N514" s="25"/>
      <c r="O514" s="25"/>
      <c r="P514" s="25"/>
      <c r="Q514" s="25"/>
      <c r="R514" s="25"/>
      <c r="S514" s="25"/>
      <c r="T514" s="25"/>
      <c r="U514" s="25"/>
      <c r="V514" s="25"/>
      <c r="W514" s="25"/>
      <c r="X514" s="25"/>
      <c r="Y514" s="25"/>
      <c r="Z514" s="25"/>
      <c r="AA514" s="25"/>
      <c r="AB514" s="101"/>
      <c r="AC514" s="1456" t="s">
        <v>642</v>
      </c>
      <c r="AD514" s="1414"/>
      <c r="AE514" s="1414"/>
      <c r="AF514" s="1414"/>
      <c r="AG514" s="75" t="s">
        <v>438</v>
      </c>
      <c r="AH514" s="1220"/>
      <c r="AI514" s="1220"/>
      <c r="AJ514" s="1220"/>
      <c r="AK514" s="12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8"/>
      <c r="C515" s="1479"/>
      <c r="D515" s="1479"/>
      <c r="E515" s="1479"/>
      <c r="F515" s="1479"/>
      <c r="G515" s="1479"/>
      <c r="H515" s="1480"/>
      <c r="I515" s="79" t="s">
        <v>457</v>
      </c>
      <c r="J515" s="80"/>
      <c r="K515" s="80"/>
      <c r="L515" s="80"/>
      <c r="M515" s="80"/>
      <c r="N515" s="80"/>
      <c r="O515" s="80"/>
      <c r="P515" s="80"/>
      <c r="Q515" s="80"/>
      <c r="R515" s="80"/>
      <c r="S515" s="80"/>
      <c r="T515" s="80"/>
      <c r="U515" s="80"/>
      <c r="V515" s="80"/>
      <c r="W515" s="80"/>
      <c r="X515" s="80"/>
      <c r="Y515" s="80"/>
      <c r="Z515" s="80"/>
      <c r="AA515" s="80"/>
      <c r="AB515" s="81"/>
      <c r="AC515" s="1456">
        <v>3</v>
      </c>
      <c r="AD515" s="1414"/>
      <c r="AE515" s="1414"/>
      <c r="AF515" s="1414"/>
      <c r="AG515" s="65" t="s">
        <v>438</v>
      </c>
      <c r="AH515" s="1220">
        <v>2017</v>
      </c>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8"/>
      <c r="C516" s="1479"/>
      <c r="D516" s="1479"/>
      <c r="E516" s="1479"/>
      <c r="F516" s="1479"/>
      <c r="G516" s="1479"/>
      <c r="H516" s="1480"/>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56" t="s">
        <v>642</v>
      </c>
      <c r="AD516" s="1414"/>
      <c r="AE516" s="1414"/>
      <c r="AF516" s="1414"/>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8"/>
      <c r="C517" s="1479"/>
      <c r="D517" s="1479"/>
      <c r="E517" s="1479"/>
      <c r="F517" s="1479"/>
      <c r="G517" s="1479"/>
      <c r="H517" s="1480"/>
      <c r="I517" s="25" t="s">
        <v>456</v>
      </c>
      <c r="J517" s="25"/>
      <c r="K517" s="25"/>
      <c r="L517" s="25"/>
      <c r="M517" s="25"/>
      <c r="N517" s="25"/>
      <c r="O517" s="25"/>
      <c r="P517" s="25"/>
      <c r="Q517" s="25"/>
      <c r="R517" s="25"/>
      <c r="S517" s="25"/>
      <c r="T517" s="25"/>
      <c r="U517" s="25"/>
      <c r="V517" s="25"/>
      <c r="W517" s="25"/>
      <c r="X517" s="25"/>
      <c r="Y517" s="25"/>
      <c r="AC517" s="1456" t="s">
        <v>642</v>
      </c>
      <c r="AD517" s="1414"/>
      <c r="AE517" s="1414"/>
      <c r="AF517" s="1414"/>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8"/>
      <c r="C518" s="1479"/>
      <c r="D518" s="1479"/>
      <c r="E518" s="1479"/>
      <c r="F518" s="1479"/>
      <c r="G518" s="1479"/>
      <c r="H518" s="1480"/>
      <c r="I518" s="80" t="s">
        <v>457</v>
      </c>
      <c r="J518" s="80"/>
      <c r="K518" s="80"/>
      <c r="L518" s="80"/>
      <c r="M518" s="80"/>
      <c r="N518" s="80"/>
      <c r="O518" s="80"/>
      <c r="P518" s="80"/>
      <c r="Q518" s="80"/>
      <c r="R518" s="80"/>
      <c r="S518" s="80"/>
      <c r="T518" s="80"/>
      <c r="U518" s="80"/>
      <c r="V518" s="80"/>
      <c r="W518" s="80"/>
      <c r="X518" s="80"/>
      <c r="Y518" s="80"/>
      <c r="Z518" s="80"/>
      <c r="AA518" s="80"/>
      <c r="AB518" s="80"/>
      <c r="AC518" s="1456" t="s">
        <v>642</v>
      </c>
      <c r="AD518" s="1414"/>
      <c r="AE518" s="1414"/>
      <c r="AF518" s="1414"/>
      <c r="AG518" s="65" t="s">
        <v>438</v>
      </c>
      <c r="AH518" s="1220"/>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8"/>
      <c r="C519" s="1479"/>
      <c r="D519" s="1479"/>
      <c r="E519" s="1479"/>
      <c r="F519" s="1479"/>
      <c r="G519" s="1479"/>
      <c r="H519" s="1480"/>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6" t="s">
        <v>642</v>
      </c>
      <c r="AD519" s="1414"/>
      <c r="AE519" s="1414"/>
      <c r="AF519" s="1414"/>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8"/>
      <c r="C520" s="1479"/>
      <c r="D520" s="1479"/>
      <c r="E520" s="1479"/>
      <c r="F520" s="1479"/>
      <c r="G520" s="1479"/>
      <c r="H520" s="1480"/>
      <c r="I520" s="25" t="s">
        <v>456</v>
      </c>
      <c r="J520" s="25"/>
      <c r="K520" s="25"/>
      <c r="L520" s="25"/>
      <c r="M520" s="25"/>
      <c r="N520" s="25"/>
      <c r="O520" s="25"/>
      <c r="P520" s="25"/>
      <c r="Q520" s="25"/>
      <c r="R520" s="25"/>
      <c r="S520" s="25"/>
      <c r="T520" s="25"/>
      <c r="U520" s="25"/>
      <c r="V520" s="25"/>
      <c r="W520" s="25"/>
      <c r="X520" s="25"/>
      <c r="Y520" s="25"/>
      <c r="AC520" s="1456" t="s">
        <v>642</v>
      </c>
      <c r="AD520" s="1414"/>
      <c r="AE520" s="1414"/>
      <c r="AF520" s="1414"/>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8"/>
      <c r="C521" s="1479"/>
      <c r="D521" s="1479"/>
      <c r="E521" s="1479"/>
      <c r="F521" s="1479"/>
      <c r="G521" s="1479"/>
      <c r="H521" s="1480"/>
      <c r="I521" s="80" t="s">
        <v>457</v>
      </c>
      <c r="J521" s="80"/>
      <c r="K521" s="80"/>
      <c r="L521" s="80"/>
      <c r="M521" s="80"/>
      <c r="N521" s="80"/>
      <c r="O521" s="80"/>
      <c r="P521" s="80"/>
      <c r="Q521" s="80"/>
      <c r="R521" s="80"/>
      <c r="S521" s="80"/>
      <c r="T521" s="80"/>
      <c r="U521" s="80"/>
      <c r="V521" s="80"/>
      <c r="W521" s="80"/>
      <c r="X521" s="80"/>
      <c r="Y521" s="80"/>
      <c r="Z521" s="80"/>
      <c r="AA521" s="80"/>
      <c r="AB521" s="80"/>
      <c r="AC521" s="1456" t="s">
        <v>642</v>
      </c>
      <c r="AD521" s="1414"/>
      <c r="AE521" s="1414"/>
      <c r="AF521" s="1414"/>
      <c r="AG521" s="65" t="s">
        <v>438</v>
      </c>
      <c r="AH521" s="1220"/>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8"/>
      <c r="C522" s="1479"/>
      <c r="D522" s="1479"/>
      <c r="E522" s="1479"/>
      <c r="F522" s="1479"/>
      <c r="G522" s="1479"/>
      <c r="H522" s="1480"/>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6" t="s">
        <v>642</v>
      </c>
      <c r="AD522" s="1414"/>
      <c r="AE522" s="1414"/>
      <c r="AF522" s="1414"/>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8"/>
      <c r="C523" s="1479"/>
      <c r="D523" s="1479"/>
      <c r="E523" s="1479"/>
      <c r="F523" s="1479"/>
      <c r="G523" s="1479"/>
      <c r="H523" s="1480"/>
      <c r="I523" s="25" t="s">
        <v>456</v>
      </c>
      <c r="J523" s="25"/>
      <c r="K523" s="25"/>
      <c r="L523" s="25"/>
      <c r="M523" s="25"/>
      <c r="N523" s="25"/>
      <c r="O523" s="25"/>
      <c r="P523" s="25"/>
      <c r="Q523" s="25"/>
      <c r="R523" s="25"/>
      <c r="S523" s="25"/>
      <c r="T523" s="25"/>
      <c r="U523" s="25"/>
      <c r="V523" s="25"/>
      <c r="W523" s="25"/>
      <c r="X523" s="25"/>
      <c r="Y523" s="25"/>
      <c r="AC523" s="1456" t="s">
        <v>642</v>
      </c>
      <c r="AD523" s="1414"/>
      <c r="AE523" s="1414"/>
      <c r="AF523" s="1414"/>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8"/>
      <c r="C524" s="1479"/>
      <c r="D524" s="1479"/>
      <c r="E524" s="1479"/>
      <c r="F524" s="1479"/>
      <c r="G524" s="1479"/>
      <c r="H524" s="1480"/>
      <c r="I524" s="80" t="s">
        <v>457</v>
      </c>
      <c r="J524" s="80"/>
      <c r="K524" s="80"/>
      <c r="L524" s="80"/>
      <c r="M524" s="80"/>
      <c r="N524" s="80"/>
      <c r="O524" s="80"/>
      <c r="P524" s="80"/>
      <c r="Q524" s="80"/>
      <c r="R524" s="80"/>
      <c r="S524" s="80"/>
      <c r="T524" s="80"/>
      <c r="U524" s="80"/>
      <c r="V524" s="80"/>
      <c r="W524" s="80"/>
      <c r="X524" s="80"/>
      <c r="Y524" s="80"/>
      <c r="Z524" s="80"/>
      <c r="AA524" s="80"/>
      <c r="AB524" s="80"/>
      <c r="AC524" s="1456" t="s">
        <v>642</v>
      </c>
      <c r="AD524" s="1414"/>
      <c r="AE524" s="1414"/>
      <c r="AF524" s="1414"/>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8"/>
      <c r="C525" s="1479"/>
      <c r="D525" s="1479"/>
      <c r="E525" s="1479"/>
      <c r="F525" s="1479"/>
      <c r="G525" s="1479"/>
      <c r="H525" s="1480"/>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6" t="s">
        <v>642</v>
      </c>
      <c r="AD525" s="1414"/>
      <c r="AE525" s="1414"/>
      <c r="AF525" s="1414"/>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8"/>
      <c r="C526" s="1479"/>
      <c r="D526" s="1479"/>
      <c r="E526" s="1479"/>
      <c r="F526" s="1479"/>
      <c r="G526" s="1479"/>
      <c r="H526" s="1480"/>
      <c r="I526" s="25" t="s">
        <v>456</v>
      </c>
      <c r="J526" s="25"/>
      <c r="K526" s="25"/>
      <c r="L526" s="25"/>
      <c r="M526" s="25"/>
      <c r="N526" s="25"/>
      <c r="O526" s="25"/>
      <c r="P526" s="25"/>
      <c r="Q526" s="25"/>
      <c r="R526" s="25"/>
      <c r="S526" s="25"/>
      <c r="T526" s="25"/>
      <c r="U526" s="25"/>
      <c r="V526" s="25"/>
      <c r="W526" s="25"/>
      <c r="X526" s="25"/>
      <c r="Y526" s="25"/>
      <c r="AC526" s="1456" t="s">
        <v>642</v>
      </c>
      <c r="AD526" s="1414"/>
      <c r="AE526" s="1414"/>
      <c r="AF526" s="1414"/>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8"/>
      <c r="C527" s="1479"/>
      <c r="D527" s="1479"/>
      <c r="E527" s="1479"/>
      <c r="F527" s="1479"/>
      <c r="G527" s="1479"/>
      <c r="H527" s="1480"/>
      <c r="I527" s="80" t="s">
        <v>457</v>
      </c>
      <c r="J527" s="80"/>
      <c r="K527" s="80"/>
      <c r="L527" s="80"/>
      <c r="M527" s="80"/>
      <c r="N527" s="80"/>
      <c r="O527" s="80"/>
      <c r="P527" s="80"/>
      <c r="Q527" s="80"/>
      <c r="R527" s="80"/>
      <c r="S527" s="80"/>
      <c r="T527" s="80"/>
      <c r="U527" s="80"/>
      <c r="V527" s="80"/>
      <c r="W527" s="80"/>
      <c r="X527" s="80"/>
      <c r="Y527" s="80"/>
      <c r="Z527" s="80"/>
      <c r="AA527" s="80"/>
      <c r="AB527" s="80"/>
      <c r="AC527" s="1456" t="s">
        <v>642</v>
      </c>
      <c r="AD527" s="1414"/>
      <c r="AE527" s="1414"/>
      <c r="AF527" s="1414"/>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8"/>
      <c r="C528" s="1479"/>
      <c r="D528" s="1479"/>
      <c r="E528" s="1479"/>
      <c r="F528" s="1479"/>
      <c r="G528" s="1479"/>
      <c r="H528" s="1480"/>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6" t="s">
        <v>642</v>
      </c>
      <c r="AD528" s="1414"/>
      <c r="AE528" s="1414"/>
      <c r="AF528" s="1414"/>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8"/>
      <c r="C529" s="1479"/>
      <c r="D529" s="1479"/>
      <c r="E529" s="1479"/>
      <c r="F529" s="1479"/>
      <c r="G529" s="1479"/>
      <c r="H529" s="1480"/>
      <c r="I529" s="25" t="s">
        <v>456</v>
      </c>
      <c r="J529" s="25"/>
      <c r="K529" s="25"/>
      <c r="L529" s="25"/>
      <c r="M529" s="25"/>
      <c r="N529" s="25"/>
      <c r="O529" s="25"/>
      <c r="P529" s="25"/>
      <c r="Q529" s="25"/>
      <c r="R529" s="25"/>
      <c r="S529" s="25"/>
      <c r="T529" s="25"/>
      <c r="U529" s="25"/>
      <c r="V529" s="25"/>
      <c r="W529" s="25"/>
      <c r="X529" s="25"/>
      <c r="Y529" s="25"/>
      <c r="AC529" s="1456" t="s">
        <v>642</v>
      </c>
      <c r="AD529" s="1414"/>
      <c r="AE529" s="1414"/>
      <c r="AF529" s="1414"/>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8"/>
      <c r="C530" s="1479"/>
      <c r="D530" s="1479"/>
      <c r="E530" s="1479"/>
      <c r="F530" s="1479"/>
      <c r="G530" s="1479"/>
      <c r="H530" s="1480"/>
      <c r="I530" s="80" t="s">
        <v>457</v>
      </c>
      <c r="J530" s="80"/>
      <c r="K530" s="80"/>
      <c r="L530" s="80"/>
      <c r="M530" s="80"/>
      <c r="N530" s="80"/>
      <c r="O530" s="80"/>
      <c r="P530" s="80"/>
      <c r="Q530" s="80"/>
      <c r="R530" s="80"/>
      <c r="S530" s="80"/>
      <c r="T530" s="80"/>
      <c r="U530" s="80"/>
      <c r="V530" s="80"/>
      <c r="W530" s="80"/>
      <c r="X530" s="80"/>
      <c r="Y530" s="80"/>
      <c r="Z530" s="80"/>
      <c r="AA530" s="80"/>
      <c r="AB530" s="80"/>
      <c r="AC530" s="1456" t="s">
        <v>642</v>
      </c>
      <c r="AD530" s="1414"/>
      <c r="AE530" s="1414"/>
      <c r="AF530" s="1414"/>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8"/>
      <c r="C531" s="1479"/>
      <c r="D531" s="1479"/>
      <c r="E531" s="1479"/>
      <c r="F531" s="1479"/>
      <c r="G531" s="1479"/>
      <c r="H531" s="1480"/>
      <c r="I531" s="72" t="s">
        <v>611</v>
      </c>
      <c r="J531" s="72"/>
      <c r="K531" s="72"/>
      <c r="L531" s="72"/>
      <c r="M531" s="72"/>
      <c r="N531" s="72"/>
      <c r="O531" s="72"/>
      <c r="P531" s="72"/>
      <c r="Q531" s="72"/>
      <c r="R531" s="72"/>
      <c r="S531" s="72"/>
      <c r="T531" s="72"/>
      <c r="U531" s="72"/>
      <c r="V531" s="72"/>
      <c r="W531" s="72"/>
      <c r="X531" s="25"/>
      <c r="Y531" s="25"/>
      <c r="AC531" s="1456">
        <v>8</v>
      </c>
      <c r="AD531" s="1414"/>
      <c r="AE531" s="1414"/>
      <c r="AF531" s="1414"/>
      <c r="AG531" s="65" t="s">
        <v>438</v>
      </c>
      <c r="AH531" s="1220">
        <v>2021</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8"/>
      <c r="C532" s="1479"/>
      <c r="D532" s="1479"/>
      <c r="E532" s="1479"/>
      <c r="F532" s="1479"/>
      <c r="G532" s="1479"/>
      <c r="H532" s="1480"/>
      <c r="I532" s="25" t="s">
        <v>612</v>
      </c>
      <c r="J532" s="25"/>
      <c r="K532" s="25"/>
      <c r="L532" s="25"/>
      <c r="M532" s="25"/>
      <c r="N532" s="25"/>
      <c r="O532" s="25"/>
      <c r="P532" s="25"/>
      <c r="Q532" s="25"/>
      <c r="R532" s="25"/>
      <c r="S532" s="25"/>
      <c r="T532" s="25"/>
      <c r="U532" s="25"/>
      <c r="V532" s="25"/>
      <c r="W532" s="25"/>
      <c r="X532" s="25"/>
      <c r="Y532" s="25"/>
      <c r="AC532" s="1456">
        <v>5</v>
      </c>
      <c r="AD532" s="1414"/>
      <c r="AE532" s="1414"/>
      <c r="AF532" s="1414"/>
      <c r="AG532" s="75" t="s">
        <v>438</v>
      </c>
      <c r="AH532" s="1220">
        <v>2021</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8"/>
      <c r="C533" s="1479"/>
      <c r="D533" s="1479"/>
      <c r="E533" s="1479"/>
      <c r="F533" s="1479"/>
      <c r="G533" s="1479"/>
      <c r="H533" s="1480"/>
      <c r="I533" s="25" t="s">
        <v>613</v>
      </c>
      <c r="J533" s="25"/>
      <c r="K533" s="25"/>
      <c r="L533" s="25"/>
      <c r="M533" s="25"/>
      <c r="N533" s="25"/>
      <c r="O533" s="25"/>
      <c r="P533" s="25"/>
      <c r="Q533" s="25"/>
      <c r="R533" s="25"/>
      <c r="S533" s="25"/>
      <c r="T533" s="25"/>
      <c r="U533" s="25"/>
      <c r="V533" s="25"/>
      <c r="W533" s="25"/>
      <c r="X533" s="25"/>
      <c r="Y533" s="25"/>
      <c r="AC533" s="1456">
        <v>11</v>
      </c>
      <c r="AD533" s="1414"/>
      <c r="AE533" s="1414"/>
      <c r="AF533" s="1414"/>
      <c r="AG533" s="65" t="s">
        <v>438</v>
      </c>
      <c r="AH533" s="1220">
        <v>2022</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8"/>
      <c r="C534" s="1479"/>
      <c r="D534" s="1479"/>
      <c r="E534" s="1479"/>
      <c r="F534" s="1479"/>
      <c r="G534" s="1479"/>
      <c r="H534" s="1480"/>
      <c r="I534" s="25" t="s">
        <v>614</v>
      </c>
      <c r="J534" s="25"/>
      <c r="K534" s="25"/>
      <c r="L534" s="25"/>
      <c r="M534" s="25"/>
      <c r="N534" s="25"/>
      <c r="O534" s="25"/>
      <c r="P534" s="25"/>
      <c r="Q534" s="25"/>
      <c r="R534" s="25"/>
      <c r="S534" s="25"/>
      <c r="T534" s="25"/>
      <c r="U534" s="25"/>
      <c r="V534" s="25"/>
      <c r="W534" s="25"/>
      <c r="X534" s="25"/>
      <c r="Y534" s="25"/>
      <c r="AC534" s="1456">
        <v>11</v>
      </c>
      <c r="AD534" s="1414"/>
      <c r="AE534" s="1414"/>
      <c r="AF534" s="1414"/>
      <c r="AG534" s="65" t="s">
        <v>438</v>
      </c>
      <c r="AH534" s="1220">
        <v>2022</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1"/>
      <c r="C535" s="1482"/>
      <c r="D535" s="1482"/>
      <c r="E535" s="1482"/>
      <c r="F535" s="1482"/>
      <c r="G535" s="1482"/>
      <c r="H535" s="1483"/>
      <c r="I535" s="80" t="s">
        <v>496</v>
      </c>
      <c r="J535" s="80"/>
      <c r="K535" s="80"/>
      <c r="L535" s="80"/>
      <c r="M535" s="80"/>
      <c r="N535" s="80"/>
      <c r="O535" s="80"/>
      <c r="P535" s="80"/>
      <c r="Q535" s="80"/>
      <c r="R535" s="80"/>
      <c r="S535" s="80"/>
      <c r="T535" s="80"/>
      <c r="U535" s="80"/>
      <c r="V535" s="80"/>
      <c r="W535" s="80"/>
      <c r="X535" s="80"/>
      <c r="Y535" s="80"/>
      <c r="Z535" s="80"/>
      <c r="AA535" s="80"/>
      <c r="AB535" s="80"/>
      <c r="AC535" s="1456">
        <v>1</v>
      </c>
      <c r="AD535" s="1414"/>
      <c r="AE535" s="1414"/>
      <c r="AF535" s="1414"/>
      <c r="AG535" s="65" t="s">
        <v>438</v>
      </c>
      <c r="AH535" s="1220">
        <v>2023</v>
      </c>
      <c r="AI535" s="1220"/>
      <c r="AJ535" s="1220"/>
      <c r="AK535" s="12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7" t="s">
        <v>498</v>
      </c>
      <c r="C544" s="1458"/>
      <c r="D544" s="1458"/>
      <c r="E544" s="1458"/>
      <c r="F544" s="1458"/>
      <c r="G544" s="1458"/>
      <c r="H544" s="1458"/>
      <c r="I544" s="1458"/>
      <c r="J544" s="1458"/>
      <c r="K544" s="1458"/>
      <c r="L544" s="1458"/>
      <c r="M544" s="1458"/>
      <c r="N544" s="1458"/>
      <c r="O544" s="1459"/>
      <c r="P544" s="1457" t="s">
        <v>346</v>
      </c>
      <c r="Q544" s="1458"/>
      <c r="R544" s="1458"/>
      <c r="S544" s="1458"/>
      <c r="T544" s="1459"/>
      <c r="U544" s="1457" t="s">
        <v>499</v>
      </c>
      <c r="V544" s="1458"/>
      <c r="W544" s="1458"/>
      <c r="X544" s="1458"/>
      <c r="Y544" s="1459"/>
      <c r="Z544" s="1511" t="s">
        <v>1424</v>
      </c>
      <c r="AA544" s="1512"/>
      <c r="AB544" s="1512"/>
      <c r="AC544" s="1512"/>
      <c r="AD544" s="1513"/>
      <c r="AE544" s="1457" t="s">
        <v>500</v>
      </c>
      <c r="AF544" s="1458"/>
      <c r="AG544" s="1458"/>
      <c r="AH544" s="1458"/>
      <c r="AI544" s="1458"/>
      <c r="AJ544" s="1458"/>
      <c r="AK544" s="14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2" t="s">
        <v>1785</v>
      </c>
      <c r="D545" s="1099"/>
      <c r="E545" s="1099"/>
      <c r="F545" s="1099"/>
      <c r="G545" s="1099"/>
      <c r="H545" s="1099"/>
      <c r="I545" s="1099"/>
      <c r="J545" s="1099"/>
      <c r="K545" s="1099"/>
      <c r="L545" s="1099"/>
      <c r="M545" s="1099"/>
      <c r="N545" s="1099"/>
      <c r="O545" s="1223"/>
      <c r="P545" s="1219">
        <v>24</v>
      </c>
      <c r="Q545" s="1220"/>
      <c r="R545" s="1220"/>
      <c r="S545" s="1220"/>
      <c r="T545" s="1221"/>
      <c r="U545" s="1423">
        <v>3.7499999999999999E-2</v>
      </c>
      <c r="V545" s="1424"/>
      <c r="W545" s="1424"/>
      <c r="X545" s="1424"/>
      <c r="Y545" s="1425"/>
      <c r="Z545" s="1217" t="s">
        <v>1751</v>
      </c>
      <c r="AA545" s="1217"/>
      <c r="AB545" s="1217"/>
      <c r="AC545" s="1217"/>
      <c r="AD545" s="1218"/>
      <c r="AE545" s="1137">
        <v>16253397</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2" t="s">
        <v>1786</v>
      </c>
      <c r="D546" s="1099"/>
      <c r="E546" s="1099"/>
      <c r="F546" s="1099"/>
      <c r="G546" s="1099"/>
      <c r="H546" s="1099"/>
      <c r="I546" s="1099"/>
      <c r="J546" s="1099"/>
      <c r="K546" s="1099"/>
      <c r="L546" s="1099"/>
      <c r="M546" s="1099"/>
      <c r="N546" s="1099"/>
      <c r="O546" s="1223"/>
      <c r="P546" s="1219">
        <v>24</v>
      </c>
      <c r="Q546" s="1220"/>
      <c r="R546" s="1220"/>
      <c r="S546" s="1220"/>
      <c r="T546" s="1221"/>
      <c r="U546" s="1423">
        <v>3.85E-2</v>
      </c>
      <c r="V546" s="1424"/>
      <c r="W546" s="1424"/>
      <c r="X546" s="1424"/>
      <c r="Y546" s="1425"/>
      <c r="Z546" s="1217" t="s">
        <v>1751</v>
      </c>
      <c r="AA546" s="1217"/>
      <c r="AB546" s="1217"/>
      <c r="AC546" s="1217"/>
      <c r="AD546" s="1218"/>
      <c r="AE546" s="1137">
        <v>7339885</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2" t="s">
        <v>1747</v>
      </c>
      <c r="D547" s="1099"/>
      <c r="E547" s="1099"/>
      <c r="F547" s="1099"/>
      <c r="G547" s="1099"/>
      <c r="H547" s="1099"/>
      <c r="I547" s="1099"/>
      <c r="J547" s="1099"/>
      <c r="K547" s="1099"/>
      <c r="L547" s="1099"/>
      <c r="M547" s="1099"/>
      <c r="N547" s="1099"/>
      <c r="O547" s="1223"/>
      <c r="P547" s="1219">
        <v>24</v>
      </c>
      <c r="Q547" s="1220"/>
      <c r="R547" s="1220"/>
      <c r="S547" s="1220"/>
      <c r="T547" s="1221"/>
      <c r="U547" s="1423">
        <v>0</v>
      </c>
      <c r="V547" s="1424"/>
      <c r="W547" s="1424"/>
      <c r="X547" s="1424"/>
      <c r="Y547" s="1425"/>
      <c r="Z547" s="1217" t="s">
        <v>642</v>
      </c>
      <c r="AA547" s="1217"/>
      <c r="AB547" s="1217"/>
      <c r="AC547" s="1217"/>
      <c r="AD547" s="1218"/>
      <c r="AE547" s="1137">
        <v>1320000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2" t="s">
        <v>1753</v>
      </c>
      <c r="D548" s="1099"/>
      <c r="E548" s="1099"/>
      <c r="F548" s="1099"/>
      <c r="G548" s="1099"/>
      <c r="H548" s="1099"/>
      <c r="I548" s="1099"/>
      <c r="J548" s="1099"/>
      <c r="K548" s="1099"/>
      <c r="L548" s="1099"/>
      <c r="M548" s="1099"/>
      <c r="N548" s="1099"/>
      <c r="O548" s="1223"/>
      <c r="P548" s="1219">
        <v>24</v>
      </c>
      <c r="Q548" s="1220"/>
      <c r="R548" s="1220"/>
      <c r="S548" s="1220"/>
      <c r="T548" s="1221"/>
      <c r="U548" s="1423">
        <v>0.01</v>
      </c>
      <c r="V548" s="1424"/>
      <c r="W548" s="1424"/>
      <c r="X548" s="1424"/>
      <c r="Y548" s="1425"/>
      <c r="Z548" s="1217" t="s">
        <v>1752</v>
      </c>
      <c r="AA548" s="1217"/>
      <c r="AB548" s="1217"/>
      <c r="AC548" s="1217"/>
      <c r="AD548" s="1218"/>
      <c r="AE548" s="1137">
        <v>500000</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2" t="s">
        <v>1748</v>
      </c>
      <c r="D549" s="1099"/>
      <c r="E549" s="1099"/>
      <c r="F549" s="1099"/>
      <c r="G549" s="1099"/>
      <c r="H549" s="1099"/>
      <c r="I549" s="1099"/>
      <c r="J549" s="1099"/>
      <c r="K549" s="1099"/>
      <c r="L549" s="1099"/>
      <c r="M549" s="1099"/>
      <c r="N549" s="1099"/>
      <c r="O549" s="1223"/>
      <c r="P549" s="1428" t="s">
        <v>642</v>
      </c>
      <c r="Q549" s="1220"/>
      <c r="R549" s="1220"/>
      <c r="S549" s="1220"/>
      <c r="T549" s="1221"/>
      <c r="U549" s="1423" t="s">
        <v>642</v>
      </c>
      <c r="V549" s="1424"/>
      <c r="W549" s="1424"/>
      <c r="X549" s="1424"/>
      <c r="Y549" s="1425"/>
      <c r="Z549" s="1217" t="s">
        <v>642</v>
      </c>
      <c r="AA549" s="1217"/>
      <c r="AB549" s="1217"/>
      <c r="AC549" s="1217"/>
      <c r="AD549" s="1218"/>
      <c r="AE549" s="1137">
        <v>814691</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2" t="s">
        <v>1749</v>
      </c>
      <c r="D550" s="1099"/>
      <c r="E550" s="1099"/>
      <c r="F550" s="1099"/>
      <c r="G550" s="1099"/>
      <c r="H550" s="1099"/>
      <c r="I550" s="1099"/>
      <c r="J550" s="1099"/>
      <c r="K550" s="1099"/>
      <c r="L550" s="1099"/>
      <c r="M550" s="1099"/>
      <c r="N550" s="1099"/>
      <c r="O550" s="1223"/>
      <c r="P550" s="1428" t="s">
        <v>642</v>
      </c>
      <c r="Q550" s="1220"/>
      <c r="R550" s="1220"/>
      <c r="S550" s="1220"/>
      <c r="T550" s="1221"/>
      <c r="U550" s="1423" t="s">
        <v>642</v>
      </c>
      <c r="V550" s="1424"/>
      <c r="W550" s="1424"/>
      <c r="X550" s="1424"/>
      <c r="Y550" s="1425"/>
      <c r="Z550" s="1217" t="s">
        <v>642</v>
      </c>
      <c r="AA550" s="1217"/>
      <c r="AB550" s="1217"/>
      <c r="AC550" s="1217"/>
      <c r="AD550" s="1218"/>
      <c r="AE550" s="1137">
        <v>2402257</v>
      </c>
      <c r="AF550" s="1138"/>
      <c r="AG550" s="1138"/>
      <c r="AH550" s="1138"/>
      <c r="AI550" s="1138"/>
      <c r="AJ550" s="1138"/>
      <c r="AK550" s="113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22" t="s">
        <v>1750</v>
      </c>
      <c r="D551" s="1099"/>
      <c r="E551" s="1099"/>
      <c r="F551" s="1099"/>
      <c r="G551" s="1099"/>
      <c r="H551" s="1099"/>
      <c r="I551" s="1099"/>
      <c r="J551" s="1099"/>
      <c r="K551" s="1099"/>
      <c r="L551" s="1099"/>
      <c r="M551" s="1099"/>
      <c r="N551" s="1099"/>
      <c r="O551" s="1223"/>
      <c r="P551" s="1428" t="s">
        <v>642</v>
      </c>
      <c r="Q551" s="1220"/>
      <c r="R551" s="1220"/>
      <c r="S551" s="1220"/>
      <c r="T551" s="1221"/>
      <c r="U551" s="1423" t="s">
        <v>642</v>
      </c>
      <c r="V551" s="1424"/>
      <c r="W551" s="1424"/>
      <c r="X551" s="1424"/>
      <c r="Y551" s="1425"/>
      <c r="Z551" s="1217" t="s">
        <v>642</v>
      </c>
      <c r="AA551" s="1217"/>
      <c r="AB551" s="1217"/>
      <c r="AC551" s="1217"/>
      <c r="AD551" s="1218"/>
      <c r="AE551" s="1137">
        <v>1363870</v>
      </c>
      <c r="AF551" s="1138"/>
      <c r="AG551" s="1138"/>
      <c r="AH551" s="1138"/>
      <c r="AI551" s="1138"/>
      <c r="AJ551" s="1138"/>
      <c r="AK551" s="113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9"/>
      <c r="D552" s="1099"/>
      <c r="E552" s="1099"/>
      <c r="F552" s="1099"/>
      <c r="G552" s="1099"/>
      <c r="H552" s="1099"/>
      <c r="I552" s="1099"/>
      <c r="J552" s="1099"/>
      <c r="K552" s="1099"/>
      <c r="L552" s="1099"/>
      <c r="M552" s="1099"/>
      <c r="N552" s="1099"/>
      <c r="O552" s="1223"/>
      <c r="P552" s="1219"/>
      <c r="Q552" s="1220"/>
      <c r="R552" s="1220"/>
      <c r="S552" s="1220"/>
      <c r="T552" s="1221"/>
      <c r="U552" s="1423"/>
      <c r="V552" s="1424"/>
      <c r="W552" s="1424"/>
      <c r="X552" s="1424"/>
      <c r="Y552" s="1425"/>
      <c r="Z552" s="1217" t="s">
        <v>1425</v>
      </c>
      <c r="AA552" s="1217"/>
      <c r="AB552" s="1217"/>
      <c r="AC552" s="1217"/>
      <c r="AD552" s="1218"/>
      <c r="AE552" s="1137"/>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9"/>
      <c r="D553" s="1099"/>
      <c r="E553" s="1099"/>
      <c r="F553" s="1099"/>
      <c r="G553" s="1099"/>
      <c r="H553" s="1099"/>
      <c r="I553" s="1099"/>
      <c r="J553" s="1099"/>
      <c r="K553" s="1099"/>
      <c r="L553" s="1099"/>
      <c r="M553" s="1099"/>
      <c r="N553" s="1099"/>
      <c r="O553" s="1223"/>
      <c r="P553" s="1219"/>
      <c r="Q553" s="1220"/>
      <c r="R553" s="1220"/>
      <c r="S553" s="1220"/>
      <c r="T553" s="1221"/>
      <c r="U553" s="1423"/>
      <c r="V553" s="1424"/>
      <c r="W553" s="1424"/>
      <c r="X553" s="1424"/>
      <c r="Y553" s="1425"/>
      <c r="Z553" s="1217" t="s">
        <v>1425</v>
      </c>
      <c r="AA553" s="1217"/>
      <c r="AB553" s="1217"/>
      <c r="AC553" s="1217"/>
      <c r="AD553" s="1218"/>
      <c r="AE553" s="1137"/>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9"/>
      <c r="D554" s="1099"/>
      <c r="E554" s="1099"/>
      <c r="F554" s="1099"/>
      <c r="G554" s="1099"/>
      <c r="H554" s="1099"/>
      <c r="I554" s="1099"/>
      <c r="J554" s="1099"/>
      <c r="K554" s="1099"/>
      <c r="L554" s="1099"/>
      <c r="M554" s="1099"/>
      <c r="N554" s="1099"/>
      <c r="O554" s="1223"/>
      <c r="P554" s="1219"/>
      <c r="Q554" s="1220"/>
      <c r="R554" s="1220"/>
      <c r="S554" s="1220"/>
      <c r="T554" s="1221"/>
      <c r="U554" s="1423"/>
      <c r="V554" s="1424"/>
      <c r="W554" s="1424"/>
      <c r="X554" s="1424"/>
      <c r="Y554" s="1425"/>
      <c r="Z554" s="1217" t="s">
        <v>1425</v>
      </c>
      <c r="AA554" s="1217"/>
      <c r="AB554" s="1217"/>
      <c r="AC554" s="1217"/>
      <c r="AD554" s="1218"/>
      <c r="AE554" s="1137"/>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3"/>
      <c r="P555" s="1219"/>
      <c r="Q555" s="1220"/>
      <c r="R555" s="1220"/>
      <c r="S555" s="1220"/>
      <c r="T555" s="1221"/>
      <c r="U555" s="1423"/>
      <c r="V555" s="1424"/>
      <c r="W555" s="1424"/>
      <c r="X555" s="1424"/>
      <c r="Y555" s="1425"/>
      <c r="Z555" s="1217" t="s">
        <v>1425</v>
      </c>
      <c r="AA555" s="1217"/>
      <c r="AB555" s="1217"/>
      <c r="AC555" s="1217"/>
      <c r="AD555" s="1218"/>
      <c r="AE555" s="1137"/>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3"/>
      <c r="P556" s="1219"/>
      <c r="Q556" s="1220"/>
      <c r="R556" s="1220"/>
      <c r="S556" s="1220"/>
      <c r="T556" s="1221"/>
      <c r="U556" s="1423"/>
      <c r="V556" s="1424"/>
      <c r="W556" s="1424"/>
      <c r="X556" s="1424"/>
      <c r="Y556" s="1425"/>
      <c r="Z556" s="1217" t="s">
        <v>1425</v>
      </c>
      <c r="AA556" s="1217"/>
      <c r="AB556" s="1217"/>
      <c r="AC556" s="1217"/>
      <c r="AD556" s="1218"/>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29994100</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Wells Fargo Tax Exempt Const. Loan</v>
      </c>
      <c r="H559" s="1097"/>
      <c r="I559" s="1097"/>
      <c r="J559" s="1097"/>
      <c r="K559" s="1097"/>
      <c r="L559" s="1097"/>
      <c r="M559" s="1097"/>
      <c r="N559" s="1097"/>
      <c r="O559" s="1097"/>
      <c r="P559" s="1097"/>
      <c r="Q559" s="1097"/>
      <c r="R559" s="1097"/>
      <c r="S559" s="14"/>
      <c r="T559" s="87" t="s">
        <v>120</v>
      </c>
      <c r="U559" s="12" t="s">
        <v>510</v>
      </c>
      <c r="Z559" s="1097" t="str">
        <f>C546</f>
        <v>Wells Fargo Taxable Const. Loan</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1789</v>
      </c>
      <c r="H560" s="1095"/>
      <c r="I560" s="1095"/>
      <c r="J560" s="1095"/>
      <c r="K560" s="1095"/>
      <c r="L560" s="1095"/>
      <c r="M560" s="1095"/>
      <c r="N560" s="1095"/>
      <c r="O560" s="1095"/>
      <c r="P560" s="1095"/>
      <c r="Q560" s="1095"/>
      <c r="R560" s="1095"/>
      <c r="S560" s="14"/>
      <c r="T560" s="35"/>
      <c r="U560" s="12" t="s">
        <v>92</v>
      </c>
      <c r="Z560" s="1095" t="s">
        <v>1789</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792</v>
      </c>
      <c r="H561" s="1095"/>
      <c r="I561" s="1095"/>
      <c r="J561" s="1095"/>
      <c r="K561" s="1095"/>
      <c r="L561" s="1095"/>
      <c r="M561" s="1095"/>
      <c r="N561" s="1095"/>
      <c r="O561" s="1095"/>
      <c r="P561" s="1095"/>
      <c r="Q561" s="1095"/>
      <c r="R561" s="1095"/>
      <c r="S561" s="88"/>
      <c r="T561" s="35"/>
      <c r="U561" s="12" t="s">
        <v>631</v>
      </c>
      <c r="Z561" s="1116" t="s">
        <v>792</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1784</v>
      </c>
      <c r="H562" s="1095"/>
      <c r="I562" s="1095"/>
      <c r="J562" s="1095"/>
      <c r="K562" s="1095"/>
      <c r="L562" s="1095"/>
      <c r="M562" s="1095"/>
      <c r="N562" s="1095"/>
      <c r="O562" s="1095"/>
      <c r="P562" s="1095"/>
      <c r="Q562" s="1095"/>
      <c r="R562" s="1095"/>
      <c r="S562" s="14"/>
      <c r="T562" s="35"/>
      <c r="U562" s="12" t="s">
        <v>19</v>
      </c>
      <c r="Z562" s="1116" t="s">
        <v>1784</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v>4159875283</v>
      </c>
      <c r="H563" s="1098"/>
      <c r="I563" s="1098"/>
      <c r="J563" s="1098"/>
      <c r="K563" s="1098"/>
      <c r="L563" s="1098"/>
      <c r="O563" s="140" t="s">
        <v>220</v>
      </c>
      <c r="P563" s="1099"/>
      <c r="Q563" s="1099"/>
      <c r="R563" s="1099"/>
      <c r="S563" s="16"/>
      <c r="T563" s="35"/>
      <c r="U563" s="12" t="s">
        <v>338</v>
      </c>
      <c r="Z563" s="1098">
        <v>4159875283</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1787</v>
      </c>
      <c r="I564" s="1095"/>
      <c r="J564" s="1095"/>
      <c r="K564" s="1095"/>
      <c r="L564" s="1095"/>
      <c r="M564" s="1095"/>
      <c r="N564" s="1095"/>
      <c r="O564" s="1095"/>
      <c r="P564" s="1095"/>
      <c r="Q564" s="1095"/>
      <c r="R564" s="1095"/>
      <c r="S564" s="14"/>
      <c r="T564" s="35"/>
      <c r="U564" s="12" t="s">
        <v>20</v>
      </c>
      <c r="AA564" s="1095" t="s">
        <v>1788</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6" t="s">
        <v>1801</v>
      </c>
      <c r="N565" s="1516"/>
      <c r="O565" s="1516"/>
      <c r="P565" s="1516"/>
      <c r="Q565" s="1516"/>
      <c r="R565" s="1516"/>
      <c r="S565" s="14"/>
      <c r="T565" s="35"/>
      <c r="U565" s="530" t="s">
        <v>1426</v>
      </c>
      <c r="V565" s="743"/>
      <c r="W565" s="743"/>
      <c r="X565" s="743"/>
      <c r="Y565" s="743"/>
      <c r="Z565" s="743"/>
      <c r="AA565" s="14"/>
      <c r="AB565" s="14"/>
      <c r="AC565" s="14"/>
      <c r="AD565" s="14"/>
      <c r="AE565" s="14"/>
      <c r="AF565" s="1516" t="s">
        <v>1802</v>
      </c>
      <c r="AG565" s="1516"/>
      <c r="AH565" s="1516"/>
      <c r="AI565" s="1516"/>
      <c r="AJ565" s="1516"/>
      <c r="AK565" s="151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Vacaville Acquisition Loan</v>
      </c>
      <c r="H568" s="1097"/>
      <c r="I568" s="1097"/>
      <c r="J568" s="1097"/>
      <c r="K568" s="1097"/>
      <c r="L568" s="1097"/>
      <c r="M568" s="1097"/>
      <c r="N568" s="1097"/>
      <c r="O568" s="1097"/>
      <c r="P568" s="1097"/>
      <c r="Q568" s="1097"/>
      <c r="R568" s="1097"/>
      <c r="T568" s="87" t="s">
        <v>632</v>
      </c>
      <c r="U568" s="12" t="s">
        <v>510</v>
      </c>
      <c r="Z568" s="1097" t="str">
        <f>C548</f>
        <v>Vacaville Loan</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1781</v>
      </c>
      <c r="H569" s="1095"/>
      <c r="I569" s="1095"/>
      <c r="J569" s="1095"/>
      <c r="K569" s="1095"/>
      <c r="L569" s="1095"/>
      <c r="M569" s="1095"/>
      <c r="N569" s="1095"/>
      <c r="O569" s="1095"/>
      <c r="P569" s="1095"/>
      <c r="Q569" s="1095"/>
      <c r="R569" s="1095"/>
      <c r="T569" s="35"/>
      <c r="U569" s="12" t="s">
        <v>92</v>
      </c>
      <c r="Z569" s="1095" t="s">
        <v>1781</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6" t="s">
        <v>1649</v>
      </c>
      <c r="H570" s="1116"/>
      <c r="I570" s="1116"/>
      <c r="J570" s="1116"/>
      <c r="K570" s="1116"/>
      <c r="L570" s="1116"/>
      <c r="M570" s="1116"/>
      <c r="N570" s="1116"/>
      <c r="O570" s="1116"/>
      <c r="P570" s="1116"/>
      <c r="Q570" s="1116"/>
      <c r="R570" s="1116"/>
      <c r="T570" s="35"/>
      <c r="U570" s="12" t="s">
        <v>631</v>
      </c>
      <c r="Z570" s="1116" t="s">
        <v>1783</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1782</v>
      </c>
      <c r="H571" s="1116"/>
      <c r="I571" s="1116"/>
      <c r="J571" s="1116"/>
      <c r="K571" s="1116"/>
      <c r="L571" s="1116"/>
      <c r="M571" s="1116"/>
      <c r="N571" s="1116"/>
      <c r="O571" s="1116"/>
      <c r="P571" s="1116"/>
      <c r="Q571" s="1116"/>
      <c r="R571" s="1116"/>
      <c r="T571" s="35"/>
      <c r="U571" s="12" t="s">
        <v>19</v>
      </c>
      <c r="Z571" s="1116" t="s">
        <v>1782</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v>7074495658</v>
      </c>
      <c r="H572" s="1098"/>
      <c r="I572" s="1098"/>
      <c r="J572" s="1098"/>
      <c r="K572" s="1098"/>
      <c r="L572" s="1098"/>
      <c r="O572" s="140" t="s">
        <v>220</v>
      </c>
      <c r="P572" s="1099"/>
      <c r="Q572" s="1099"/>
      <c r="R572" s="1099"/>
      <c r="T572" s="35"/>
      <c r="U572" s="12" t="s">
        <v>338</v>
      </c>
      <c r="Z572" s="1098">
        <v>7074495658</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1797</v>
      </c>
      <c r="I573" s="1095"/>
      <c r="J573" s="1095"/>
      <c r="K573" s="1095"/>
      <c r="L573" s="1095"/>
      <c r="M573" s="1095"/>
      <c r="N573" s="1095"/>
      <c r="O573" s="1095"/>
      <c r="P573" s="1095"/>
      <c r="Q573" s="1095"/>
      <c r="R573" s="1095"/>
      <c r="T573" s="35"/>
      <c r="U573" s="12" t="s">
        <v>20</v>
      </c>
      <c r="AA573" s="1095" t="s">
        <v>1797</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Deferred Developer Fee</v>
      </c>
      <c r="H576" s="1097"/>
      <c r="I576" s="1097"/>
      <c r="J576" s="1097"/>
      <c r="K576" s="1097"/>
      <c r="L576" s="1097"/>
      <c r="M576" s="1097"/>
      <c r="N576" s="1097"/>
      <c r="O576" s="1097"/>
      <c r="P576" s="1097"/>
      <c r="Q576" s="1097"/>
      <c r="R576" s="1097"/>
      <c r="T576" s="87" t="s">
        <v>635</v>
      </c>
      <c r="U576" s="12" t="s">
        <v>510</v>
      </c>
      <c r="Z576" s="1097" t="str">
        <f>C550</f>
        <v>Costs Deferred to Conversion</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1659</v>
      </c>
      <c r="H577" s="1095"/>
      <c r="I577" s="1095"/>
      <c r="J577" s="1095"/>
      <c r="K577" s="1095"/>
      <c r="L577" s="1095"/>
      <c r="M577" s="1095"/>
      <c r="N577" s="1095"/>
      <c r="O577" s="1095"/>
      <c r="P577" s="1095"/>
      <c r="Q577" s="1095"/>
      <c r="R577" s="1095"/>
      <c r="T577" s="35"/>
      <c r="U577" s="12" t="s">
        <v>92</v>
      </c>
      <c r="Z577" s="1095" t="s">
        <v>1659</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t="s">
        <v>1660</v>
      </c>
      <c r="H578" s="1095"/>
      <c r="I578" s="1095"/>
      <c r="J578" s="1095"/>
      <c r="K578" s="1095"/>
      <c r="L578" s="1095"/>
      <c r="M578" s="1095"/>
      <c r="N578" s="1095"/>
      <c r="O578" s="1095"/>
      <c r="P578" s="1095"/>
      <c r="Q578" s="1095"/>
      <c r="R578" s="1095"/>
      <c r="T578" s="35"/>
      <c r="U578" s="12" t="s">
        <v>631</v>
      </c>
      <c r="Z578" s="1116" t="s">
        <v>1660</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1662</v>
      </c>
      <c r="H579" s="1095"/>
      <c r="I579" s="1095"/>
      <c r="J579" s="1095"/>
      <c r="K579" s="1095"/>
      <c r="L579" s="1095"/>
      <c r="M579" s="1095"/>
      <c r="N579" s="1095"/>
      <c r="O579" s="1095"/>
      <c r="P579" s="1095"/>
      <c r="Q579" s="1095"/>
      <c r="R579" s="1095"/>
      <c r="T579" s="35"/>
      <c r="U579" s="12" t="s">
        <v>19</v>
      </c>
      <c r="Z579" s="1116" t="s">
        <v>1662</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0" t="s">
        <v>1800</v>
      </c>
      <c r="H580" s="1098"/>
      <c r="I580" s="1098"/>
      <c r="J580" s="1098"/>
      <c r="K580" s="1098"/>
      <c r="L580" s="1098"/>
      <c r="O580" s="140" t="s">
        <v>220</v>
      </c>
      <c r="P580" s="1099"/>
      <c r="Q580" s="1099"/>
      <c r="R580" s="1099"/>
      <c r="T580" s="35"/>
      <c r="U580" s="12" t="s">
        <v>338</v>
      </c>
      <c r="Z580" s="1098">
        <v>7077622336</v>
      </c>
      <c r="AA580" s="1098"/>
      <c r="AB580" s="1098"/>
      <c r="AC580" s="1098"/>
      <c r="AD580" s="1098"/>
      <c r="AE580" s="1098"/>
      <c r="AH580" s="140" t="s">
        <v>220</v>
      </c>
      <c r="AI580" s="1099"/>
      <c r="AJ580" s="1099"/>
      <c r="AK580" s="1099"/>
    </row>
    <row r="581" spans="1:112" ht="12.75">
      <c r="A581" s="35"/>
      <c r="B581" s="12" t="s">
        <v>20</v>
      </c>
      <c r="H581" s="1095" t="s">
        <v>505</v>
      </c>
      <c r="I581" s="1095"/>
      <c r="J581" s="1095"/>
      <c r="K581" s="1095"/>
      <c r="L581" s="1095"/>
      <c r="M581" s="1095"/>
      <c r="N581" s="1095"/>
      <c r="O581" s="1095"/>
      <c r="P581" s="1095"/>
      <c r="Q581" s="1095"/>
      <c r="R581" s="1095"/>
      <c r="T581" s="35"/>
      <c r="U581" s="12" t="s">
        <v>20</v>
      </c>
      <c r="AA581" s="1095" t="s">
        <v>505</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t="str">
        <f>C551</f>
        <v>LP Equity</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t="s">
        <v>1703</v>
      </c>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c r="H588" s="1098"/>
      <c r="I588" s="1098"/>
      <c r="J588" s="1098"/>
      <c r="K588" s="1098"/>
      <c r="L588" s="1098"/>
      <c r="M588" s="12"/>
      <c r="N588" s="12"/>
      <c r="O588" s="140" t="s">
        <v>220</v>
      </c>
      <c r="P588" s="1099"/>
      <c r="Q588" s="1099"/>
      <c r="R588" s="1099"/>
      <c r="S588" s="12"/>
      <c r="T588" s="35"/>
      <c r="U588" s="12" t="s">
        <v>338</v>
      </c>
      <c r="V588" s="12"/>
      <c r="W588" s="12"/>
      <c r="X588" s="12"/>
      <c r="Y588" s="12"/>
      <c r="Z588" s="1098"/>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9"/>
      <c r="AU588" s="1131"/>
      <c r="AV588" s="193" t="s">
        <v>522</v>
      </c>
      <c r="AW588" s="194"/>
      <c r="AX588" s="1129"/>
      <c r="AY588" s="1131"/>
      <c r="AZ588" s="58"/>
      <c r="BA588" s="1212" t="s">
        <v>684</v>
      </c>
      <c r="BB588" s="1213"/>
      <c r="BC588" s="1213"/>
      <c r="BD588" s="1213"/>
      <c r="BE588" s="1214"/>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507</v>
      </c>
      <c r="BV588" s="1198"/>
      <c r="BW588" s="1198"/>
      <c r="BX588" s="1198"/>
      <c r="BY588" s="1198"/>
      <c r="BZ588" s="1198" t="s">
        <v>33</v>
      </c>
      <c r="CA588" s="1198"/>
      <c r="CB588" s="1198"/>
      <c r="CC588" s="1198"/>
      <c r="CD588" s="1198"/>
      <c r="CE588" s="1198" t="s">
        <v>684</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507</v>
      </c>
      <c r="CZ588" s="1198"/>
      <c r="DA588" s="1198"/>
      <c r="DB588" s="1198"/>
      <c r="DC588" s="1198"/>
      <c r="DD588" s="1198" t="s">
        <v>33</v>
      </c>
      <c r="DE588" s="1198"/>
      <c r="DF588" s="1198"/>
      <c r="DG588" s="1198"/>
      <c r="DH588" s="1198"/>
    </row>
    <row r="589" spans="1:112" s="7" customFormat="1" ht="12.75">
      <c r="A589" s="35"/>
      <c r="B589" s="12" t="s">
        <v>20</v>
      </c>
      <c r="C589" s="12"/>
      <c r="D589" s="12"/>
      <c r="E589" s="12"/>
      <c r="F589" s="12"/>
      <c r="G589" s="12"/>
      <c r="H589" s="1093" t="s">
        <v>1799</v>
      </c>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4">
        <f t="shared" ref="AR589:AR613" si="1">IF(AND(AD709&lt;=0.5,AD709&gt;=0.36),1,0)</f>
        <v>0</v>
      </c>
      <c r="AS589" s="1515"/>
      <c r="AT589" s="1129">
        <f t="shared" ref="AT589:AT613" si="2">IF(AR589=1,G709,0)</f>
        <v>0</v>
      </c>
      <c r="AU589" s="1131"/>
      <c r="AV589" s="1514">
        <f t="shared" ref="AV589:AV613" si="3">IF(AND(AD709&lt;=0.35,AD709&gt;0),1,0)</f>
        <v>1</v>
      </c>
      <c r="AW589" s="1515"/>
      <c r="AX589" s="1129">
        <f t="shared" ref="AX589:AX613" si="4">IF(AV589=1,G709,0)</f>
        <v>29</v>
      </c>
      <c r="AY589" s="1131"/>
      <c r="AZ589" s="58"/>
      <c r="BA589" s="1129">
        <f t="shared" ref="BA589:BA613" si="5">IF(B709="SRO/Studio",G709,0)</f>
        <v>0</v>
      </c>
      <c r="BB589" s="1130"/>
      <c r="BC589" s="1130"/>
      <c r="BD589" s="1130"/>
      <c r="BE589" s="1131"/>
      <c r="BF589" s="1195">
        <f t="shared" ref="BF589:BF613" si="6">IF(B709="1 Bedroom",G709,0)</f>
        <v>29</v>
      </c>
      <c r="BG589" s="1195"/>
      <c r="BH589" s="1195"/>
      <c r="BI589" s="1195"/>
      <c r="BJ589" s="1195"/>
      <c r="BK589" s="1195">
        <f t="shared" ref="BK589:BK613" si="7">IF(B709="2 Bedrooms",G709,0)</f>
        <v>0</v>
      </c>
      <c r="BL589" s="1195"/>
      <c r="BM589" s="1195"/>
      <c r="BN589" s="1195"/>
      <c r="BO589" s="1195"/>
      <c r="BP589" s="1195">
        <f t="shared" ref="BP589:BP613" si="8">IF(B709="3 Bedrooms",G709,0)</f>
        <v>0</v>
      </c>
      <c r="BQ589" s="1195"/>
      <c r="BR589" s="1195"/>
      <c r="BS589" s="1195"/>
      <c r="BT589" s="1195"/>
      <c r="BU589" s="1195">
        <f t="shared" ref="BU589:BU613" si="9">IF(B709="4 Bedrooms",G709,0)</f>
        <v>0</v>
      </c>
      <c r="BV589" s="1195"/>
      <c r="BW589" s="1195"/>
      <c r="BX589" s="1195"/>
      <c r="BY589" s="1195"/>
      <c r="BZ589" s="1195">
        <f t="shared" ref="BZ589:BZ613" si="10">IF(B709="5 Bedrooms",G709,0)</f>
        <v>0</v>
      </c>
      <c r="CA589" s="1195"/>
      <c r="CB589" s="1195"/>
      <c r="CC589" s="1195"/>
      <c r="CD589" s="1195"/>
      <c r="CE589" s="1203">
        <f t="shared" ref="CE589:CE613" si="11">IF(AND(B709="SRO/Studio",AD709&lt;=0.3),G709,0)</f>
        <v>0</v>
      </c>
      <c r="CF589" s="1203"/>
      <c r="CG589" s="1203"/>
      <c r="CH589" s="1203"/>
      <c r="CI589" s="1203"/>
      <c r="CJ589" s="1203">
        <f t="shared" ref="CJ589:CJ613" si="12">IF(AND(B709="1 Bedroom",AD709&lt;=0.3),G709,0)</f>
        <v>29</v>
      </c>
      <c r="CK589" s="1203"/>
      <c r="CL589" s="1203"/>
      <c r="CM589" s="1203"/>
      <c r="CN589" s="1203"/>
      <c r="CO589" s="1203">
        <f t="shared" ref="CO589:CO613" si="13">IF(AND(B709="2 Bedrooms",AD709&lt;=0.3),G709,0)</f>
        <v>0</v>
      </c>
      <c r="CP589" s="1203"/>
      <c r="CQ589" s="1203"/>
      <c r="CR589" s="1203"/>
      <c r="CS589" s="1203"/>
      <c r="CT589" s="1203">
        <f t="shared" ref="CT589:CT613" si="14">IF(AND(B709="3 Bedrooms",AD709&lt;=0.3),G709,0)</f>
        <v>0</v>
      </c>
      <c r="CU589" s="1203"/>
      <c r="CV589" s="1203"/>
      <c r="CW589" s="1203"/>
      <c r="CX589" s="1203"/>
      <c r="CY589" s="1203">
        <f t="shared" ref="CY589:CY613" si="15">IF(AND(B709="4 Bedrooms",AD709&lt;=0.3),G709,0)</f>
        <v>0</v>
      </c>
      <c r="CZ589" s="1203"/>
      <c r="DA589" s="1203"/>
      <c r="DB589" s="1203"/>
      <c r="DC589" s="1203"/>
      <c r="DD589" s="1203">
        <f t="shared" ref="DD589:DD613" si="16">IF(AND(B709="5 Bedrooms",AD709&lt;=0.3),G709,0)</f>
        <v>0</v>
      </c>
      <c r="DE589" s="1203"/>
      <c r="DF589" s="1203"/>
      <c r="DG589" s="1203"/>
      <c r="DH589" s="1203"/>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4">
        <f t="shared" si="1"/>
        <v>1</v>
      </c>
      <c r="AS590" s="1515"/>
      <c r="AT590" s="1129">
        <f t="shared" si="2"/>
        <v>30</v>
      </c>
      <c r="AU590" s="1131"/>
      <c r="AV590" s="1514">
        <f t="shared" si="3"/>
        <v>0</v>
      </c>
      <c r="AW590" s="1515"/>
      <c r="AX590" s="1129">
        <f t="shared" si="4"/>
        <v>0</v>
      </c>
      <c r="AY590" s="1131"/>
      <c r="AZ590" s="58"/>
      <c r="BA590" s="1129">
        <f t="shared" si="5"/>
        <v>0</v>
      </c>
      <c r="BB590" s="1130"/>
      <c r="BC590" s="1130"/>
      <c r="BD590" s="1130"/>
      <c r="BE590" s="1131"/>
      <c r="BF590" s="1195">
        <f t="shared" si="6"/>
        <v>30</v>
      </c>
      <c r="BG590" s="1195"/>
      <c r="BH590" s="1195"/>
      <c r="BI590" s="1195"/>
      <c r="BJ590" s="1195"/>
      <c r="BK590" s="1195">
        <f t="shared" si="7"/>
        <v>0</v>
      </c>
      <c r="BL590" s="1195"/>
      <c r="BM590" s="1195"/>
      <c r="BN590" s="1195"/>
      <c r="BO590" s="1195"/>
      <c r="BP590" s="1195">
        <f t="shared" si="8"/>
        <v>0</v>
      </c>
      <c r="BQ590" s="1195"/>
      <c r="BR590" s="1195"/>
      <c r="BS590" s="1195"/>
      <c r="BT590" s="1195"/>
      <c r="BU590" s="1195">
        <f t="shared" si="9"/>
        <v>0</v>
      </c>
      <c r="BV590" s="1195"/>
      <c r="BW590" s="1195"/>
      <c r="BX590" s="1195"/>
      <c r="BY590" s="1195"/>
      <c r="BZ590" s="1195">
        <f t="shared" si="10"/>
        <v>0</v>
      </c>
      <c r="CA590" s="1195"/>
      <c r="CB590" s="1195"/>
      <c r="CC590" s="1195"/>
      <c r="CD590" s="1195"/>
      <c r="CE590" s="1203">
        <f t="shared" si="11"/>
        <v>0</v>
      </c>
      <c r="CF590" s="1203"/>
      <c r="CG590" s="1203"/>
      <c r="CH590" s="1203"/>
      <c r="CI590" s="1203"/>
      <c r="CJ590" s="1203">
        <f t="shared" si="12"/>
        <v>0</v>
      </c>
      <c r="CK590" s="1203"/>
      <c r="CL590" s="1203"/>
      <c r="CM590" s="1203"/>
      <c r="CN590" s="1203"/>
      <c r="CO590" s="1203">
        <f t="shared" si="13"/>
        <v>0</v>
      </c>
      <c r="CP590" s="1203"/>
      <c r="CQ590" s="1203"/>
      <c r="CR590" s="1203"/>
      <c r="CS590" s="1203"/>
      <c r="CT590" s="1203">
        <f t="shared" si="14"/>
        <v>0</v>
      </c>
      <c r="CU590" s="1203"/>
      <c r="CV590" s="1203"/>
      <c r="CW590" s="1203"/>
      <c r="CX590" s="1203"/>
      <c r="CY590" s="1203">
        <f t="shared" si="15"/>
        <v>0</v>
      </c>
      <c r="CZ590" s="1203"/>
      <c r="DA590" s="1203"/>
      <c r="DB590" s="1203"/>
      <c r="DC590" s="1203"/>
      <c r="DD590" s="1203">
        <f t="shared" si="16"/>
        <v>0</v>
      </c>
      <c r="DE590" s="1203"/>
      <c r="DF590" s="1203"/>
      <c r="DG590" s="1203"/>
      <c r="DH590" s="1203"/>
    </row>
    <row r="591" spans="1:112" ht="12.75">
      <c r="A591" s="35"/>
      <c r="T591" s="35"/>
      <c r="AM591" s="7" t="s">
        <v>171</v>
      </c>
      <c r="AN591" s="58"/>
      <c r="AO591" s="58"/>
      <c r="AP591" s="58"/>
      <c r="AQ591" s="58"/>
      <c r="AR591" s="1514">
        <f t="shared" si="1"/>
        <v>0</v>
      </c>
      <c r="AS591" s="1515"/>
      <c r="AT591" s="1129">
        <f t="shared" si="2"/>
        <v>0</v>
      </c>
      <c r="AU591" s="1131"/>
      <c r="AV591" s="1514">
        <f t="shared" si="3"/>
        <v>0</v>
      </c>
      <c r="AW591" s="1515"/>
      <c r="AX591" s="1129">
        <f t="shared" si="4"/>
        <v>0</v>
      </c>
      <c r="AY591" s="1131"/>
      <c r="AZ591" s="58"/>
      <c r="BA591" s="1129">
        <f t="shared" si="5"/>
        <v>0</v>
      </c>
      <c r="BB591" s="1130"/>
      <c r="BC591" s="1130"/>
      <c r="BD591" s="1130"/>
      <c r="BE591" s="1131"/>
      <c r="BF591" s="1195">
        <f t="shared" si="6"/>
        <v>0</v>
      </c>
      <c r="BG591" s="1195"/>
      <c r="BH591" s="1195"/>
      <c r="BI591" s="1195"/>
      <c r="BJ591" s="1195"/>
      <c r="BK591" s="1195">
        <f t="shared" si="7"/>
        <v>0</v>
      </c>
      <c r="BL591" s="1195"/>
      <c r="BM591" s="1195"/>
      <c r="BN591" s="1195"/>
      <c r="BO591" s="1195"/>
      <c r="BP591" s="1195">
        <f t="shared" si="8"/>
        <v>0</v>
      </c>
      <c r="BQ591" s="1195"/>
      <c r="BR591" s="1195"/>
      <c r="BS591" s="1195"/>
      <c r="BT591" s="1195"/>
      <c r="BU591" s="1195">
        <f t="shared" si="9"/>
        <v>0</v>
      </c>
      <c r="BV591" s="1195"/>
      <c r="BW591" s="1195"/>
      <c r="BX591" s="1195"/>
      <c r="BY591" s="1195"/>
      <c r="BZ591" s="1195">
        <f t="shared" si="10"/>
        <v>0</v>
      </c>
      <c r="CA591" s="1195"/>
      <c r="CB591" s="1195"/>
      <c r="CC591" s="1195"/>
      <c r="CD591" s="1195"/>
      <c r="CE591" s="1203">
        <f t="shared" si="11"/>
        <v>0</v>
      </c>
      <c r="CF591" s="1203"/>
      <c r="CG591" s="1203"/>
      <c r="CH591" s="1203"/>
      <c r="CI591" s="1203"/>
      <c r="CJ591" s="1203">
        <f t="shared" si="12"/>
        <v>0</v>
      </c>
      <c r="CK591" s="1203"/>
      <c r="CL591" s="1203"/>
      <c r="CM591" s="1203"/>
      <c r="CN591" s="1203"/>
      <c r="CO591" s="1203">
        <f t="shared" si="13"/>
        <v>0</v>
      </c>
      <c r="CP591" s="1203"/>
      <c r="CQ591" s="1203"/>
      <c r="CR591" s="1203"/>
      <c r="CS591" s="1203"/>
      <c r="CT591" s="1203">
        <f t="shared" si="14"/>
        <v>0</v>
      </c>
      <c r="CU591" s="1203"/>
      <c r="CV591" s="1203"/>
      <c r="CW591" s="1203"/>
      <c r="CX591" s="1203"/>
      <c r="CY591" s="1203">
        <f t="shared" si="15"/>
        <v>0</v>
      </c>
      <c r="CZ591" s="1203"/>
      <c r="DA591" s="1203"/>
      <c r="DB591" s="1203"/>
      <c r="DC591" s="1203"/>
      <c r="DD591" s="1203">
        <f t="shared" si="16"/>
        <v>0</v>
      </c>
      <c r="DE591" s="1203"/>
      <c r="DF591" s="1203"/>
      <c r="DG591" s="1203"/>
      <c r="DH591" s="1203"/>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4">
        <f t="shared" si="1"/>
        <v>0</v>
      </c>
      <c r="AS592" s="1515"/>
      <c r="AT592" s="1129">
        <f t="shared" si="2"/>
        <v>0</v>
      </c>
      <c r="AU592" s="1131"/>
      <c r="AV592" s="1514">
        <f t="shared" si="3"/>
        <v>0</v>
      </c>
      <c r="AW592" s="1515"/>
      <c r="AX592" s="1129">
        <f t="shared" si="4"/>
        <v>0</v>
      </c>
      <c r="AY592" s="1131"/>
      <c r="AZ592" s="58"/>
      <c r="BA592" s="1129">
        <f t="shared" si="5"/>
        <v>0</v>
      </c>
      <c r="BB592" s="1130"/>
      <c r="BC592" s="1130"/>
      <c r="BD592" s="1130"/>
      <c r="BE592" s="1131"/>
      <c r="BF592" s="1195">
        <f t="shared" si="6"/>
        <v>0</v>
      </c>
      <c r="BG592" s="1195"/>
      <c r="BH592" s="1195"/>
      <c r="BI592" s="1195"/>
      <c r="BJ592" s="1195"/>
      <c r="BK592" s="1195">
        <f t="shared" si="7"/>
        <v>0</v>
      </c>
      <c r="BL592" s="1195"/>
      <c r="BM592" s="1195"/>
      <c r="BN592" s="1195"/>
      <c r="BO592" s="1195"/>
      <c r="BP592" s="1195">
        <f t="shared" si="8"/>
        <v>0</v>
      </c>
      <c r="BQ592" s="1195"/>
      <c r="BR592" s="1195"/>
      <c r="BS592" s="1195"/>
      <c r="BT592" s="1195"/>
      <c r="BU592" s="1195">
        <f t="shared" si="9"/>
        <v>0</v>
      </c>
      <c r="BV592" s="1195"/>
      <c r="BW592" s="1195"/>
      <c r="BX592" s="1195"/>
      <c r="BY592" s="1195"/>
      <c r="BZ592" s="1195">
        <f t="shared" si="10"/>
        <v>0</v>
      </c>
      <c r="CA592" s="1195"/>
      <c r="CB592" s="1195"/>
      <c r="CC592" s="1195"/>
      <c r="CD592" s="1195"/>
      <c r="CE592" s="1203">
        <f t="shared" si="11"/>
        <v>0</v>
      </c>
      <c r="CF592" s="1203"/>
      <c r="CG592" s="1203"/>
      <c r="CH592" s="1203"/>
      <c r="CI592" s="1203"/>
      <c r="CJ592" s="1203">
        <f t="shared" si="12"/>
        <v>0</v>
      </c>
      <c r="CK592" s="1203"/>
      <c r="CL592" s="1203"/>
      <c r="CM592" s="1203"/>
      <c r="CN592" s="1203"/>
      <c r="CO592" s="1203">
        <f t="shared" si="13"/>
        <v>0</v>
      </c>
      <c r="CP592" s="1203"/>
      <c r="CQ592" s="1203"/>
      <c r="CR592" s="1203"/>
      <c r="CS592" s="1203"/>
      <c r="CT592" s="1203">
        <f t="shared" si="14"/>
        <v>0</v>
      </c>
      <c r="CU592" s="1203"/>
      <c r="CV592" s="1203"/>
      <c r="CW592" s="1203"/>
      <c r="CX592" s="1203"/>
      <c r="CY592" s="1203">
        <f t="shared" si="15"/>
        <v>0</v>
      </c>
      <c r="CZ592" s="1203"/>
      <c r="DA592" s="1203"/>
      <c r="DB592" s="1203"/>
      <c r="DC592" s="1203"/>
      <c r="DD592" s="1203">
        <f t="shared" si="16"/>
        <v>0</v>
      </c>
      <c r="DE592" s="1203"/>
      <c r="DF592" s="1203"/>
      <c r="DG592" s="1203"/>
      <c r="DH592" s="120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4">
        <f t="shared" si="1"/>
        <v>0</v>
      </c>
      <c r="AS593" s="1515"/>
      <c r="AT593" s="1129">
        <f t="shared" si="2"/>
        <v>0</v>
      </c>
      <c r="AU593" s="1131"/>
      <c r="AV593" s="1514">
        <f t="shared" si="3"/>
        <v>0</v>
      </c>
      <c r="AW593" s="1515"/>
      <c r="AX593" s="1129">
        <f t="shared" si="4"/>
        <v>0</v>
      </c>
      <c r="AY593" s="1131"/>
      <c r="AZ593" s="58"/>
      <c r="BA593" s="1129">
        <f t="shared" si="5"/>
        <v>0</v>
      </c>
      <c r="BB593" s="1130"/>
      <c r="BC593" s="1130"/>
      <c r="BD593" s="1130"/>
      <c r="BE593" s="1131"/>
      <c r="BF593" s="1195">
        <f t="shared" si="6"/>
        <v>0</v>
      </c>
      <c r="BG593" s="1195"/>
      <c r="BH593" s="1195"/>
      <c r="BI593" s="1195"/>
      <c r="BJ593" s="1195"/>
      <c r="BK593" s="1195">
        <f t="shared" si="7"/>
        <v>0</v>
      </c>
      <c r="BL593" s="1195"/>
      <c r="BM593" s="1195"/>
      <c r="BN593" s="1195"/>
      <c r="BO593" s="1195"/>
      <c r="BP593" s="1195">
        <f t="shared" si="8"/>
        <v>0</v>
      </c>
      <c r="BQ593" s="1195"/>
      <c r="BR593" s="1195"/>
      <c r="BS593" s="1195"/>
      <c r="BT593" s="1195"/>
      <c r="BU593" s="1195">
        <f t="shared" si="9"/>
        <v>0</v>
      </c>
      <c r="BV593" s="1195"/>
      <c r="BW593" s="1195"/>
      <c r="BX593" s="1195"/>
      <c r="BY593" s="1195"/>
      <c r="BZ593" s="1195">
        <f t="shared" si="10"/>
        <v>0</v>
      </c>
      <c r="CA593" s="1195"/>
      <c r="CB593" s="1195"/>
      <c r="CC593" s="1195"/>
      <c r="CD593" s="1195"/>
      <c r="CE593" s="1203">
        <f t="shared" si="11"/>
        <v>0</v>
      </c>
      <c r="CF593" s="1203"/>
      <c r="CG593" s="1203"/>
      <c r="CH593" s="1203"/>
      <c r="CI593" s="1203"/>
      <c r="CJ593" s="1203">
        <f t="shared" si="12"/>
        <v>0</v>
      </c>
      <c r="CK593" s="1203"/>
      <c r="CL593" s="1203"/>
      <c r="CM593" s="1203"/>
      <c r="CN593" s="1203"/>
      <c r="CO593" s="1203">
        <f t="shared" si="13"/>
        <v>0</v>
      </c>
      <c r="CP593" s="1203"/>
      <c r="CQ593" s="1203"/>
      <c r="CR593" s="1203"/>
      <c r="CS593" s="1203"/>
      <c r="CT593" s="1203">
        <f t="shared" si="14"/>
        <v>0</v>
      </c>
      <c r="CU593" s="1203"/>
      <c r="CV593" s="1203"/>
      <c r="CW593" s="1203"/>
      <c r="CX593" s="1203"/>
      <c r="CY593" s="1203">
        <f t="shared" si="15"/>
        <v>0</v>
      </c>
      <c r="CZ593" s="1203"/>
      <c r="DA593" s="1203"/>
      <c r="DB593" s="1203"/>
      <c r="DC593" s="1203"/>
      <c r="DD593" s="1203">
        <f t="shared" si="16"/>
        <v>0</v>
      </c>
      <c r="DE593" s="1203"/>
      <c r="DF593" s="1203"/>
      <c r="DG593" s="1203"/>
      <c r="DH593" s="1203"/>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6"/>
      <c r="AA594" s="1116"/>
      <c r="AB594" s="1116"/>
      <c r="AC594" s="1116"/>
      <c r="AD594" s="1116"/>
      <c r="AE594" s="1116"/>
      <c r="AF594" s="1116"/>
      <c r="AG594" s="1116"/>
      <c r="AH594" s="1116"/>
      <c r="AI594" s="1116"/>
      <c r="AJ594" s="1116"/>
      <c r="AK594" s="1116"/>
      <c r="AM594" s="58"/>
      <c r="AN594" s="58"/>
      <c r="AO594" s="58"/>
      <c r="AP594" s="58"/>
      <c r="AQ594" s="58"/>
      <c r="AR594" s="1514">
        <f t="shared" si="1"/>
        <v>0</v>
      </c>
      <c r="AS594" s="1515"/>
      <c r="AT594" s="1129">
        <f t="shared" si="2"/>
        <v>0</v>
      </c>
      <c r="AU594" s="1131"/>
      <c r="AV594" s="1514">
        <f t="shared" si="3"/>
        <v>0</v>
      </c>
      <c r="AW594" s="1515"/>
      <c r="AX594" s="1129">
        <f t="shared" si="4"/>
        <v>0</v>
      </c>
      <c r="AY594" s="1131"/>
      <c r="AZ594" s="58"/>
      <c r="BA594" s="1129">
        <f t="shared" si="5"/>
        <v>0</v>
      </c>
      <c r="BB594" s="1130"/>
      <c r="BC594" s="1130"/>
      <c r="BD594" s="1130"/>
      <c r="BE594" s="1131"/>
      <c r="BF594" s="1195">
        <f t="shared" si="6"/>
        <v>0</v>
      </c>
      <c r="BG594" s="1195"/>
      <c r="BH594" s="1195"/>
      <c r="BI594" s="1195"/>
      <c r="BJ594" s="1195"/>
      <c r="BK594" s="1195">
        <f t="shared" si="7"/>
        <v>0</v>
      </c>
      <c r="BL594" s="1195"/>
      <c r="BM594" s="1195"/>
      <c r="BN594" s="1195"/>
      <c r="BO594" s="1195"/>
      <c r="BP594" s="1195">
        <f t="shared" si="8"/>
        <v>0</v>
      </c>
      <c r="BQ594" s="1195"/>
      <c r="BR594" s="1195"/>
      <c r="BS594" s="1195"/>
      <c r="BT594" s="1195"/>
      <c r="BU594" s="1195">
        <f t="shared" si="9"/>
        <v>0</v>
      </c>
      <c r="BV594" s="1195"/>
      <c r="BW594" s="1195"/>
      <c r="BX594" s="1195"/>
      <c r="BY594" s="1195"/>
      <c r="BZ594" s="1195">
        <f t="shared" si="10"/>
        <v>0</v>
      </c>
      <c r="CA594" s="1195"/>
      <c r="CB594" s="1195"/>
      <c r="CC594" s="1195"/>
      <c r="CD594" s="1195"/>
      <c r="CE594" s="1203">
        <f t="shared" si="11"/>
        <v>0</v>
      </c>
      <c r="CF594" s="1203"/>
      <c r="CG594" s="1203"/>
      <c r="CH594" s="1203"/>
      <c r="CI594" s="1203"/>
      <c r="CJ594" s="1203">
        <f t="shared" si="12"/>
        <v>0</v>
      </c>
      <c r="CK594" s="1203"/>
      <c r="CL594" s="1203"/>
      <c r="CM594" s="1203"/>
      <c r="CN594" s="1203"/>
      <c r="CO594" s="1203">
        <f t="shared" si="13"/>
        <v>0</v>
      </c>
      <c r="CP594" s="1203"/>
      <c r="CQ594" s="1203"/>
      <c r="CR594" s="1203"/>
      <c r="CS594" s="1203"/>
      <c r="CT594" s="1203">
        <f t="shared" si="14"/>
        <v>0</v>
      </c>
      <c r="CU594" s="1203"/>
      <c r="CV594" s="1203"/>
      <c r="CW594" s="1203"/>
      <c r="CX594" s="1203"/>
      <c r="CY594" s="1203">
        <f t="shared" si="15"/>
        <v>0</v>
      </c>
      <c r="CZ594" s="1203"/>
      <c r="DA594" s="1203"/>
      <c r="DB594" s="1203"/>
      <c r="DC594" s="1203"/>
      <c r="DD594" s="1203">
        <f t="shared" si="16"/>
        <v>0</v>
      </c>
      <c r="DE594" s="1203"/>
      <c r="DF594" s="1203"/>
      <c r="DG594" s="1203"/>
      <c r="DH594" s="1203"/>
    </row>
    <row r="595" spans="1:112" ht="12.75">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4">
        <f t="shared" si="1"/>
        <v>0</v>
      </c>
      <c r="AS595" s="1515"/>
      <c r="AT595" s="1129">
        <f t="shared" si="2"/>
        <v>0</v>
      </c>
      <c r="AU595" s="1131"/>
      <c r="AV595" s="1514">
        <f t="shared" si="3"/>
        <v>0</v>
      </c>
      <c r="AW595" s="1515"/>
      <c r="AX595" s="1129">
        <f t="shared" si="4"/>
        <v>0</v>
      </c>
      <c r="AY595" s="1131"/>
      <c r="AZ595" s="58"/>
      <c r="BA595" s="1129">
        <f t="shared" si="5"/>
        <v>0</v>
      </c>
      <c r="BB595" s="1130"/>
      <c r="BC595" s="1130"/>
      <c r="BD595" s="1130"/>
      <c r="BE595" s="1131"/>
      <c r="BF595" s="1195">
        <f t="shared" si="6"/>
        <v>0</v>
      </c>
      <c r="BG595" s="1195"/>
      <c r="BH595" s="1195"/>
      <c r="BI595" s="1195"/>
      <c r="BJ595" s="1195"/>
      <c r="BK595" s="1195">
        <f t="shared" si="7"/>
        <v>0</v>
      </c>
      <c r="BL595" s="1195"/>
      <c r="BM595" s="1195"/>
      <c r="BN595" s="1195"/>
      <c r="BO595" s="1195"/>
      <c r="BP595" s="1195">
        <f t="shared" si="8"/>
        <v>0</v>
      </c>
      <c r="BQ595" s="1195"/>
      <c r="BR595" s="1195"/>
      <c r="BS595" s="1195"/>
      <c r="BT595" s="1195"/>
      <c r="BU595" s="1195">
        <f t="shared" si="9"/>
        <v>0</v>
      </c>
      <c r="BV595" s="1195"/>
      <c r="BW595" s="1195"/>
      <c r="BX595" s="1195"/>
      <c r="BY595" s="1195"/>
      <c r="BZ595" s="1195">
        <f t="shared" si="10"/>
        <v>0</v>
      </c>
      <c r="CA595" s="1195"/>
      <c r="CB595" s="1195"/>
      <c r="CC595" s="1195"/>
      <c r="CD595" s="1195"/>
      <c r="CE595" s="1203">
        <f t="shared" si="11"/>
        <v>0</v>
      </c>
      <c r="CF595" s="1203"/>
      <c r="CG595" s="1203"/>
      <c r="CH595" s="1203"/>
      <c r="CI595" s="1203"/>
      <c r="CJ595" s="1203">
        <f t="shared" si="12"/>
        <v>0</v>
      </c>
      <c r="CK595" s="1203"/>
      <c r="CL595" s="1203"/>
      <c r="CM595" s="1203"/>
      <c r="CN595" s="1203"/>
      <c r="CO595" s="1203">
        <f t="shared" si="13"/>
        <v>0</v>
      </c>
      <c r="CP595" s="1203"/>
      <c r="CQ595" s="1203"/>
      <c r="CR595" s="1203"/>
      <c r="CS595" s="1203"/>
      <c r="CT595" s="1203">
        <f t="shared" si="14"/>
        <v>0</v>
      </c>
      <c r="CU595" s="1203"/>
      <c r="CV595" s="1203"/>
      <c r="CW595" s="1203"/>
      <c r="CX595" s="1203"/>
      <c r="CY595" s="1203">
        <f t="shared" si="15"/>
        <v>0</v>
      </c>
      <c r="CZ595" s="1203"/>
      <c r="DA595" s="1203"/>
      <c r="DB595" s="1203"/>
      <c r="DC595" s="1203"/>
      <c r="DD595" s="1203">
        <f t="shared" si="16"/>
        <v>0</v>
      </c>
      <c r="DE595" s="1203"/>
      <c r="DF595" s="1203"/>
      <c r="DG595" s="1203"/>
      <c r="DH595" s="1203"/>
    </row>
    <row r="596" spans="1:112" ht="12.75">
      <c r="A596" s="35"/>
      <c r="B596" s="12" t="s">
        <v>338</v>
      </c>
      <c r="G596" s="1098"/>
      <c r="H596" s="1098"/>
      <c r="I596" s="1098"/>
      <c r="J596" s="1098"/>
      <c r="K596" s="1098"/>
      <c r="L596" s="1098"/>
      <c r="O596" s="140" t="s">
        <v>220</v>
      </c>
      <c r="P596" s="1099"/>
      <c r="Q596" s="1099"/>
      <c r="R596" s="1099"/>
      <c r="T596" s="35"/>
      <c r="U596" s="12" t="s">
        <v>338</v>
      </c>
      <c r="Z596" s="1098"/>
      <c r="AA596" s="1098"/>
      <c r="AB596" s="1098"/>
      <c r="AC596" s="1098"/>
      <c r="AD596" s="1098"/>
      <c r="AE596" s="1098"/>
      <c r="AH596" s="140" t="s">
        <v>220</v>
      </c>
      <c r="AI596" s="1099"/>
      <c r="AJ596" s="1099"/>
      <c r="AK596" s="1099"/>
      <c r="AM596" s="58"/>
      <c r="AN596" s="58"/>
      <c r="AO596" s="58"/>
      <c r="AP596" s="58"/>
      <c r="AQ596" s="58"/>
      <c r="AR596" s="1514">
        <f t="shared" si="1"/>
        <v>0</v>
      </c>
      <c r="AS596" s="1515"/>
      <c r="AT596" s="1129">
        <f t="shared" si="2"/>
        <v>0</v>
      </c>
      <c r="AU596" s="1131"/>
      <c r="AV596" s="1514">
        <f t="shared" si="3"/>
        <v>0</v>
      </c>
      <c r="AW596" s="1515"/>
      <c r="AX596" s="1129">
        <f t="shared" si="4"/>
        <v>0</v>
      </c>
      <c r="AY596" s="1131"/>
      <c r="AZ596" s="58"/>
      <c r="BA596" s="1129">
        <f t="shared" si="5"/>
        <v>0</v>
      </c>
      <c r="BB596" s="1130"/>
      <c r="BC596" s="1130"/>
      <c r="BD596" s="1130"/>
      <c r="BE596" s="1131"/>
      <c r="BF596" s="1195">
        <f t="shared" si="6"/>
        <v>0</v>
      </c>
      <c r="BG596" s="1195"/>
      <c r="BH596" s="1195"/>
      <c r="BI596" s="1195"/>
      <c r="BJ596" s="1195"/>
      <c r="BK596" s="1195">
        <f t="shared" si="7"/>
        <v>0</v>
      </c>
      <c r="BL596" s="1195"/>
      <c r="BM596" s="1195"/>
      <c r="BN596" s="1195"/>
      <c r="BO596" s="1195"/>
      <c r="BP596" s="1195">
        <f t="shared" si="8"/>
        <v>0</v>
      </c>
      <c r="BQ596" s="1195"/>
      <c r="BR596" s="1195"/>
      <c r="BS596" s="1195"/>
      <c r="BT596" s="1195"/>
      <c r="BU596" s="1195">
        <f t="shared" si="9"/>
        <v>0</v>
      </c>
      <c r="BV596" s="1195"/>
      <c r="BW596" s="1195"/>
      <c r="BX596" s="1195"/>
      <c r="BY596" s="1195"/>
      <c r="BZ596" s="1195">
        <f t="shared" si="10"/>
        <v>0</v>
      </c>
      <c r="CA596" s="1195"/>
      <c r="CB596" s="1195"/>
      <c r="CC596" s="1195"/>
      <c r="CD596" s="1195"/>
      <c r="CE596" s="1203">
        <f t="shared" si="11"/>
        <v>0</v>
      </c>
      <c r="CF596" s="1203"/>
      <c r="CG596" s="1203"/>
      <c r="CH596" s="1203"/>
      <c r="CI596" s="1203"/>
      <c r="CJ596" s="1203">
        <f t="shared" si="12"/>
        <v>0</v>
      </c>
      <c r="CK596" s="1203"/>
      <c r="CL596" s="1203"/>
      <c r="CM596" s="1203"/>
      <c r="CN596" s="1203"/>
      <c r="CO596" s="1203">
        <f t="shared" si="13"/>
        <v>0</v>
      </c>
      <c r="CP596" s="1203"/>
      <c r="CQ596" s="1203"/>
      <c r="CR596" s="1203"/>
      <c r="CS596" s="1203"/>
      <c r="CT596" s="1203">
        <f t="shared" si="14"/>
        <v>0</v>
      </c>
      <c r="CU596" s="1203"/>
      <c r="CV596" s="1203"/>
      <c r="CW596" s="1203"/>
      <c r="CX596" s="1203"/>
      <c r="CY596" s="1203">
        <f t="shared" si="15"/>
        <v>0</v>
      </c>
      <c r="CZ596" s="1203"/>
      <c r="DA596" s="1203"/>
      <c r="DB596" s="1203"/>
      <c r="DC596" s="1203"/>
      <c r="DD596" s="1203">
        <f t="shared" si="16"/>
        <v>0</v>
      </c>
      <c r="DE596" s="1203"/>
      <c r="DF596" s="1203"/>
      <c r="DG596" s="1203"/>
      <c r="DH596" s="120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4">
        <f t="shared" si="1"/>
        <v>0</v>
      </c>
      <c r="AS597" s="1515"/>
      <c r="AT597" s="1129">
        <f t="shared" si="2"/>
        <v>0</v>
      </c>
      <c r="AU597" s="1131"/>
      <c r="AV597" s="1514">
        <f t="shared" si="3"/>
        <v>0</v>
      </c>
      <c r="AW597" s="1515"/>
      <c r="AX597" s="1129">
        <f t="shared" si="4"/>
        <v>0</v>
      </c>
      <c r="AY597" s="1131"/>
      <c r="AZ597" s="58"/>
      <c r="BA597" s="1129">
        <f t="shared" si="5"/>
        <v>0</v>
      </c>
      <c r="BB597" s="1130"/>
      <c r="BC597" s="1130"/>
      <c r="BD597" s="1130"/>
      <c r="BE597" s="1131"/>
      <c r="BF597" s="1195">
        <f t="shared" si="6"/>
        <v>0</v>
      </c>
      <c r="BG597" s="1195"/>
      <c r="BH597" s="1195"/>
      <c r="BI597" s="1195"/>
      <c r="BJ597" s="1195"/>
      <c r="BK597" s="1195">
        <f t="shared" si="7"/>
        <v>0</v>
      </c>
      <c r="BL597" s="1195"/>
      <c r="BM597" s="1195"/>
      <c r="BN597" s="1195"/>
      <c r="BO597" s="1195"/>
      <c r="BP597" s="1195">
        <f t="shared" si="8"/>
        <v>0</v>
      </c>
      <c r="BQ597" s="1195"/>
      <c r="BR597" s="1195"/>
      <c r="BS597" s="1195"/>
      <c r="BT597" s="1195"/>
      <c r="BU597" s="1195">
        <f t="shared" si="9"/>
        <v>0</v>
      </c>
      <c r="BV597" s="1195"/>
      <c r="BW597" s="1195"/>
      <c r="BX597" s="1195"/>
      <c r="BY597" s="1195"/>
      <c r="BZ597" s="1195">
        <f t="shared" si="10"/>
        <v>0</v>
      </c>
      <c r="CA597" s="1195"/>
      <c r="CB597" s="1195"/>
      <c r="CC597" s="1195"/>
      <c r="CD597" s="1195"/>
      <c r="CE597" s="1203">
        <f t="shared" si="11"/>
        <v>0</v>
      </c>
      <c r="CF597" s="1203"/>
      <c r="CG597" s="1203"/>
      <c r="CH597" s="1203"/>
      <c r="CI597" s="1203"/>
      <c r="CJ597" s="1203">
        <f t="shared" si="12"/>
        <v>0</v>
      </c>
      <c r="CK597" s="1203"/>
      <c r="CL597" s="1203"/>
      <c r="CM597" s="1203"/>
      <c r="CN597" s="1203"/>
      <c r="CO597" s="1203">
        <f t="shared" si="13"/>
        <v>0</v>
      </c>
      <c r="CP597" s="1203"/>
      <c r="CQ597" s="1203"/>
      <c r="CR597" s="1203"/>
      <c r="CS597" s="1203"/>
      <c r="CT597" s="1203">
        <f t="shared" si="14"/>
        <v>0</v>
      </c>
      <c r="CU597" s="1203"/>
      <c r="CV597" s="1203"/>
      <c r="CW597" s="1203"/>
      <c r="CX597" s="1203"/>
      <c r="CY597" s="1203">
        <f t="shared" si="15"/>
        <v>0</v>
      </c>
      <c r="CZ597" s="1203"/>
      <c r="DA597" s="1203"/>
      <c r="DB597" s="1203"/>
      <c r="DC597" s="1203"/>
      <c r="DD597" s="1203">
        <f t="shared" si="16"/>
        <v>0</v>
      </c>
      <c r="DE597" s="1203"/>
      <c r="DF597" s="1203"/>
      <c r="DG597" s="1203"/>
      <c r="DH597" s="1203"/>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4">
        <f t="shared" si="1"/>
        <v>0</v>
      </c>
      <c r="AS598" s="1515"/>
      <c r="AT598" s="1129">
        <f t="shared" si="2"/>
        <v>0</v>
      </c>
      <c r="AU598" s="1131"/>
      <c r="AV598" s="1514">
        <f t="shared" si="3"/>
        <v>0</v>
      </c>
      <c r="AW598" s="1515"/>
      <c r="AX598" s="1129">
        <f t="shared" si="4"/>
        <v>0</v>
      </c>
      <c r="AY598" s="1131"/>
      <c r="AZ598" s="58"/>
      <c r="BA598" s="1129">
        <f t="shared" si="5"/>
        <v>0</v>
      </c>
      <c r="BB598" s="1130"/>
      <c r="BC598" s="1130"/>
      <c r="BD598" s="1130"/>
      <c r="BE598" s="1131"/>
      <c r="BF598" s="1195">
        <f t="shared" si="6"/>
        <v>0</v>
      </c>
      <c r="BG598" s="1195"/>
      <c r="BH598" s="1195"/>
      <c r="BI598" s="1195"/>
      <c r="BJ598" s="1195"/>
      <c r="BK598" s="1195">
        <f t="shared" si="7"/>
        <v>0</v>
      </c>
      <c r="BL598" s="1195"/>
      <c r="BM598" s="1195"/>
      <c r="BN598" s="1195"/>
      <c r="BO598" s="1195"/>
      <c r="BP598" s="1195">
        <f t="shared" si="8"/>
        <v>0</v>
      </c>
      <c r="BQ598" s="1195"/>
      <c r="BR598" s="1195"/>
      <c r="BS598" s="1195"/>
      <c r="BT598" s="1195"/>
      <c r="BU598" s="1195">
        <f t="shared" si="9"/>
        <v>0</v>
      </c>
      <c r="BV598" s="1195"/>
      <c r="BW598" s="1195"/>
      <c r="BX598" s="1195"/>
      <c r="BY598" s="1195"/>
      <c r="BZ598" s="1195">
        <f t="shared" si="10"/>
        <v>0</v>
      </c>
      <c r="CA598" s="1195"/>
      <c r="CB598" s="1195"/>
      <c r="CC598" s="1195"/>
      <c r="CD598" s="1195"/>
      <c r="CE598" s="1203">
        <f t="shared" si="11"/>
        <v>0</v>
      </c>
      <c r="CF598" s="1203"/>
      <c r="CG598" s="1203"/>
      <c r="CH598" s="1203"/>
      <c r="CI598" s="1203"/>
      <c r="CJ598" s="1203">
        <f t="shared" si="12"/>
        <v>0</v>
      </c>
      <c r="CK598" s="1203"/>
      <c r="CL598" s="1203"/>
      <c r="CM598" s="1203"/>
      <c r="CN598" s="1203"/>
      <c r="CO598" s="1203">
        <f t="shared" si="13"/>
        <v>0</v>
      </c>
      <c r="CP598" s="1203"/>
      <c r="CQ598" s="1203"/>
      <c r="CR598" s="1203"/>
      <c r="CS598" s="1203"/>
      <c r="CT598" s="1203">
        <f t="shared" si="14"/>
        <v>0</v>
      </c>
      <c r="CU598" s="1203"/>
      <c r="CV598" s="1203"/>
      <c r="CW598" s="1203"/>
      <c r="CX598" s="1203"/>
      <c r="CY598" s="1203">
        <f t="shared" si="15"/>
        <v>0</v>
      </c>
      <c r="CZ598" s="1203"/>
      <c r="DA598" s="1203"/>
      <c r="DB598" s="1203"/>
      <c r="DC598" s="1203"/>
      <c r="DD598" s="1203">
        <f t="shared" si="16"/>
        <v>0</v>
      </c>
      <c r="DE598" s="1203"/>
      <c r="DF598" s="1203"/>
      <c r="DG598" s="1203"/>
      <c r="DH598" s="120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4">
        <f t="shared" si="1"/>
        <v>0</v>
      </c>
      <c r="AS599" s="1515"/>
      <c r="AT599" s="1129">
        <f t="shared" si="2"/>
        <v>0</v>
      </c>
      <c r="AU599" s="1131"/>
      <c r="AV599" s="1514">
        <f t="shared" si="3"/>
        <v>0</v>
      </c>
      <c r="AW599" s="1515"/>
      <c r="AX599" s="1129">
        <f t="shared" si="4"/>
        <v>0</v>
      </c>
      <c r="AY599" s="1131"/>
      <c r="AZ599" s="58"/>
      <c r="BA599" s="1129">
        <f t="shared" si="5"/>
        <v>0</v>
      </c>
      <c r="BB599" s="1130"/>
      <c r="BC599" s="1130"/>
      <c r="BD599" s="1130"/>
      <c r="BE599" s="1131"/>
      <c r="BF599" s="1195">
        <f t="shared" si="6"/>
        <v>0</v>
      </c>
      <c r="BG599" s="1195"/>
      <c r="BH599" s="1195"/>
      <c r="BI599" s="1195"/>
      <c r="BJ599" s="1195"/>
      <c r="BK599" s="1195">
        <f t="shared" si="7"/>
        <v>0</v>
      </c>
      <c r="BL599" s="1195"/>
      <c r="BM599" s="1195"/>
      <c r="BN599" s="1195"/>
      <c r="BO599" s="1195"/>
      <c r="BP599" s="1195">
        <f t="shared" si="8"/>
        <v>0</v>
      </c>
      <c r="BQ599" s="1195"/>
      <c r="BR599" s="1195"/>
      <c r="BS599" s="1195"/>
      <c r="BT599" s="1195"/>
      <c r="BU599" s="1195">
        <f t="shared" si="9"/>
        <v>0</v>
      </c>
      <c r="BV599" s="1195"/>
      <c r="BW599" s="1195"/>
      <c r="BX599" s="1195"/>
      <c r="BY599" s="1195"/>
      <c r="BZ599" s="1195">
        <f t="shared" si="10"/>
        <v>0</v>
      </c>
      <c r="CA599" s="1195"/>
      <c r="CB599" s="1195"/>
      <c r="CC599" s="1195"/>
      <c r="CD599" s="1195"/>
      <c r="CE599" s="1203">
        <f t="shared" si="11"/>
        <v>0</v>
      </c>
      <c r="CF599" s="1203"/>
      <c r="CG599" s="1203"/>
      <c r="CH599" s="1203"/>
      <c r="CI599" s="1203"/>
      <c r="CJ599" s="1203">
        <f t="shared" si="12"/>
        <v>0</v>
      </c>
      <c r="CK599" s="1203"/>
      <c r="CL599" s="1203"/>
      <c r="CM599" s="1203"/>
      <c r="CN599" s="1203"/>
      <c r="CO599" s="1203">
        <f t="shared" si="13"/>
        <v>0</v>
      </c>
      <c r="CP599" s="1203"/>
      <c r="CQ599" s="1203"/>
      <c r="CR599" s="1203"/>
      <c r="CS599" s="1203"/>
      <c r="CT599" s="1203">
        <f t="shared" si="14"/>
        <v>0</v>
      </c>
      <c r="CU599" s="1203"/>
      <c r="CV599" s="1203"/>
      <c r="CW599" s="1203"/>
      <c r="CX599" s="1203"/>
      <c r="CY599" s="1203">
        <f t="shared" si="15"/>
        <v>0</v>
      </c>
      <c r="CZ599" s="1203"/>
      <c r="DA599" s="1203"/>
      <c r="DB599" s="1203"/>
      <c r="DC599" s="1203"/>
      <c r="DD599" s="1203">
        <f t="shared" si="16"/>
        <v>0</v>
      </c>
      <c r="DE599" s="1203"/>
      <c r="DF599" s="1203"/>
      <c r="DG599" s="1203"/>
      <c r="DH599" s="1203"/>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4">
        <f t="shared" si="1"/>
        <v>0</v>
      </c>
      <c r="AS600" s="1515"/>
      <c r="AT600" s="1129">
        <f t="shared" si="2"/>
        <v>0</v>
      </c>
      <c r="AU600" s="1131"/>
      <c r="AV600" s="1514">
        <f t="shared" si="3"/>
        <v>0</v>
      </c>
      <c r="AW600" s="1515"/>
      <c r="AX600" s="1129">
        <f t="shared" si="4"/>
        <v>0</v>
      </c>
      <c r="AY600" s="1131"/>
      <c r="AZ600" s="58"/>
      <c r="BA600" s="1129">
        <f t="shared" si="5"/>
        <v>0</v>
      </c>
      <c r="BB600" s="1130"/>
      <c r="BC600" s="1130"/>
      <c r="BD600" s="1130"/>
      <c r="BE600" s="1131"/>
      <c r="BF600" s="1195">
        <f t="shared" si="6"/>
        <v>0</v>
      </c>
      <c r="BG600" s="1195"/>
      <c r="BH600" s="1195"/>
      <c r="BI600" s="1195"/>
      <c r="BJ600" s="1195"/>
      <c r="BK600" s="1195">
        <f t="shared" si="7"/>
        <v>0</v>
      </c>
      <c r="BL600" s="1195"/>
      <c r="BM600" s="1195"/>
      <c r="BN600" s="1195"/>
      <c r="BO600" s="1195"/>
      <c r="BP600" s="1195">
        <f t="shared" si="8"/>
        <v>0</v>
      </c>
      <c r="BQ600" s="1195"/>
      <c r="BR600" s="1195"/>
      <c r="BS600" s="1195"/>
      <c r="BT600" s="1195"/>
      <c r="BU600" s="1195">
        <f t="shared" si="9"/>
        <v>0</v>
      </c>
      <c r="BV600" s="1195"/>
      <c r="BW600" s="1195"/>
      <c r="BX600" s="1195"/>
      <c r="BY600" s="1195"/>
      <c r="BZ600" s="1195">
        <f t="shared" si="10"/>
        <v>0</v>
      </c>
      <c r="CA600" s="1195"/>
      <c r="CB600" s="1195"/>
      <c r="CC600" s="1195"/>
      <c r="CD600" s="1195"/>
      <c r="CE600" s="1203">
        <f t="shared" si="11"/>
        <v>0</v>
      </c>
      <c r="CF600" s="1203"/>
      <c r="CG600" s="1203"/>
      <c r="CH600" s="1203"/>
      <c r="CI600" s="1203"/>
      <c r="CJ600" s="1203">
        <f t="shared" si="12"/>
        <v>0</v>
      </c>
      <c r="CK600" s="1203"/>
      <c r="CL600" s="1203"/>
      <c r="CM600" s="1203"/>
      <c r="CN600" s="1203"/>
      <c r="CO600" s="1203">
        <f t="shared" si="13"/>
        <v>0</v>
      </c>
      <c r="CP600" s="1203"/>
      <c r="CQ600" s="1203"/>
      <c r="CR600" s="1203"/>
      <c r="CS600" s="1203"/>
      <c r="CT600" s="1203">
        <f t="shared" si="14"/>
        <v>0</v>
      </c>
      <c r="CU600" s="1203"/>
      <c r="CV600" s="1203"/>
      <c r="CW600" s="1203"/>
      <c r="CX600" s="1203"/>
      <c r="CY600" s="1203">
        <f t="shared" si="15"/>
        <v>0</v>
      </c>
      <c r="CZ600" s="1203"/>
      <c r="DA600" s="1203"/>
      <c r="DB600" s="1203"/>
      <c r="DC600" s="1203"/>
      <c r="DD600" s="1203">
        <f t="shared" si="16"/>
        <v>0</v>
      </c>
      <c r="DE600" s="1203"/>
      <c r="DF600" s="1203"/>
      <c r="DG600" s="1203"/>
      <c r="DH600" s="120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4">
        <f t="shared" si="1"/>
        <v>0</v>
      </c>
      <c r="AS601" s="1515"/>
      <c r="AT601" s="1129">
        <f t="shared" si="2"/>
        <v>0</v>
      </c>
      <c r="AU601" s="1131"/>
      <c r="AV601" s="1514">
        <f t="shared" si="3"/>
        <v>0</v>
      </c>
      <c r="AW601" s="1515"/>
      <c r="AX601" s="1129">
        <f t="shared" si="4"/>
        <v>0</v>
      </c>
      <c r="AY601" s="1131"/>
      <c r="AZ601" s="58"/>
      <c r="BA601" s="1129">
        <f t="shared" si="5"/>
        <v>0</v>
      </c>
      <c r="BB601" s="1130"/>
      <c r="BC601" s="1130"/>
      <c r="BD601" s="1130"/>
      <c r="BE601" s="1131"/>
      <c r="BF601" s="1195">
        <f t="shared" si="6"/>
        <v>0</v>
      </c>
      <c r="BG601" s="1195"/>
      <c r="BH601" s="1195"/>
      <c r="BI601" s="1195"/>
      <c r="BJ601" s="1195"/>
      <c r="BK601" s="1195">
        <f t="shared" si="7"/>
        <v>0</v>
      </c>
      <c r="BL601" s="1195"/>
      <c r="BM601" s="1195"/>
      <c r="BN601" s="1195"/>
      <c r="BO601" s="1195"/>
      <c r="BP601" s="1195">
        <f t="shared" si="8"/>
        <v>0</v>
      </c>
      <c r="BQ601" s="1195"/>
      <c r="BR601" s="1195"/>
      <c r="BS601" s="1195"/>
      <c r="BT601" s="1195"/>
      <c r="BU601" s="1195">
        <f t="shared" si="9"/>
        <v>0</v>
      </c>
      <c r="BV601" s="1195"/>
      <c r="BW601" s="1195"/>
      <c r="BX601" s="1195"/>
      <c r="BY601" s="1195"/>
      <c r="BZ601" s="1195">
        <f t="shared" si="10"/>
        <v>0</v>
      </c>
      <c r="CA601" s="1195"/>
      <c r="CB601" s="1195"/>
      <c r="CC601" s="1195"/>
      <c r="CD601" s="1195"/>
      <c r="CE601" s="1203">
        <f t="shared" si="11"/>
        <v>0</v>
      </c>
      <c r="CF601" s="1203"/>
      <c r="CG601" s="1203"/>
      <c r="CH601" s="1203"/>
      <c r="CI601" s="1203"/>
      <c r="CJ601" s="1203">
        <f t="shared" si="12"/>
        <v>0</v>
      </c>
      <c r="CK601" s="1203"/>
      <c r="CL601" s="1203"/>
      <c r="CM601" s="1203"/>
      <c r="CN601" s="1203"/>
      <c r="CO601" s="1203">
        <f t="shared" si="13"/>
        <v>0</v>
      </c>
      <c r="CP601" s="1203"/>
      <c r="CQ601" s="1203"/>
      <c r="CR601" s="1203"/>
      <c r="CS601" s="1203"/>
      <c r="CT601" s="1203">
        <f t="shared" si="14"/>
        <v>0</v>
      </c>
      <c r="CU601" s="1203"/>
      <c r="CV601" s="1203"/>
      <c r="CW601" s="1203"/>
      <c r="CX601" s="1203"/>
      <c r="CY601" s="1203">
        <f t="shared" si="15"/>
        <v>0</v>
      </c>
      <c r="CZ601" s="1203"/>
      <c r="DA601" s="1203"/>
      <c r="DB601" s="1203"/>
      <c r="DC601" s="1203"/>
      <c r="DD601" s="1203">
        <f t="shared" si="16"/>
        <v>0</v>
      </c>
      <c r="DE601" s="1203"/>
      <c r="DF601" s="1203"/>
      <c r="DG601" s="1203"/>
      <c r="DH601" s="1203"/>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14">
        <f t="shared" si="1"/>
        <v>0</v>
      </c>
      <c r="AS602" s="1515"/>
      <c r="AT602" s="1129">
        <f t="shared" si="2"/>
        <v>0</v>
      </c>
      <c r="AU602" s="1131"/>
      <c r="AV602" s="1514">
        <f t="shared" si="3"/>
        <v>0</v>
      </c>
      <c r="AW602" s="1515"/>
      <c r="AX602" s="1129">
        <f t="shared" si="4"/>
        <v>0</v>
      </c>
      <c r="AY602" s="1131"/>
      <c r="AZ602" s="58"/>
      <c r="BA602" s="1129">
        <f t="shared" si="5"/>
        <v>0</v>
      </c>
      <c r="BB602" s="1130"/>
      <c r="BC602" s="1130"/>
      <c r="BD602" s="1130"/>
      <c r="BE602" s="1131"/>
      <c r="BF602" s="1195">
        <f t="shared" si="6"/>
        <v>0</v>
      </c>
      <c r="BG602" s="1195"/>
      <c r="BH602" s="1195"/>
      <c r="BI602" s="1195"/>
      <c r="BJ602" s="1195"/>
      <c r="BK602" s="1195">
        <f t="shared" si="7"/>
        <v>0</v>
      </c>
      <c r="BL602" s="1195"/>
      <c r="BM602" s="1195"/>
      <c r="BN602" s="1195"/>
      <c r="BO602" s="1195"/>
      <c r="BP602" s="1195">
        <f t="shared" si="8"/>
        <v>0</v>
      </c>
      <c r="BQ602" s="1195"/>
      <c r="BR602" s="1195"/>
      <c r="BS602" s="1195"/>
      <c r="BT602" s="1195"/>
      <c r="BU602" s="1195">
        <f t="shared" si="9"/>
        <v>0</v>
      </c>
      <c r="BV602" s="1195"/>
      <c r="BW602" s="1195"/>
      <c r="BX602" s="1195"/>
      <c r="BY602" s="1195"/>
      <c r="BZ602" s="1195">
        <f t="shared" si="10"/>
        <v>0</v>
      </c>
      <c r="CA602" s="1195"/>
      <c r="CB602" s="1195"/>
      <c r="CC602" s="1195"/>
      <c r="CD602" s="1195"/>
      <c r="CE602" s="1203">
        <f t="shared" si="11"/>
        <v>0</v>
      </c>
      <c r="CF602" s="1203"/>
      <c r="CG602" s="1203"/>
      <c r="CH602" s="1203"/>
      <c r="CI602" s="1203"/>
      <c r="CJ602" s="1203">
        <f t="shared" si="12"/>
        <v>0</v>
      </c>
      <c r="CK602" s="1203"/>
      <c r="CL602" s="1203"/>
      <c r="CM602" s="1203"/>
      <c r="CN602" s="1203"/>
      <c r="CO602" s="1203">
        <f t="shared" si="13"/>
        <v>0</v>
      </c>
      <c r="CP602" s="1203"/>
      <c r="CQ602" s="1203"/>
      <c r="CR602" s="1203"/>
      <c r="CS602" s="1203"/>
      <c r="CT602" s="1203">
        <f t="shared" si="14"/>
        <v>0</v>
      </c>
      <c r="CU602" s="1203"/>
      <c r="CV602" s="1203"/>
      <c r="CW602" s="1203"/>
      <c r="CX602" s="1203"/>
      <c r="CY602" s="1203">
        <f t="shared" si="15"/>
        <v>0</v>
      </c>
      <c r="CZ602" s="1203"/>
      <c r="DA602" s="1203"/>
      <c r="DB602" s="1203"/>
      <c r="DC602" s="1203"/>
      <c r="DD602" s="1203">
        <f t="shared" si="16"/>
        <v>0</v>
      </c>
      <c r="DE602" s="1203"/>
      <c r="DF602" s="1203"/>
      <c r="DG602" s="1203"/>
      <c r="DH602" s="1203"/>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4">
        <f t="shared" si="1"/>
        <v>0</v>
      </c>
      <c r="AS603" s="1515"/>
      <c r="AT603" s="1129">
        <f t="shared" si="2"/>
        <v>0</v>
      </c>
      <c r="AU603" s="1131"/>
      <c r="AV603" s="1514">
        <f t="shared" si="3"/>
        <v>0</v>
      </c>
      <c r="AW603" s="1515"/>
      <c r="AX603" s="1129">
        <f t="shared" si="4"/>
        <v>0</v>
      </c>
      <c r="AY603" s="1131"/>
      <c r="AZ603" s="58"/>
      <c r="BA603" s="1129">
        <f t="shared" si="5"/>
        <v>0</v>
      </c>
      <c r="BB603" s="1130"/>
      <c r="BC603" s="1130"/>
      <c r="BD603" s="1130"/>
      <c r="BE603" s="1131"/>
      <c r="BF603" s="1195">
        <f t="shared" si="6"/>
        <v>0</v>
      </c>
      <c r="BG603" s="1195"/>
      <c r="BH603" s="1195"/>
      <c r="BI603" s="1195"/>
      <c r="BJ603" s="1195"/>
      <c r="BK603" s="1195">
        <f t="shared" si="7"/>
        <v>0</v>
      </c>
      <c r="BL603" s="1195"/>
      <c r="BM603" s="1195"/>
      <c r="BN603" s="1195"/>
      <c r="BO603" s="1195"/>
      <c r="BP603" s="1195">
        <f t="shared" si="8"/>
        <v>0</v>
      </c>
      <c r="BQ603" s="1195"/>
      <c r="BR603" s="1195"/>
      <c r="BS603" s="1195"/>
      <c r="BT603" s="1195"/>
      <c r="BU603" s="1195">
        <f t="shared" si="9"/>
        <v>0</v>
      </c>
      <c r="BV603" s="1195"/>
      <c r="BW603" s="1195"/>
      <c r="BX603" s="1195"/>
      <c r="BY603" s="1195"/>
      <c r="BZ603" s="1195">
        <f t="shared" si="10"/>
        <v>0</v>
      </c>
      <c r="CA603" s="1195"/>
      <c r="CB603" s="1195"/>
      <c r="CC603" s="1195"/>
      <c r="CD603" s="1195"/>
      <c r="CE603" s="1203">
        <f t="shared" si="11"/>
        <v>0</v>
      </c>
      <c r="CF603" s="1203"/>
      <c r="CG603" s="1203"/>
      <c r="CH603" s="1203"/>
      <c r="CI603" s="1203"/>
      <c r="CJ603" s="1203">
        <f t="shared" si="12"/>
        <v>0</v>
      </c>
      <c r="CK603" s="1203"/>
      <c r="CL603" s="1203"/>
      <c r="CM603" s="1203"/>
      <c r="CN603" s="1203"/>
      <c r="CO603" s="1203">
        <f t="shared" si="13"/>
        <v>0</v>
      </c>
      <c r="CP603" s="1203"/>
      <c r="CQ603" s="1203"/>
      <c r="CR603" s="1203"/>
      <c r="CS603" s="1203"/>
      <c r="CT603" s="1203">
        <f t="shared" si="14"/>
        <v>0</v>
      </c>
      <c r="CU603" s="1203"/>
      <c r="CV603" s="1203"/>
      <c r="CW603" s="1203"/>
      <c r="CX603" s="1203"/>
      <c r="CY603" s="1203">
        <f t="shared" si="15"/>
        <v>0</v>
      </c>
      <c r="CZ603" s="1203"/>
      <c r="DA603" s="1203"/>
      <c r="DB603" s="1203"/>
      <c r="DC603" s="1203"/>
      <c r="DD603" s="1203">
        <f t="shared" si="16"/>
        <v>0</v>
      </c>
      <c r="DE603" s="1203"/>
      <c r="DF603" s="1203"/>
      <c r="DG603" s="1203"/>
      <c r="DH603" s="1203"/>
    </row>
    <row r="604" spans="1:112" ht="12.75">
      <c r="B604" s="12" t="s">
        <v>338</v>
      </c>
      <c r="G604" s="1098"/>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4">
        <f t="shared" si="1"/>
        <v>0</v>
      </c>
      <c r="AS604" s="1515"/>
      <c r="AT604" s="1129">
        <f t="shared" si="2"/>
        <v>0</v>
      </c>
      <c r="AU604" s="1131"/>
      <c r="AV604" s="1514">
        <f t="shared" si="3"/>
        <v>0</v>
      </c>
      <c r="AW604" s="1515"/>
      <c r="AX604" s="1129">
        <f t="shared" si="4"/>
        <v>0</v>
      </c>
      <c r="AY604" s="1131"/>
      <c r="AZ604" s="58"/>
      <c r="BA604" s="1129">
        <f t="shared" si="5"/>
        <v>0</v>
      </c>
      <c r="BB604" s="1130"/>
      <c r="BC604" s="1130"/>
      <c r="BD604" s="1130"/>
      <c r="BE604" s="1131"/>
      <c r="BF604" s="1195">
        <f t="shared" si="6"/>
        <v>0</v>
      </c>
      <c r="BG604" s="1195"/>
      <c r="BH604" s="1195"/>
      <c r="BI604" s="1195"/>
      <c r="BJ604" s="1195"/>
      <c r="BK604" s="1195">
        <f t="shared" si="7"/>
        <v>0</v>
      </c>
      <c r="BL604" s="1195"/>
      <c r="BM604" s="1195"/>
      <c r="BN604" s="1195"/>
      <c r="BO604" s="1195"/>
      <c r="BP604" s="1195">
        <f t="shared" si="8"/>
        <v>0</v>
      </c>
      <c r="BQ604" s="1195"/>
      <c r="BR604" s="1195"/>
      <c r="BS604" s="1195"/>
      <c r="BT604" s="1195"/>
      <c r="BU604" s="1195">
        <f t="shared" si="9"/>
        <v>0</v>
      </c>
      <c r="BV604" s="1195"/>
      <c r="BW604" s="1195"/>
      <c r="BX604" s="1195"/>
      <c r="BY604" s="1195"/>
      <c r="BZ604" s="1195">
        <f t="shared" si="10"/>
        <v>0</v>
      </c>
      <c r="CA604" s="1195"/>
      <c r="CB604" s="1195"/>
      <c r="CC604" s="1195"/>
      <c r="CD604" s="1195"/>
      <c r="CE604" s="1203">
        <f t="shared" si="11"/>
        <v>0</v>
      </c>
      <c r="CF604" s="1203"/>
      <c r="CG604" s="1203"/>
      <c r="CH604" s="1203"/>
      <c r="CI604" s="1203"/>
      <c r="CJ604" s="1203">
        <f t="shared" si="12"/>
        <v>0</v>
      </c>
      <c r="CK604" s="1203"/>
      <c r="CL604" s="1203"/>
      <c r="CM604" s="1203"/>
      <c r="CN604" s="1203"/>
      <c r="CO604" s="1203">
        <f t="shared" si="13"/>
        <v>0</v>
      </c>
      <c r="CP604" s="1203"/>
      <c r="CQ604" s="1203"/>
      <c r="CR604" s="1203"/>
      <c r="CS604" s="1203"/>
      <c r="CT604" s="1203">
        <f t="shared" si="14"/>
        <v>0</v>
      </c>
      <c r="CU604" s="1203"/>
      <c r="CV604" s="1203"/>
      <c r="CW604" s="1203"/>
      <c r="CX604" s="1203"/>
      <c r="CY604" s="1203">
        <f t="shared" si="15"/>
        <v>0</v>
      </c>
      <c r="CZ604" s="1203"/>
      <c r="DA604" s="1203"/>
      <c r="DB604" s="1203"/>
      <c r="DC604" s="1203"/>
      <c r="DD604" s="1203">
        <f t="shared" si="16"/>
        <v>0</v>
      </c>
      <c r="DE604" s="1203"/>
      <c r="DF604" s="1203"/>
      <c r="DG604" s="1203"/>
      <c r="DH604" s="120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4">
        <f t="shared" si="1"/>
        <v>0</v>
      </c>
      <c r="AS605" s="1515"/>
      <c r="AT605" s="1129">
        <f t="shared" si="2"/>
        <v>0</v>
      </c>
      <c r="AU605" s="1131"/>
      <c r="AV605" s="1514">
        <f t="shared" si="3"/>
        <v>0</v>
      </c>
      <c r="AW605" s="1515"/>
      <c r="AX605" s="1129">
        <f t="shared" si="4"/>
        <v>0</v>
      </c>
      <c r="AY605" s="1131"/>
      <c r="AZ605" s="58"/>
      <c r="BA605" s="1129">
        <f t="shared" si="5"/>
        <v>0</v>
      </c>
      <c r="BB605" s="1130"/>
      <c r="BC605" s="1130"/>
      <c r="BD605" s="1130"/>
      <c r="BE605" s="1131"/>
      <c r="BF605" s="1195">
        <f t="shared" si="6"/>
        <v>0</v>
      </c>
      <c r="BG605" s="1195"/>
      <c r="BH605" s="1195"/>
      <c r="BI605" s="1195"/>
      <c r="BJ605" s="1195"/>
      <c r="BK605" s="1195">
        <f t="shared" si="7"/>
        <v>0</v>
      </c>
      <c r="BL605" s="1195"/>
      <c r="BM605" s="1195"/>
      <c r="BN605" s="1195"/>
      <c r="BO605" s="1195"/>
      <c r="BP605" s="1195">
        <f t="shared" si="8"/>
        <v>0</v>
      </c>
      <c r="BQ605" s="1195"/>
      <c r="BR605" s="1195"/>
      <c r="BS605" s="1195"/>
      <c r="BT605" s="1195"/>
      <c r="BU605" s="1195">
        <f t="shared" si="9"/>
        <v>0</v>
      </c>
      <c r="BV605" s="1195"/>
      <c r="BW605" s="1195"/>
      <c r="BX605" s="1195"/>
      <c r="BY605" s="1195"/>
      <c r="BZ605" s="1195">
        <f t="shared" si="10"/>
        <v>0</v>
      </c>
      <c r="CA605" s="1195"/>
      <c r="CB605" s="1195"/>
      <c r="CC605" s="1195"/>
      <c r="CD605" s="1195"/>
      <c r="CE605" s="1203">
        <f t="shared" si="11"/>
        <v>0</v>
      </c>
      <c r="CF605" s="1203"/>
      <c r="CG605" s="1203"/>
      <c r="CH605" s="1203"/>
      <c r="CI605" s="1203"/>
      <c r="CJ605" s="1203">
        <f t="shared" si="12"/>
        <v>0</v>
      </c>
      <c r="CK605" s="1203"/>
      <c r="CL605" s="1203"/>
      <c r="CM605" s="1203"/>
      <c r="CN605" s="1203"/>
      <c r="CO605" s="1203">
        <f t="shared" si="13"/>
        <v>0</v>
      </c>
      <c r="CP605" s="1203"/>
      <c r="CQ605" s="1203"/>
      <c r="CR605" s="1203"/>
      <c r="CS605" s="1203"/>
      <c r="CT605" s="1203">
        <f t="shared" si="14"/>
        <v>0</v>
      </c>
      <c r="CU605" s="1203"/>
      <c r="CV605" s="1203"/>
      <c r="CW605" s="1203"/>
      <c r="CX605" s="1203"/>
      <c r="CY605" s="1203">
        <f t="shared" si="15"/>
        <v>0</v>
      </c>
      <c r="CZ605" s="1203"/>
      <c r="DA605" s="1203"/>
      <c r="DB605" s="1203"/>
      <c r="DC605" s="1203"/>
      <c r="DD605" s="1203">
        <f t="shared" si="16"/>
        <v>0</v>
      </c>
      <c r="DE605" s="1203"/>
      <c r="DF605" s="1203"/>
      <c r="DG605" s="1203"/>
      <c r="DH605" s="1203"/>
    </row>
    <row r="606" spans="1:112" ht="12.75">
      <c r="B606" s="12" t="s">
        <v>22</v>
      </c>
      <c r="N606" s="1096" t="s">
        <v>723</v>
      </c>
      <c r="O606" s="1096"/>
      <c r="U606" s="12" t="s">
        <v>22</v>
      </c>
      <c r="AG606" s="1096" t="s">
        <v>723</v>
      </c>
      <c r="AH606" s="1096"/>
      <c r="AM606" s="58"/>
      <c r="AN606" s="58"/>
      <c r="AO606" s="58"/>
      <c r="AP606" s="58"/>
      <c r="AQ606" s="58"/>
      <c r="AR606" s="1514">
        <f t="shared" si="1"/>
        <v>0</v>
      </c>
      <c r="AS606" s="1515"/>
      <c r="AT606" s="1129">
        <f t="shared" si="2"/>
        <v>0</v>
      </c>
      <c r="AU606" s="1131"/>
      <c r="AV606" s="1514">
        <f t="shared" si="3"/>
        <v>0</v>
      </c>
      <c r="AW606" s="1515"/>
      <c r="AX606" s="1129">
        <f t="shared" si="4"/>
        <v>0</v>
      </c>
      <c r="AY606" s="1131"/>
      <c r="AZ606" s="58"/>
      <c r="BA606" s="1129">
        <f t="shared" si="5"/>
        <v>0</v>
      </c>
      <c r="BB606" s="1130"/>
      <c r="BC606" s="1130"/>
      <c r="BD606" s="1130"/>
      <c r="BE606" s="1131"/>
      <c r="BF606" s="1195">
        <f t="shared" si="6"/>
        <v>0</v>
      </c>
      <c r="BG606" s="1195"/>
      <c r="BH606" s="1195"/>
      <c r="BI606" s="1195"/>
      <c r="BJ606" s="1195"/>
      <c r="BK606" s="1195">
        <f t="shared" si="7"/>
        <v>0</v>
      </c>
      <c r="BL606" s="1195"/>
      <c r="BM606" s="1195"/>
      <c r="BN606" s="1195"/>
      <c r="BO606" s="1195"/>
      <c r="BP606" s="1195">
        <f t="shared" si="8"/>
        <v>0</v>
      </c>
      <c r="BQ606" s="1195"/>
      <c r="BR606" s="1195"/>
      <c r="BS606" s="1195"/>
      <c r="BT606" s="1195"/>
      <c r="BU606" s="1195">
        <f t="shared" si="9"/>
        <v>0</v>
      </c>
      <c r="BV606" s="1195"/>
      <c r="BW606" s="1195"/>
      <c r="BX606" s="1195"/>
      <c r="BY606" s="1195"/>
      <c r="BZ606" s="1195">
        <f t="shared" si="10"/>
        <v>0</v>
      </c>
      <c r="CA606" s="1195"/>
      <c r="CB606" s="1195"/>
      <c r="CC606" s="1195"/>
      <c r="CD606" s="1195"/>
      <c r="CE606" s="1203">
        <f t="shared" si="11"/>
        <v>0</v>
      </c>
      <c r="CF606" s="1203"/>
      <c r="CG606" s="1203"/>
      <c r="CH606" s="1203"/>
      <c r="CI606" s="1203"/>
      <c r="CJ606" s="1203">
        <f t="shared" si="12"/>
        <v>0</v>
      </c>
      <c r="CK606" s="1203"/>
      <c r="CL606" s="1203"/>
      <c r="CM606" s="1203"/>
      <c r="CN606" s="1203"/>
      <c r="CO606" s="1203">
        <f t="shared" si="13"/>
        <v>0</v>
      </c>
      <c r="CP606" s="1203"/>
      <c r="CQ606" s="1203"/>
      <c r="CR606" s="1203"/>
      <c r="CS606" s="1203"/>
      <c r="CT606" s="1203">
        <f t="shared" si="14"/>
        <v>0</v>
      </c>
      <c r="CU606" s="1203"/>
      <c r="CV606" s="1203"/>
      <c r="CW606" s="1203"/>
      <c r="CX606" s="1203"/>
      <c r="CY606" s="1203">
        <f t="shared" si="15"/>
        <v>0</v>
      </c>
      <c r="CZ606" s="1203"/>
      <c r="DA606" s="1203"/>
      <c r="DB606" s="1203"/>
      <c r="DC606" s="1203"/>
      <c r="DD606" s="1203">
        <f t="shared" si="16"/>
        <v>0</v>
      </c>
      <c r="DE606" s="1203"/>
      <c r="DF606" s="1203"/>
      <c r="DG606" s="1203"/>
      <c r="DH606" s="1203"/>
    </row>
    <row r="607" spans="1:112" ht="12.75">
      <c r="AM607" s="58"/>
      <c r="AN607" s="58"/>
      <c r="AO607" s="58"/>
      <c r="AP607" s="58"/>
      <c r="AQ607" s="58"/>
      <c r="AR607" s="1514">
        <f t="shared" si="1"/>
        <v>0</v>
      </c>
      <c r="AS607" s="1515"/>
      <c r="AT607" s="1129">
        <f t="shared" si="2"/>
        <v>0</v>
      </c>
      <c r="AU607" s="1131"/>
      <c r="AV607" s="1514">
        <f t="shared" si="3"/>
        <v>0</v>
      </c>
      <c r="AW607" s="1515"/>
      <c r="AX607" s="1129">
        <f t="shared" si="4"/>
        <v>0</v>
      </c>
      <c r="AY607" s="1131"/>
      <c r="AZ607" s="58"/>
      <c r="BA607" s="1129">
        <f t="shared" si="5"/>
        <v>0</v>
      </c>
      <c r="BB607" s="1130"/>
      <c r="BC607" s="1130"/>
      <c r="BD607" s="1130"/>
      <c r="BE607" s="1131"/>
      <c r="BF607" s="1195">
        <f t="shared" si="6"/>
        <v>0</v>
      </c>
      <c r="BG607" s="1195"/>
      <c r="BH607" s="1195"/>
      <c r="BI607" s="1195"/>
      <c r="BJ607" s="1195"/>
      <c r="BK607" s="1195">
        <f t="shared" si="7"/>
        <v>0</v>
      </c>
      <c r="BL607" s="1195"/>
      <c r="BM607" s="1195"/>
      <c r="BN607" s="1195"/>
      <c r="BO607" s="1195"/>
      <c r="BP607" s="1195">
        <f t="shared" si="8"/>
        <v>0</v>
      </c>
      <c r="BQ607" s="1195"/>
      <c r="BR607" s="1195"/>
      <c r="BS607" s="1195"/>
      <c r="BT607" s="1195"/>
      <c r="BU607" s="1195">
        <f t="shared" si="9"/>
        <v>0</v>
      </c>
      <c r="BV607" s="1195"/>
      <c r="BW607" s="1195"/>
      <c r="BX607" s="1195"/>
      <c r="BY607" s="1195"/>
      <c r="BZ607" s="1195">
        <f t="shared" si="10"/>
        <v>0</v>
      </c>
      <c r="CA607" s="1195"/>
      <c r="CB607" s="1195"/>
      <c r="CC607" s="1195"/>
      <c r="CD607" s="1195"/>
      <c r="CE607" s="1203">
        <f t="shared" si="11"/>
        <v>0</v>
      </c>
      <c r="CF607" s="1203"/>
      <c r="CG607" s="1203"/>
      <c r="CH607" s="1203"/>
      <c r="CI607" s="1203"/>
      <c r="CJ607" s="1203">
        <f t="shared" si="12"/>
        <v>0</v>
      </c>
      <c r="CK607" s="1203"/>
      <c r="CL607" s="1203"/>
      <c r="CM607" s="1203"/>
      <c r="CN607" s="1203"/>
      <c r="CO607" s="1203">
        <f t="shared" si="13"/>
        <v>0</v>
      </c>
      <c r="CP607" s="1203"/>
      <c r="CQ607" s="1203"/>
      <c r="CR607" s="1203"/>
      <c r="CS607" s="1203"/>
      <c r="CT607" s="1203">
        <f t="shared" si="14"/>
        <v>0</v>
      </c>
      <c r="CU607" s="1203"/>
      <c r="CV607" s="1203"/>
      <c r="CW607" s="1203"/>
      <c r="CX607" s="1203"/>
      <c r="CY607" s="1203">
        <f t="shared" si="15"/>
        <v>0</v>
      </c>
      <c r="CZ607" s="1203"/>
      <c r="DA607" s="1203"/>
      <c r="DB607" s="1203"/>
      <c r="DC607" s="1203"/>
      <c r="DD607" s="1203">
        <f t="shared" si="16"/>
        <v>0</v>
      </c>
      <c r="DE607" s="1203"/>
      <c r="DF607" s="1203"/>
      <c r="DG607" s="1203"/>
      <c r="DH607" s="1203"/>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4">
        <f t="shared" si="1"/>
        <v>0</v>
      </c>
      <c r="AS608" s="1515"/>
      <c r="AT608" s="1129">
        <f t="shared" si="2"/>
        <v>0</v>
      </c>
      <c r="AU608" s="1131"/>
      <c r="AV608" s="1514">
        <f t="shared" si="3"/>
        <v>0</v>
      </c>
      <c r="AW608" s="1515"/>
      <c r="AX608" s="1129">
        <f t="shared" si="4"/>
        <v>0</v>
      </c>
      <c r="AY608" s="1131"/>
      <c r="AZ608" s="58"/>
      <c r="BA608" s="1129">
        <f t="shared" si="5"/>
        <v>0</v>
      </c>
      <c r="BB608" s="1130"/>
      <c r="BC608" s="1130"/>
      <c r="BD608" s="1130"/>
      <c r="BE608" s="1131"/>
      <c r="BF608" s="1195">
        <f t="shared" si="6"/>
        <v>0</v>
      </c>
      <c r="BG608" s="1195"/>
      <c r="BH608" s="1195"/>
      <c r="BI608" s="1195"/>
      <c r="BJ608" s="1195"/>
      <c r="BK608" s="1195">
        <f t="shared" si="7"/>
        <v>0</v>
      </c>
      <c r="BL608" s="1195"/>
      <c r="BM608" s="1195"/>
      <c r="BN608" s="1195"/>
      <c r="BO608" s="1195"/>
      <c r="BP608" s="1195">
        <f t="shared" si="8"/>
        <v>0</v>
      </c>
      <c r="BQ608" s="1195"/>
      <c r="BR608" s="1195"/>
      <c r="BS608" s="1195"/>
      <c r="BT608" s="1195"/>
      <c r="BU608" s="1195">
        <f t="shared" si="9"/>
        <v>0</v>
      </c>
      <c r="BV608" s="1195"/>
      <c r="BW608" s="1195"/>
      <c r="BX608" s="1195"/>
      <c r="BY608" s="1195"/>
      <c r="BZ608" s="1195">
        <f t="shared" si="10"/>
        <v>0</v>
      </c>
      <c r="CA608" s="1195"/>
      <c r="CB608" s="1195"/>
      <c r="CC608" s="1195"/>
      <c r="CD608" s="1195"/>
      <c r="CE608" s="1203">
        <f t="shared" si="11"/>
        <v>0</v>
      </c>
      <c r="CF608" s="1203"/>
      <c r="CG608" s="1203"/>
      <c r="CH608" s="1203"/>
      <c r="CI608" s="1203"/>
      <c r="CJ608" s="1203">
        <f t="shared" si="12"/>
        <v>0</v>
      </c>
      <c r="CK608" s="1203"/>
      <c r="CL608" s="1203"/>
      <c r="CM608" s="1203"/>
      <c r="CN608" s="1203"/>
      <c r="CO608" s="1203">
        <f t="shared" si="13"/>
        <v>0</v>
      </c>
      <c r="CP608" s="1203"/>
      <c r="CQ608" s="1203"/>
      <c r="CR608" s="1203"/>
      <c r="CS608" s="1203"/>
      <c r="CT608" s="1203">
        <f t="shared" si="14"/>
        <v>0</v>
      </c>
      <c r="CU608" s="1203"/>
      <c r="CV608" s="1203"/>
      <c r="CW608" s="1203"/>
      <c r="CX608" s="1203"/>
      <c r="CY608" s="1203">
        <f t="shared" si="15"/>
        <v>0</v>
      </c>
      <c r="CZ608" s="1203"/>
      <c r="DA608" s="1203"/>
      <c r="DB608" s="1203"/>
      <c r="DC608" s="1203"/>
      <c r="DD608" s="1203">
        <f t="shared" si="16"/>
        <v>0</v>
      </c>
      <c r="DE608" s="1203"/>
      <c r="DF608" s="1203"/>
      <c r="DG608" s="1203"/>
      <c r="DH608" s="120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4">
        <f t="shared" si="1"/>
        <v>0</v>
      </c>
      <c r="AS609" s="1515"/>
      <c r="AT609" s="1129">
        <f t="shared" si="2"/>
        <v>0</v>
      </c>
      <c r="AU609" s="1131"/>
      <c r="AV609" s="1514">
        <f t="shared" si="3"/>
        <v>0</v>
      </c>
      <c r="AW609" s="1515"/>
      <c r="AX609" s="1129">
        <f t="shared" si="4"/>
        <v>0</v>
      </c>
      <c r="AY609" s="1131"/>
      <c r="AZ609" s="58"/>
      <c r="BA609" s="1129">
        <f t="shared" si="5"/>
        <v>0</v>
      </c>
      <c r="BB609" s="1130"/>
      <c r="BC609" s="1130"/>
      <c r="BD609" s="1130"/>
      <c r="BE609" s="1131"/>
      <c r="BF609" s="1195">
        <f t="shared" si="6"/>
        <v>0</v>
      </c>
      <c r="BG609" s="1195"/>
      <c r="BH609" s="1195"/>
      <c r="BI609" s="1195"/>
      <c r="BJ609" s="1195"/>
      <c r="BK609" s="1195">
        <f t="shared" si="7"/>
        <v>0</v>
      </c>
      <c r="BL609" s="1195"/>
      <c r="BM609" s="1195"/>
      <c r="BN609" s="1195"/>
      <c r="BO609" s="1195"/>
      <c r="BP609" s="1195">
        <f t="shared" si="8"/>
        <v>0</v>
      </c>
      <c r="BQ609" s="1195"/>
      <c r="BR609" s="1195"/>
      <c r="BS609" s="1195"/>
      <c r="BT609" s="1195"/>
      <c r="BU609" s="1195">
        <f t="shared" si="9"/>
        <v>0</v>
      </c>
      <c r="BV609" s="1195"/>
      <c r="BW609" s="1195"/>
      <c r="BX609" s="1195"/>
      <c r="BY609" s="1195"/>
      <c r="BZ609" s="1195">
        <f t="shared" si="10"/>
        <v>0</v>
      </c>
      <c r="CA609" s="1195"/>
      <c r="CB609" s="1195"/>
      <c r="CC609" s="1195"/>
      <c r="CD609" s="1195"/>
      <c r="CE609" s="1203">
        <f t="shared" si="11"/>
        <v>0</v>
      </c>
      <c r="CF609" s="1203"/>
      <c r="CG609" s="1203"/>
      <c r="CH609" s="1203"/>
      <c r="CI609" s="1203"/>
      <c r="CJ609" s="1203">
        <f t="shared" si="12"/>
        <v>0</v>
      </c>
      <c r="CK609" s="1203"/>
      <c r="CL609" s="1203"/>
      <c r="CM609" s="1203"/>
      <c r="CN609" s="1203"/>
      <c r="CO609" s="1203">
        <f t="shared" si="13"/>
        <v>0</v>
      </c>
      <c r="CP609" s="1203"/>
      <c r="CQ609" s="1203"/>
      <c r="CR609" s="1203"/>
      <c r="CS609" s="1203"/>
      <c r="CT609" s="1203">
        <f t="shared" si="14"/>
        <v>0</v>
      </c>
      <c r="CU609" s="1203"/>
      <c r="CV609" s="1203"/>
      <c r="CW609" s="1203"/>
      <c r="CX609" s="1203"/>
      <c r="CY609" s="1203">
        <f t="shared" si="15"/>
        <v>0</v>
      </c>
      <c r="CZ609" s="1203"/>
      <c r="DA609" s="1203"/>
      <c r="DB609" s="1203"/>
      <c r="DC609" s="1203"/>
      <c r="DD609" s="1203">
        <f t="shared" si="16"/>
        <v>0</v>
      </c>
      <c r="DE609" s="1203"/>
      <c r="DF609" s="1203"/>
      <c r="DG609" s="1203"/>
      <c r="DH609" s="1203"/>
    </row>
    <row r="610" spans="1:112" ht="13.5" thickTop="1">
      <c r="A610" s="25"/>
      <c r="B610" s="25"/>
      <c r="C610" s="25"/>
      <c r="D610" s="25"/>
      <c r="E610" s="25"/>
      <c r="F610" s="25"/>
      <c r="G610" s="3"/>
      <c r="H610" s="25"/>
      <c r="AM610" s="58"/>
      <c r="AN610" s="58"/>
      <c r="AO610" s="58"/>
      <c r="AP610" s="58"/>
      <c r="AQ610" s="58"/>
      <c r="AR610" s="1514">
        <f t="shared" si="1"/>
        <v>0</v>
      </c>
      <c r="AS610" s="1515"/>
      <c r="AT610" s="1129">
        <f t="shared" si="2"/>
        <v>0</v>
      </c>
      <c r="AU610" s="1131"/>
      <c r="AV610" s="1514">
        <f t="shared" si="3"/>
        <v>0</v>
      </c>
      <c r="AW610" s="1515"/>
      <c r="AX610" s="1129">
        <f t="shared" si="4"/>
        <v>0</v>
      </c>
      <c r="AY610" s="1131"/>
      <c r="AZ610" s="58"/>
      <c r="BA610" s="1129">
        <f t="shared" si="5"/>
        <v>0</v>
      </c>
      <c r="BB610" s="1130"/>
      <c r="BC610" s="1130"/>
      <c r="BD610" s="1130"/>
      <c r="BE610" s="1131"/>
      <c r="BF610" s="1195">
        <f t="shared" si="6"/>
        <v>0</v>
      </c>
      <c r="BG610" s="1195"/>
      <c r="BH610" s="1195"/>
      <c r="BI610" s="1195"/>
      <c r="BJ610" s="1195"/>
      <c r="BK610" s="1195">
        <f t="shared" si="7"/>
        <v>0</v>
      </c>
      <c r="BL610" s="1195"/>
      <c r="BM610" s="1195"/>
      <c r="BN610" s="1195"/>
      <c r="BO610" s="1195"/>
      <c r="BP610" s="1195">
        <f t="shared" si="8"/>
        <v>0</v>
      </c>
      <c r="BQ610" s="1195"/>
      <c r="BR610" s="1195"/>
      <c r="BS610" s="1195"/>
      <c r="BT610" s="1195"/>
      <c r="BU610" s="1195">
        <f t="shared" si="9"/>
        <v>0</v>
      </c>
      <c r="BV610" s="1195"/>
      <c r="BW610" s="1195"/>
      <c r="BX610" s="1195"/>
      <c r="BY610" s="1195"/>
      <c r="BZ610" s="1195">
        <f t="shared" si="10"/>
        <v>0</v>
      </c>
      <c r="CA610" s="1195"/>
      <c r="CB610" s="1195"/>
      <c r="CC610" s="1195"/>
      <c r="CD610" s="1195"/>
      <c r="CE610" s="1203">
        <f t="shared" si="11"/>
        <v>0</v>
      </c>
      <c r="CF610" s="1203"/>
      <c r="CG610" s="1203"/>
      <c r="CH610" s="1203"/>
      <c r="CI610" s="1203"/>
      <c r="CJ610" s="1203">
        <f t="shared" si="12"/>
        <v>0</v>
      </c>
      <c r="CK610" s="1203"/>
      <c r="CL610" s="1203"/>
      <c r="CM610" s="1203"/>
      <c r="CN610" s="1203"/>
      <c r="CO610" s="1203">
        <f t="shared" si="13"/>
        <v>0</v>
      </c>
      <c r="CP610" s="1203"/>
      <c r="CQ610" s="1203"/>
      <c r="CR610" s="1203"/>
      <c r="CS610" s="1203"/>
      <c r="CT610" s="1203">
        <f t="shared" si="14"/>
        <v>0</v>
      </c>
      <c r="CU610" s="1203"/>
      <c r="CV610" s="1203"/>
      <c r="CW610" s="1203"/>
      <c r="CX610" s="1203"/>
      <c r="CY610" s="1203">
        <f t="shared" si="15"/>
        <v>0</v>
      </c>
      <c r="CZ610" s="1203"/>
      <c r="DA610" s="1203"/>
      <c r="DB610" s="1203"/>
      <c r="DC610" s="1203"/>
      <c r="DD610" s="1203">
        <f t="shared" si="16"/>
        <v>0</v>
      </c>
      <c r="DE610" s="1203"/>
      <c r="DF610" s="1203"/>
      <c r="DG610" s="1203"/>
      <c r="DH610" s="1203"/>
    </row>
    <row r="611" spans="1:112" ht="12.75">
      <c r="A611" s="50" t="s">
        <v>341</v>
      </c>
      <c r="B611" s="50"/>
      <c r="C611" s="50" t="s">
        <v>23</v>
      </c>
      <c r="AM611" s="58"/>
      <c r="AN611" s="58"/>
      <c r="AO611" s="58"/>
      <c r="AP611" s="58"/>
      <c r="AQ611" s="58"/>
      <c r="AR611" s="1514">
        <f t="shared" si="1"/>
        <v>0</v>
      </c>
      <c r="AS611" s="1515"/>
      <c r="AT611" s="1129">
        <f t="shared" si="2"/>
        <v>0</v>
      </c>
      <c r="AU611" s="1131"/>
      <c r="AV611" s="1514">
        <f t="shared" si="3"/>
        <v>0</v>
      </c>
      <c r="AW611" s="1515"/>
      <c r="AX611" s="1129">
        <f t="shared" si="4"/>
        <v>0</v>
      </c>
      <c r="AY611" s="1131"/>
      <c r="AZ611" s="58"/>
      <c r="BA611" s="1129">
        <f t="shared" si="5"/>
        <v>0</v>
      </c>
      <c r="BB611" s="1130"/>
      <c r="BC611" s="1130"/>
      <c r="BD611" s="1130"/>
      <c r="BE611" s="1131"/>
      <c r="BF611" s="1195">
        <f t="shared" si="6"/>
        <v>0</v>
      </c>
      <c r="BG611" s="1195"/>
      <c r="BH611" s="1195"/>
      <c r="BI611" s="1195"/>
      <c r="BJ611" s="1195"/>
      <c r="BK611" s="1195">
        <f t="shared" si="7"/>
        <v>0</v>
      </c>
      <c r="BL611" s="1195"/>
      <c r="BM611" s="1195"/>
      <c r="BN611" s="1195"/>
      <c r="BO611" s="1195"/>
      <c r="BP611" s="1195">
        <f t="shared" si="8"/>
        <v>0</v>
      </c>
      <c r="BQ611" s="1195"/>
      <c r="BR611" s="1195"/>
      <c r="BS611" s="1195"/>
      <c r="BT611" s="1195"/>
      <c r="BU611" s="1195">
        <f t="shared" si="9"/>
        <v>0</v>
      </c>
      <c r="BV611" s="1195"/>
      <c r="BW611" s="1195"/>
      <c r="BX611" s="1195"/>
      <c r="BY611" s="1195"/>
      <c r="BZ611" s="1195">
        <f t="shared" si="10"/>
        <v>0</v>
      </c>
      <c r="CA611" s="1195"/>
      <c r="CB611" s="1195"/>
      <c r="CC611" s="1195"/>
      <c r="CD611" s="1195"/>
      <c r="CE611" s="1203">
        <f t="shared" si="11"/>
        <v>0</v>
      </c>
      <c r="CF611" s="1203"/>
      <c r="CG611" s="1203"/>
      <c r="CH611" s="1203"/>
      <c r="CI611" s="1203"/>
      <c r="CJ611" s="1203">
        <f t="shared" si="12"/>
        <v>0</v>
      </c>
      <c r="CK611" s="1203"/>
      <c r="CL611" s="1203"/>
      <c r="CM611" s="1203"/>
      <c r="CN611" s="1203"/>
      <c r="CO611" s="1203">
        <f t="shared" si="13"/>
        <v>0</v>
      </c>
      <c r="CP611" s="1203"/>
      <c r="CQ611" s="1203"/>
      <c r="CR611" s="1203"/>
      <c r="CS611" s="1203"/>
      <c r="CT611" s="1203">
        <f t="shared" si="14"/>
        <v>0</v>
      </c>
      <c r="CU611" s="1203"/>
      <c r="CV611" s="1203"/>
      <c r="CW611" s="1203"/>
      <c r="CX611" s="1203"/>
      <c r="CY611" s="1203">
        <f t="shared" si="15"/>
        <v>0</v>
      </c>
      <c r="CZ611" s="1203"/>
      <c r="DA611" s="1203"/>
      <c r="DB611" s="1203"/>
      <c r="DC611" s="1203"/>
      <c r="DD611" s="1203">
        <f t="shared" si="16"/>
        <v>0</v>
      </c>
      <c r="DE611" s="1203"/>
      <c r="DF611" s="1203"/>
      <c r="DG611" s="1203"/>
      <c r="DH611" s="1203"/>
    </row>
    <row r="612" spans="1:112" ht="12.75">
      <c r="A612" s="50"/>
      <c r="B612" s="50"/>
      <c r="C612" s="50"/>
      <c r="AM612" s="58"/>
      <c r="AN612" s="58"/>
      <c r="AO612" s="58"/>
      <c r="AP612" s="58"/>
      <c r="AQ612" s="58"/>
      <c r="AR612" s="1514">
        <f t="shared" si="1"/>
        <v>0</v>
      </c>
      <c r="AS612" s="1515"/>
      <c r="AT612" s="1129">
        <f t="shared" si="2"/>
        <v>0</v>
      </c>
      <c r="AU612" s="1131"/>
      <c r="AV612" s="1514">
        <f t="shared" si="3"/>
        <v>0</v>
      </c>
      <c r="AW612" s="1515"/>
      <c r="AX612" s="1129">
        <f t="shared" si="4"/>
        <v>0</v>
      </c>
      <c r="AY612" s="1131"/>
      <c r="AZ612" s="58"/>
      <c r="BA612" s="1129">
        <f t="shared" si="5"/>
        <v>0</v>
      </c>
      <c r="BB612" s="1130"/>
      <c r="BC612" s="1130"/>
      <c r="BD612" s="1130"/>
      <c r="BE612" s="1131"/>
      <c r="BF612" s="1195">
        <f t="shared" si="6"/>
        <v>0</v>
      </c>
      <c r="BG612" s="1195"/>
      <c r="BH612" s="1195"/>
      <c r="BI612" s="1195"/>
      <c r="BJ612" s="1195"/>
      <c r="BK612" s="1195">
        <f t="shared" si="7"/>
        <v>0</v>
      </c>
      <c r="BL612" s="1195"/>
      <c r="BM612" s="1195"/>
      <c r="BN612" s="1195"/>
      <c r="BO612" s="1195"/>
      <c r="BP612" s="1195">
        <f t="shared" si="8"/>
        <v>0</v>
      </c>
      <c r="BQ612" s="1195"/>
      <c r="BR612" s="1195"/>
      <c r="BS612" s="1195"/>
      <c r="BT612" s="1195"/>
      <c r="BU612" s="1195">
        <f t="shared" si="9"/>
        <v>0</v>
      </c>
      <c r="BV612" s="1195"/>
      <c r="BW612" s="1195"/>
      <c r="BX612" s="1195"/>
      <c r="BY612" s="1195"/>
      <c r="BZ612" s="1195">
        <f t="shared" si="10"/>
        <v>0</v>
      </c>
      <c r="CA612" s="1195"/>
      <c r="CB612" s="1195"/>
      <c r="CC612" s="1195"/>
      <c r="CD612" s="1195"/>
      <c r="CE612" s="1203">
        <f t="shared" si="11"/>
        <v>0</v>
      </c>
      <c r="CF612" s="1203"/>
      <c r="CG612" s="1203"/>
      <c r="CH612" s="1203"/>
      <c r="CI612" s="1203"/>
      <c r="CJ612" s="1203">
        <f t="shared" si="12"/>
        <v>0</v>
      </c>
      <c r="CK612" s="1203"/>
      <c r="CL612" s="1203"/>
      <c r="CM612" s="1203"/>
      <c r="CN612" s="1203"/>
      <c r="CO612" s="1203">
        <f t="shared" si="13"/>
        <v>0</v>
      </c>
      <c r="CP612" s="1203"/>
      <c r="CQ612" s="1203"/>
      <c r="CR612" s="1203"/>
      <c r="CS612" s="1203"/>
      <c r="CT612" s="1203">
        <f t="shared" si="14"/>
        <v>0</v>
      </c>
      <c r="CU612" s="1203"/>
      <c r="CV612" s="1203"/>
      <c r="CW612" s="1203"/>
      <c r="CX612" s="1203"/>
      <c r="CY612" s="1203">
        <f t="shared" si="15"/>
        <v>0</v>
      </c>
      <c r="CZ612" s="1203"/>
      <c r="DA612" s="1203"/>
      <c r="DB612" s="1203"/>
      <c r="DC612" s="1203"/>
      <c r="DD612" s="1203">
        <f t="shared" si="16"/>
        <v>0</v>
      </c>
      <c r="DE612" s="1203"/>
      <c r="DF612" s="1203"/>
      <c r="DG612" s="1203"/>
      <c r="DH612" s="120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4">
        <f t="shared" si="1"/>
        <v>0</v>
      </c>
      <c r="AS613" s="1515"/>
      <c r="AT613" s="1129">
        <f t="shared" si="2"/>
        <v>0</v>
      </c>
      <c r="AU613" s="1131"/>
      <c r="AV613" s="1514">
        <f t="shared" si="3"/>
        <v>0</v>
      </c>
      <c r="AW613" s="1515"/>
      <c r="AX613" s="1129">
        <f t="shared" si="4"/>
        <v>0</v>
      </c>
      <c r="AY613" s="1131"/>
      <c r="AZ613" s="58"/>
      <c r="BA613" s="1129">
        <f t="shared" si="5"/>
        <v>0</v>
      </c>
      <c r="BB613" s="1130"/>
      <c r="BC613" s="1130"/>
      <c r="BD613" s="1130"/>
      <c r="BE613" s="1131"/>
      <c r="BF613" s="1195">
        <f t="shared" si="6"/>
        <v>0</v>
      </c>
      <c r="BG613" s="1195"/>
      <c r="BH613" s="1195"/>
      <c r="BI613" s="1195"/>
      <c r="BJ613" s="1195"/>
      <c r="BK613" s="1195">
        <f t="shared" si="7"/>
        <v>0</v>
      </c>
      <c r="BL613" s="1195"/>
      <c r="BM613" s="1195"/>
      <c r="BN613" s="1195"/>
      <c r="BO613" s="1195"/>
      <c r="BP613" s="1195">
        <f t="shared" si="8"/>
        <v>0</v>
      </c>
      <c r="BQ613" s="1195"/>
      <c r="BR613" s="1195"/>
      <c r="BS613" s="1195"/>
      <c r="BT613" s="1195"/>
      <c r="BU613" s="1195">
        <f t="shared" si="9"/>
        <v>0</v>
      </c>
      <c r="BV613" s="1195"/>
      <c r="BW613" s="1195"/>
      <c r="BX613" s="1195"/>
      <c r="BY613" s="1195"/>
      <c r="BZ613" s="1195">
        <f t="shared" si="10"/>
        <v>0</v>
      </c>
      <c r="CA613" s="1195"/>
      <c r="CB613" s="1195"/>
      <c r="CC613" s="1195"/>
      <c r="CD613" s="1195"/>
      <c r="CE613" s="1203">
        <f t="shared" si="11"/>
        <v>0</v>
      </c>
      <c r="CF613" s="1203"/>
      <c r="CG613" s="1203"/>
      <c r="CH613" s="1203"/>
      <c r="CI613" s="1203"/>
      <c r="CJ613" s="1203">
        <f t="shared" si="12"/>
        <v>0</v>
      </c>
      <c r="CK613" s="1203"/>
      <c r="CL613" s="1203"/>
      <c r="CM613" s="1203"/>
      <c r="CN613" s="1203"/>
      <c r="CO613" s="1203">
        <f t="shared" si="13"/>
        <v>0</v>
      </c>
      <c r="CP613" s="1203"/>
      <c r="CQ613" s="1203"/>
      <c r="CR613" s="1203"/>
      <c r="CS613" s="1203"/>
      <c r="CT613" s="1203">
        <f t="shared" si="14"/>
        <v>0</v>
      </c>
      <c r="CU613" s="1203"/>
      <c r="CV613" s="1203"/>
      <c r="CW613" s="1203"/>
      <c r="CX613" s="1203"/>
      <c r="CY613" s="1203">
        <f t="shared" si="15"/>
        <v>0</v>
      </c>
      <c r="CZ613" s="1203"/>
      <c r="DA613" s="1203"/>
      <c r="DB613" s="1203"/>
      <c r="DC613" s="1203"/>
      <c r="DD613" s="1203">
        <f t="shared" si="16"/>
        <v>0</v>
      </c>
      <c r="DE613" s="1203"/>
      <c r="DF613" s="1203"/>
      <c r="DG613" s="1203"/>
      <c r="DH613" s="120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4">
        <f>SUM(AT589:AU613)</f>
        <v>30</v>
      </c>
      <c r="AU614" s="1515"/>
      <c r="AV614" s="58"/>
      <c r="AW614" s="58"/>
      <c r="AX614" s="1514">
        <f>SUM(AX589:AY613)</f>
        <v>29</v>
      </c>
      <c r="AY614" s="1515"/>
      <c r="AZ614" s="58"/>
      <c r="BA614" s="1514">
        <f>SUM(BA589:BE613)</f>
        <v>0</v>
      </c>
      <c r="BB614" s="1522"/>
      <c r="BC614" s="1522"/>
      <c r="BD614" s="1522"/>
      <c r="BE614" s="1515"/>
      <c r="BF614" s="1208">
        <f>SUM(BF589:BJ613)</f>
        <v>59</v>
      </c>
      <c r="BG614" s="1208"/>
      <c r="BH614" s="1208"/>
      <c r="BI614" s="1208"/>
      <c r="BJ614" s="1208"/>
      <c r="BK614" s="1208">
        <f>SUM(BK589:BO613)</f>
        <v>0</v>
      </c>
      <c r="BL614" s="1208"/>
      <c r="BM614" s="1208"/>
      <c r="BN614" s="1208"/>
      <c r="BO614" s="1208"/>
      <c r="BP614" s="1208">
        <f>SUM(BP589:BT613)</f>
        <v>0</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29</v>
      </c>
      <c r="CK614" s="1208"/>
      <c r="CL614" s="1208"/>
      <c r="CM614" s="1208"/>
      <c r="CN614" s="1208"/>
      <c r="CO614" s="1208">
        <f>SUM(CO589:CS613)</f>
        <v>0</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2.75">
      <c r="B615" s="1430" t="s">
        <v>498</v>
      </c>
      <c r="C615" s="1431"/>
      <c r="D615" s="1431"/>
      <c r="E615" s="1431"/>
      <c r="F615" s="1431"/>
      <c r="G615" s="1431"/>
      <c r="H615" s="1431"/>
      <c r="I615" s="1431"/>
      <c r="J615" s="1431"/>
      <c r="K615" s="1431"/>
      <c r="L615" s="1431"/>
      <c r="M615" s="1431"/>
      <c r="N615" s="1431"/>
      <c r="O615" s="1432"/>
      <c r="P615" s="1439" t="s">
        <v>346</v>
      </c>
      <c r="Q615" s="1440"/>
      <c r="R615" s="1441"/>
      <c r="S615" s="1528" t="s">
        <v>499</v>
      </c>
      <c r="T615" s="1529"/>
      <c r="U615" s="1530"/>
      <c r="V615" s="1429" t="s">
        <v>18</v>
      </c>
      <c r="W615" s="1429"/>
      <c r="X615" s="1429"/>
      <c r="Y615" s="1429"/>
      <c r="Z615" s="1429"/>
      <c r="AA615" s="1429"/>
      <c r="AB615" s="1429" t="s">
        <v>17</v>
      </c>
      <c r="AC615" s="1429"/>
      <c r="AD615" s="1429"/>
      <c r="AE615" s="1429"/>
      <c r="AF615" s="1429"/>
      <c r="AG615" s="1429" t="s">
        <v>500</v>
      </c>
      <c r="AH615" s="1429"/>
      <c r="AI615" s="1429"/>
      <c r="AJ615" s="1429"/>
      <c r="AK615" s="142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3"/>
      <c r="C616" s="1434"/>
      <c r="D616" s="1434"/>
      <c r="E616" s="1434"/>
      <c r="F616" s="1434"/>
      <c r="G616" s="1434"/>
      <c r="H616" s="1434"/>
      <c r="I616" s="1434"/>
      <c r="J616" s="1434"/>
      <c r="K616" s="1434"/>
      <c r="L616" s="1434"/>
      <c r="M616" s="1434"/>
      <c r="N616" s="1434"/>
      <c r="O616" s="1435"/>
      <c r="P616" s="1442"/>
      <c r="Q616" s="1443"/>
      <c r="R616" s="1444"/>
      <c r="S616" s="1531"/>
      <c r="T616" s="1532"/>
      <c r="U616" s="1533"/>
      <c r="V616" s="1429"/>
      <c r="W616" s="1429"/>
      <c r="X616" s="1429"/>
      <c r="Y616" s="1429"/>
      <c r="Z616" s="1429"/>
      <c r="AA616" s="1429"/>
      <c r="AB616" s="1429"/>
      <c r="AC616" s="1429"/>
      <c r="AD616" s="1429"/>
      <c r="AE616" s="1429"/>
      <c r="AF616" s="1429"/>
      <c r="AG616" s="1429"/>
      <c r="AH616" s="1429"/>
      <c r="AI616" s="1429"/>
      <c r="AJ616" s="1429"/>
      <c r="AK616" s="142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6"/>
      <c r="C617" s="1437"/>
      <c r="D617" s="1437"/>
      <c r="E617" s="1437"/>
      <c r="F617" s="1437"/>
      <c r="G617" s="1437"/>
      <c r="H617" s="1437"/>
      <c r="I617" s="1437"/>
      <c r="J617" s="1437"/>
      <c r="K617" s="1437"/>
      <c r="L617" s="1437"/>
      <c r="M617" s="1437"/>
      <c r="N617" s="1437"/>
      <c r="O617" s="1438"/>
      <c r="P617" s="1445"/>
      <c r="Q617" s="1446"/>
      <c r="R617" s="1447"/>
      <c r="S617" s="1534"/>
      <c r="T617" s="1535"/>
      <c r="U617" s="1536"/>
      <c r="V617" s="1429"/>
      <c r="W617" s="1429"/>
      <c r="X617" s="1429"/>
      <c r="Y617" s="1429"/>
      <c r="Z617" s="1429"/>
      <c r="AA617" s="1429"/>
      <c r="AB617" s="1429"/>
      <c r="AC617" s="1429"/>
      <c r="AD617" s="1429"/>
      <c r="AE617" s="1429"/>
      <c r="AF617" s="1429"/>
      <c r="AG617" s="1429"/>
      <c r="AH617" s="1429"/>
      <c r="AI617" s="1429"/>
      <c r="AJ617" s="1429"/>
      <c r="AK617" s="1429"/>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0</v>
      </c>
      <c r="BG617" s="1195"/>
      <c r="BH617" s="1195"/>
      <c r="BI617" s="1195"/>
      <c r="BJ617" s="1195"/>
      <c r="BK617" s="1195">
        <f>IF(J754="2 Bedrooms",O754,0)</f>
        <v>1</v>
      </c>
      <c r="BL617" s="1195"/>
      <c r="BM617" s="1195"/>
      <c r="BN617" s="1195"/>
      <c r="BO617" s="1195"/>
      <c r="BP617" s="1195">
        <f>IF(J754="3 Bedrooms",O754,0)</f>
        <v>0</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222" t="s">
        <v>1754</v>
      </c>
      <c r="D618" s="1426"/>
      <c r="E618" s="1426"/>
      <c r="F618" s="1426"/>
      <c r="G618" s="1426"/>
      <c r="H618" s="1426"/>
      <c r="I618" s="1426"/>
      <c r="J618" s="1426"/>
      <c r="K618" s="1426"/>
      <c r="L618" s="1426"/>
      <c r="M618" s="1426"/>
      <c r="N618" s="1426"/>
      <c r="O618" s="1427"/>
      <c r="P618" s="1219">
        <f>35*12</f>
        <v>420</v>
      </c>
      <c r="Q618" s="1220"/>
      <c r="R618" s="1221"/>
      <c r="S618" s="1216">
        <v>4.3520000000000003E-2</v>
      </c>
      <c r="T618" s="1217"/>
      <c r="U618" s="1218"/>
      <c r="V618" s="1219" t="s">
        <v>504</v>
      </c>
      <c r="W618" s="1220"/>
      <c r="X618" s="1220"/>
      <c r="Y618" s="1220"/>
      <c r="Z618" s="1220"/>
      <c r="AA618" s="1221"/>
      <c r="AB618" s="1224">
        <f>PMT(S618/12,P618,-AG618,0)*12</f>
        <v>330221.30122736219</v>
      </c>
      <c r="AC618" s="1224"/>
      <c r="AD618" s="1224"/>
      <c r="AE618" s="1224"/>
      <c r="AF618" s="1224"/>
      <c r="AG618" s="1224">
        <v>5929000</v>
      </c>
      <c r="AH618" s="1224"/>
      <c r="AI618" s="1224"/>
      <c r="AJ618" s="1224"/>
      <c r="AK618" s="1224"/>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2.75">
      <c r="B619" s="84" t="s">
        <v>120</v>
      </c>
      <c r="C619" s="1222" t="s">
        <v>1755</v>
      </c>
      <c r="D619" s="1099"/>
      <c r="E619" s="1099"/>
      <c r="F619" s="1099"/>
      <c r="G619" s="1099"/>
      <c r="H619" s="1099"/>
      <c r="I619" s="1099"/>
      <c r="J619" s="1099"/>
      <c r="K619" s="1099"/>
      <c r="L619" s="1099"/>
      <c r="M619" s="1099"/>
      <c r="N619" s="1099"/>
      <c r="O619" s="1223"/>
      <c r="P619" s="1219">
        <v>660</v>
      </c>
      <c r="Q619" s="1220"/>
      <c r="R619" s="1221"/>
      <c r="S619" s="1216">
        <v>0.03</v>
      </c>
      <c r="T619" s="1217"/>
      <c r="U619" s="1218"/>
      <c r="V619" s="1219" t="s">
        <v>504</v>
      </c>
      <c r="W619" s="1220"/>
      <c r="X619" s="1220"/>
      <c r="Y619" s="1220"/>
      <c r="Z619" s="1220"/>
      <c r="AA619" s="1221"/>
      <c r="AB619" s="1224">
        <f>AG619*0.0042</f>
        <v>47624.614799999996</v>
      </c>
      <c r="AC619" s="1224"/>
      <c r="AD619" s="1224"/>
      <c r="AE619" s="1224"/>
      <c r="AF619" s="1224"/>
      <c r="AG619" s="1224">
        <v>11339194</v>
      </c>
      <c r="AH619" s="1224"/>
      <c r="AI619" s="1224"/>
      <c r="AJ619" s="1224"/>
      <c r="AK619" s="1224"/>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2.75">
      <c r="B620" s="84" t="s">
        <v>126</v>
      </c>
      <c r="C620" s="1099" t="str">
        <f>C547</f>
        <v>Vacaville Acquisition Loan</v>
      </c>
      <c r="D620" s="1099"/>
      <c r="E620" s="1099"/>
      <c r="F620" s="1099"/>
      <c r="G620" s="1099"/>
      <c r="H620" s="1099"/>
      <c r="I620" s="1099"/>
      <c r="J620" s="1099"/>
      <c r="K620" s="1099"/>
      <c r="L620" s="1099"/>
      <c r="M620" s="1099"/>
      <c r="N620" s="1099"/>
      <c r="O620" s="1223"/>
      <c r="P620" s="1219">
        <v>660</v>
      </c>
      <c r="Q620" s="1220"/>
      <c r="R620" s="1221"/>
      <c r="S620" s="1216">
        <v>0</v>
      </c>
      <c r="T620" s="1217"/>
      <c r="U620" s="1218"/>
      <c r="V620" s="1219" t="s">
        <v>504</v>
      </c>
      <c r="W620" s="1220"/>
      <c r="X620" s="1220"/>
      <c r="Y620" s="1220"/>
      <c r="Z620" s="1220"/>
      <c r="AA620" s="1221"/>
      <c r="AB620" s="1224"/>
      <c r="AC620" s="1224"/>
      <c r="AD620" s="1224"/>
      <c r="AE620" s="1224"/>
      <c r="AF620" s="1224"/>
      <c r="AG620" s="1224">
        <f>AE547</f>
        <v>1320000</v>
      </c>
      <c r="AH620" s="1224"/>
      <c r="AI620" s="1224"/>
      <c r="AJ620" s="1224"/>
      <c r="AK620" s="1224"/>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2.75">
      <c r="B621" s="84" t="s">
        <v>632</v>
      </c>
      <c r="C621" s="1099" t="str">
        <f>C548</f>
        <v>Vacaville Loan</v>
      </c>
      <c r="D621" s="1099"/>
      <c r="E621" s="1099"/>
      <c r="F621" s="1099"/>
      <c r="G621" s="1099"/>
      <c r="H621" s="1099"/>
      <c r="I621" s="1099"/>
      <c r="J621" s="1099"/>
      <c r="K621" s="1099"/>
      <c r="L621" s="1099"/>
      <c r="M621" s="1099"/>
      <c r="N621" s="1099"/>
      <c r="O621" s="1223"/>
      <c r="P621" s="1219">
        <v>660</v>
      </c>
      <c r="Q621" s="1220"/>
      <c r="R621" s="1221"/>
      <c r="S621" s="1216">
        <v>0.01</v>
      </c>
      <c r="T621" s="1217"/>
      <c r="U621" s="1218"/>
      <c r="V621" s="1219" t="s">
        <v>504</v>
      </c>
      <c r="W621" s="1220"/>
      <c r="X621" s="1220"/>
      <c r="Y621" s="1220"/>
      <c r="Z621" s="1220"/>
      <c r="AA621" s="1221"/>
      <c r="AB621" s="1224"/>
      <c r="AC621" s="1224"/>
      <c r="AD621" s="1224"/>
      <c r="AE621" s="1224"/>
      <c r="AF621" s="1224"/>
      <c r="AG621" s="1224">
        <f>AE548</f>
        <v>500000</v>
      </c>
      <c r="AH621" s="1224"/>
      <c r="AI621" s="1224"/>
      <c r="AJ621" s="1224"/>
      <c r="AK621" s="1224"/>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0</v>
      </c>
      <c r="BG621" s="1133"/>
      <c r="BH621" s="1133"/>
      <c r="BI621" s="1133"/>
      <c r="BJ621" s="1134"/>
      <c r="BK621" s="1132">
        <f>SUM(BK617:BO620)</f>
        <v>1</v>
      </c>
      <c r="BL621" s="1133"/>
      <c r="BM621" s="1133"/>
      <c r="BN621" s="1133"/>
      <c r="BO621" s="1134"/>
      <c r="BP621" s="1132">
        <f>SUM(BP617:BT620)</f>
        <v>0</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2.75">
      <c r="B622" s="84" t="s">
        <v>842</v>
      </c>
      <c r="C622" s="1099" t="str">
        <f>C549</f>
        <v>Deferred Developer Fee</v>
      </c>
      <c r="D622" s="1099"/>
      <c r="E622" s="1099"/>
      <c r="F622" s="1099"/>
      <c r="G622" s="1099"/>
      <c r="H622" s="1099"/>
      <c r="I622" s="1099"/>
      <c r="J622" s="1099"/>
      <c r="K622" s="1099"/>
      <c r="L622" s="1099"/>
      <c r="M622" s="1099"/>
      <c r="N622" s="1099"/>
      <c r="O622" s="1223"/>
      <c r="P622" s="1428" t="s">
        <v>642</v>
      </c>
      <c r="Q622" s="1220"/>
      <c r="R622" s="1221"/>
      <c r="S622" s="1537" t="s">
        <v>642</v>
      </c>
      <c r="T622" s="1217"/>
      <c r="U622" s="1218"/>
      <c r="V622" s="1219"/>
      <c r="W622" s="1220"/>
      <c r="X622" s="1220"/>
      <c r="Y622" s="1220"/>
      <c r="Z622" s="1220"/>
      <c r="AA622" s="1221"/>
      <c r="AB622" s="1224"/>
      <c r="AC622" s="1224"/>
      <c r="AD622" s="1224"/>
      <c r="AE622" s="1224"/>
      <c r="AF622" s="1224"/>
      <c r="AG622" s="1224">
        <f>AE549</f>
        <v>814691</v>
      </c>
      <c r="AH622" s="1224"/>
      <c r="AI622" s="1224"/>
      <c r="AJ622" s="1224"/>
      <c r="AK622" s="122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9"/>
      <c r="D623" s="1099"/>
      <c r="E623" s="1099"/>
      <c r="F623" s="1099"/>
      <c r="G623" s="1099"/>
      <c r="H623" s="1099"/>
      <c r="I623" s="1099"/>
      <c r="J623" s="1099"/>
      <c r="K623" s="1099"/>
      <c r="L623" s="1099"/>
      <c r="M623" s="1099"/>
      <c r="N623" s="1099"/>
      <c r="O623" s="1223"/>
      <c r="P623" s="1219"/>
      <c r="Q623" s="1220"/>
      <c r="R623" s="1221"/>
      <c r="S623" s="1216"/>
      <c r="T623" s="1217"/>
      <c r="U623" s="1218"/>
      <c r="V623" s="1219"/>
      <c r="W623" s="1220"/>
      <c r="X623" s="1220"/>
      <c r="Y623" s="1220"/>
      <c r="Z623" s="1220"/>
      <c r="AA623" s="1221"/>
      <c r="AB623" s="1224"/>
      <c r="AC623" s="1224"/>
      <c r="AD623" s="1224"/>
      <c r="AE623" s="1224"/>
      <c r="AF623" s="1224"/>
      <c r="AG623" s="1224"/>
      <c r="AH623" s="1224"/>
      <c r="AI623" s="1224"/>
      <c r="AJ623" s="1224"/>
      <c r="AK623" s="1224"/>
      <c r="AL623" s="58"/>
      <c r="AM623" s="61"/>
      <c r="AN623" s="61"/>
      <c r="AO623" s="61"/>
      <c r="AP623" s="61"/>
      <c r="AQ623" s="61"/>
      <c r="AR623" s="61"/>
      <c r="AS623" s="61"/>
      <c r="AT623" s="61"/>
      <c r="AU623" s="61"/>
      <c r="AV623" s="61"/>
      <c r="AW623" s="61"/>
      <c r="AX623" s="61"/>
      <c r="AY623" s="61"/>
      <c r="AZ623" s="61"/>
      <c r="BA623" s="1129">
        <f t="shared" ref="BA623:BA632" si="17">IF(J768="SRO/Studio",O768,0)</f>
        <v>0</v>
      </c>
      <c r="BB623" s="1130"/>
      <c r="BC623" s="1130"/>
      <c r="BD623" s="1130"/>
      <c r="BE623" s="1131"/>
      <c r="BF623" s="1195">
        <f t="shared" ref="BF623:BF632" si="18">IF(J768="1 Bedroom",O768,0)</f>
        <v>0</v>
      </c>
      <c r="BG623" s="1195"/>
      <c r="BH623" s="1195"/>
      <c r="BI623" s="1195"/>
      <c r="BJ623" s="1195"/>
      <c r="BK623" s="1195">
        <f t="shared" ref="BK623:BK632" si="19">IF(J768="2 Bedrooms",O768,0)</f>
        <v>0</v>
      </c>
      <c r="BL623" s="1195"/>
      <c r="BM623" s="1195"/>
      <c r="BN623" s="1195"/>
      <c r="BO623" s="1195"/>
      <c r="BP623" s="1195">
        <f t="shared" ref="BP623:BP632" si="20">IF(J768="3 Bedrooms",O768,0)</f>
        <v>0</v>
      </c>
      <c r="BQ623" s="1195"/>
      <c r="BR623" s="1195"/>
      <c r="BS623" s="1195"/>
      <c r="BT623" s="1195"/>
      <c r="BU623" s="1195">
        <f t="shared" ref="BU623:BU632" si="21">IF(J768="4 Bedrooms",O768,0)</f>
        <v>0</v>
      </c>
      <c r="BV623" s="1195"/>
      <c r="BW623" s="1195"/>
      <c r="BX623" s="1195"/>
      <c r="BY623" s="1195"/>
      <c r="BZ623" s="1195">
        <f t="shared" ref="BZ623:BZ632" si="22">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2.75">
      <c r="B624" s="84" t="s">
        <v>501</v>
      </c>
      <c r="C624" s="1099"/>
      <c r="D624" s="1099"/>
      <c r="E624" s="1099"/>
      <c r="F624" s="1099"/>
      <c r="G624" s="1099"/>
      <c r="H624" s="1099"/>
      <c r="I624" s="1099"/>
      <c r="J624" s="1099"/>
      <c r="K624" s="1099"/>
      <c r="L624" s="1099"/>
      <c r="M624" s="1099"/>
      <c r="N624" s="1099"/>
      <c r="O624" s="1223"/>
      <c r="P624" s="1219"/>
      <c r="Q624" s="1220"/>
      <c r="R624" s="1221"/>
      <c r="S624" s="1216"/>
      <c r="T624" s="1217"/>
      <c r="U624" s="1218"/>
      <c r="V624" s="1219"/>
      <c r="W624" s="1220"/>
      <c r="X624" s="1220"/>
      <c r="Y624" s="1220"/>
      <c r="Z624" s="1220"/>
      <c r="AA624" s="1221"/>
      <c r="AB624" s="1224"/>
      <c r="AC624" s="1224"/>
      <c r="AD624" s="1224"/>
      <c r="AE624" s="1224"/>
      <c r="AF624" s="1224"/>
      <c r="AG624" s="1224"/>
      <c r="AH624" s="1224"/>
      <c r="AI624" s="1224"/>
      <c r="AJ624" s="1224"/>
      <c r="AK624" s="1224"/>
      <c r="AL624" s="58"/>
      <c r="AM624" s="61"/>
      <c r="AN624" s="61"/>
      <c r="AO624" s="61"/>
      <c r="AP624" s="61"/>
      <c r="AQ624" s="61"/>
      <c r="AR624" s="61"/>
      <c r="AS624" s="61"/>
      <c r="AT624" s="61"/>
      <c r="AU624" s="61"/>
      <c r="AV624" s="61"/>
      <c r="AW624" s="61"/>
      <c r="AX624" s="61"/>
      <c r="AY624" s="61"/>
      <c r="AZ624" s="61"/>
      <c r="BA624" s="1129">
        <f t="shared" si="17"/>
        <v>0</v>
      </c>
      <c r="BB624" s="1130"/>
      <c r="BC624" s="1130"/>
      <c r="BD624" s="1130"/>
      <c r="BE624" s="1131"/>
      <c r="BF624" s="1195">
        <f t="shared" si="18"/>
        <v>0</v>
      </c>
      <c r="BG624" s="1195"/>
      <c r="BH624" s="1195"/>
      <c r="BI624" s="1195"/>
      <c r="BJ624" s="1195"/>
      <c r="BK624" s="1195">
        <f t="shared" si="19"/>
        <v>0</v>
      </c>
      <c r="BL624" s="1195"/>
      <c r="BM624" s="1195"/>
      <c r="BN624" s="1195"/>
      <c r="BO624" s="1195"/>
      <c r="BP624" s="1195">
        <f t="shared" si="20"/>
        <v>0</v>
      </c>
      <c r="BQ624" s="1195"/>
      <c r="BR624" s="1195"/>
      <c r="BS624" s="1195"/>
      <c r="BT624" s="1195"/>
      <c r="BU624" s="1195">
        <f t="shared" si="21"/>
        <v>0</v>
      </c>
      <c r="BV624" s="1195"/>
      <c r="BW624" s="1195"/>
      <c r="BX624" s="1195"/>
      <c r="BY624" s="1195"/>
      <c r="BZ624" s="1195">
        <f t="shared" si="22"/>
        <v>0</v>
      </c>
      <c r="CA624" s="1195"/>
      <c r="CB624" s="1195"/>
      <c r="CC624" s="1195"/>
      <c r="CD624" s="1195"/>
      <c r="CE624" s="58"/>
      <c r="CF624" s="58"/>
      <c r="CG624" s="58"/>
      <c r="CH624" s="58"/>
      <c r="CI624" s="58"/>
      <c r="CJ624" s="58"/>
      <c r="CK624" s="58"/>
      <c r="CL624" s="58"/>
      <c r="CM624" s="58"/>
      <c r="CN624" s="58"/>
      <c r="CO624" s="58"/>
      <c r="CP624" s="58"/>
      <c r="CQ624" s="58"/>
      <c r="CR624" s="58"/>
    </row>
    <row r="625" spans="1:96" ht="12.75">
      <c r="B625" s="84" t="s">
        <v>502</v>
      </c>
      <c r="C625" s="1099"/>
      <c r="D625" s="1099"/>
      <c r="E625" s="1099"/>
      <c r="F625" s="1099"/>
      <c r="G625" s="1099"/>
      <c r="H625" s="1099"/>
      <c r="I625" s="1099"/>
      <c r="J625" s="1099"/>
      <c r="K625" s="1099"/>
      <c r="L625" s="1099"/>
      <c r="M625" s="1099"/>
      <c r="N625" s="1099"/>
      <c r="O625" s="1223"/>
      <c r="P625" s="1219"/>
      <c r="Q625" s="1220"/>
      <c r="R625" s="1221"/>
      <c r="S625" s="1216"/>
      <c r="T625" s="1217"/>
      <c r="U625" s="1218"/>
      <c r="V625" s="1219"/>
      <c r="W625" s="1220"/>
      <c r="X625" s="1220"/>
      <c r="Y625" s="1220"/>
      <c r="Z625" s="1220"/>
      <c r="AA625" s="1221"/>
      <c r="AB625" s="1224"/>
      <c r="AC625" s="1224"/>
      <c r="AD625" s="1224"/>
      <c r="AE625" s="1224"/>
      <c r="AF625" s="1224"/>
      <c r="AG625" s="1224"/>
      <c r="AH625" s="1224"/>
      <c r="AI625" s="1224"/>
      <c r="AJ625" s="1224"/>
      <c r="AK625" s="1224"/>
      <c r="AL625" s="58"/>
      <c r="AM625" s="61"/>
      <c r="AN625" s="61"/>
      <c r="AO625" s="61"/>
      <c r="AP625" s="61"/>
      <c r="AQ625" s="61"/>
      <c r="AR625" s="61"/>
      <c r="AS625" s="61"/>
      <c r="AT625" s="61"/>
      <c r="AU625" s="61"/>
      <c r="AV625" s="61"/>
      <c r="AW625" s="61"/>
      <c r="AX625" s="61"/>
      <c r="AY625" s="61"/>
      <c r="AZ625" s="61"/>
      <c r="BA625" s="1129">
        <f t="shared" si="17"/>
        <v>0</v>
      </c>
      <c r="BB625" s="1130"/>
      <c r="BC625" s="1130"/>
      <c r="BD625" s="1130"/>
      <c r="BE625" s="1131"/>
      <c r="BF625" s="1195">
        <f t="shared" si="18"/>
        <v>0</v>
      </c>
      <c r="BG625" s="1195"/>
      <c r="BH625" s="1195"/>
      <c r="BI625" s="1195"/>
      <c r="BJ625" s="1195"/>
      <c r="BK625" s="1195">
        <f t="shared" si="19"/>
        <v>0</v>
      </c>
      <c r="BL625" s="1195"/>
      <c r="BM625" s="1195"/>
      <c r="BN625" s="1195"/>
      <c r="BO625" s="1195"/>
      <c r="BP625" s="1195">
        <f t="shared" si="20"/>
        <v>0</v>
      </c>
      <c r="BQ625" s="1195"/>
      <c r="BR625" s="1195"/>
      <c r="BS625" s="1195"/>
      <c r="BT625" s="1195"/>
      <c r="BU625" s="1195">
        <f t="shared" si="21"/>
        <v>0</v>
      </c>
      <c r="BV625" s="1195"/>
      <c r="BW625" s="1195"/>
      <c r="BX625" s="1195"/>
      <c r="BY625" s="1195"/>
      <c r="BZ625" s="1195">
        <f t="shared" si="22"/>
        <v>0</v>
      </c>
      <c r="CA625" s="1195"/>
      <c r="CB625" s="1195"/>
      <c r="CC625" s="1195"/>
      <c r="CD625" s="1195"/>
      <c r="CE625" s="58"/>
      <c r="CF625" s="58"/>
      <c r="CG625" s="58"/>
      <c r="CH625" s="58"/>
      <c r="CI625" s="58"/>
      <c r="CJ625" s="58"/>
      <c r="CK625" s="58"/>
      <c r="CL625" s="58"/>
      <c r="CM625" s="58"/>
      <c r="CN625" s="58"/>
      <c r="CO625" s="58"/>
      <c r="CP625" s="58"/>
      <c r="CQ625" s="58"/>
      <c r="CR625" s="58"/>
    </row>
    <row r="626" spans="1:96" ht="12.75">
      <c r="B626" s="84" t="s">
        <v>508</v>
      </c>
      <c r="C626" s="1099"/>
      <c r="D626" s="1099"/>
      <c r="E626" s="1099"/>
      <c r="F626" s="1099"/>
      <c r="G626" s="1099"/>
      <c r="H626" s="1099"/>
      <c r="I626" s="1099"/>
      <c r="J626" s="1099"/>
      <c r="K626" s="1099"/>
      <c r="L626" s="1099"/>
      <c r="M626" s="1099"/>
      <c r="N626" s="1099"/>
      <c r="O626" s="1223"/>
      <c r="P626" s="1219"/>
      <c r="Q626" s="1220"/>
      <c r="R626" s="1221"/>
      <c r="S626" s="1216"/>
      <c r="T626" s="1217"/>
      <c r="U626" s="1218"/>
      <c r="V626" s="1219"/>
      <c r="W626" s="1220"/>
      <c r="X626" s="1220"/>
      <c r="Y626" s="1220"/>
      <c r="Z626" s="1220"/>
      <c r="AA626" s="1221"/>
      <c r="AB626" s="1224"/>
      <c r="AC626" s="1224"/>
      <c r="AD626" s="1224"/>
      <c r="AE626" s="1224"/>
      <c r="AF626" s="1224"/>
      <c r="AG626" s="1224"/>
      <c r="AH626" s="1224"/>
      <c r="AI626" s="1224"/>
      <c r="AJ626" s="1224"/>
      <c r="AK626" s="1224"/>
      <c r="AL626" s="58"/>
      <c r="AM626" s="58"/>
      <c r="AN626" s="58"/>
      <c r="AO626" s="58"/>
      <c r="AP626" s="58"/>
      <c r="AQ626" s="58"/>
      <c r="AR626" s="58"/>
      <c r="AS626" s="58"/>
      <c r="AT626" s="58"/>
      <c r="AU626" s="58"/>
      <c r="AV626" s="58"/>
      <c r="AW626" s="58"/>
      <c r="AX626" s="58"/>
      <c r="AY626" s="58"/>
      <c r="AZ626" s="58"/>
      <c r="BA626" s="1129">
        <f t="shared" si="17"/>
        <v>0</v>
      </c>
      <c r="BB626" s="1130"/>
      <c r="BC626" s="1130"/>
      <c r="BD626" s="1130"/>
      <c r="BE626" s="1131"/>
      <c r="BF626" s="1195">
        <f t="shared" si="18"/>
        <v>0</v>
      </c>
      <c r="BG626" s="1195"/>
      <c r="BH626" s="1195"/>
      <c r="BI626" s="1195"/>
      <c r="BJ626" s="1195"/>
      <c r="BK626" s="1195">
        <f t="shared" si="19"/>
        <v>0</v>
      </c>
      <c r="BL626" s="1195"/>
      <c r="BM626" s="1195"/>
      <c r="BN626" s="1195"/>
      <c r="BO626" s="1195"/>
      <c r="BP626" s="1195">
        <f t="shared" si="20"/>
        <v>0</v>
      </c>
      <c r="BQ626" s="1195"/>
      <c r="BR626" s="1195"/>
      <c r="BS626" s="1195"/>
      <c r="BT626" s="1195"/>
      <c r="BU626" s="1195">
        <f t="shared" si="21"/>
        <v>0</v>
      </c>
      <c r="BV626" s="1195"/>
      <c r="BW626" s="1195"/>
      <c r="BX626" s="1195"/>
      <c r="BY626" s="1195"/>
      <c r="BZ626" s="1195">
        <f t="shared" si="22"/>
        <v>0</v>
      </c>
      <c r="CA626" s="1195"/>
      <c r="CB626" s="1195"/>
      <c r="CC626" s="1195"/>
      <c r="CD626" s="1195"/>
      <c r="CE626" s="58"/>
      <c r="CF626" s="58"/>
      <c r="CG626" s="58"/>
      <c r="CH626" s="58"/>
      <c r="CI626" s="58"/>
      <c r="CJ626" s="58"/>
      <c r="CK626" s="58"/>
      <c r="CL626" s="58"/>
      <c r="CM626" s="58"/>
      <c r="CN626" s="58"/>
      <c r="CO626" s="58"/>
      <c r="CP626" s="58"/>
      <c r="CQ626" s="58"/>
      <c r="CR626" s="58"/>
    </row>
    <row r="627" spans="1:96" ht="12.75">
      <c r="B627" s="84" t="s">
        <v>697</v>
      </c>
      <c r="C627" s="1099"/>
      <c r="D627" s="1099"/>
      <c r="E627" s="1099"/>
      <c r="F627" s="1099"/>
      <c r="G627" s="1099"/>
      <c r="H627" s="1099"/>
      <c r="I627" s="1099"/>
      <c r="J627" s="1099"/>
      <c r="K627" s="1099"/>
      <c r="L627" s="1099"/>
      <c r="M627" s="1099"/>
      <c r="N627" s="1099"/>
      <c r="O627" s="1223"/>
      <c r="P627" s="1219"/>
      <c r="Q627" s="1220"/>
      <c r="R627" s="1221"/>
      <c r="S627" s="1216"/>
      <c r="T627" s="1217"/>
      <c r="U627" s="1218"/>
      <c r="V627" s="1219"/>
      <c r="W627" s="1220"/>
      <c r="X627" s="1220"/>
      <c r="Y627" s="1220"/>
      <c r="Z627" s="1220"/>
      <c r="AA627" s="1221"/>
      <c r="AB627" s="1224"/>
      <c r="AC627" s="1224"/>
      <c r="AD627" s="1224"/>
      <c r="AE627" s="1224"/>
      <c r="AF627" s="1224"/>
      <c r="AG627" s="1224"/>
      <c r="AH627" s="1224"/>
      <c r="AI627" s="1224"/>
      <c r="AJ627" s="1224"/>
      <c r="AK627" s="1224"/>
      <c r="AL627" s="58"/>
      <c r="AM627" s="58"/>
      <c r="AN627" s="58"/>
      <c r="AO627" s="58"/>
      <c r="AP627" s="58"/>
      <c r="AQ627" s="58"/>
      <c r="AR627" s="58"/>
      <c r="AS627" s="58"/>
      <c r="AT627" s="58"/>
      <c r="AU627" s="58"/>
      <c r="AV627" s="58"/>
      <c r="AW627" s="58"/>
      <c r="AX627" s="58"/>
      <c r="AY627" s="58"/>
      <c r="AZ627" s="58"/>
      <c r="BA627" s="1129">
        <f t="shared" si="17"/>
        <v>0</v>
      </c>
      <c r="BB627" s="1130"/>
      <c r="BC627" s="1130"/>
      <c r="BD627" s="1130"/>
      <c r="BE627" s="1131"/>
      <c r="BF627" s="1195">
        <f t="shared" si="18"/>
        <v>0</v>
      </c>
      <c r="BG627" s="1195"/>
      <c r="BH627" s="1195"/>
      <c r="BI627" s="1195"/>
      <c r="BJ627" s="1195"/>
      <c r="BK627" s="1195">
        <f t="shared" si="19"/>
        <v>0</v>
      </c>
      <c r="BL627" s="1195"/>
      <c r="BM627" s="1195"/>
      <c r="BN627" s="1195"/>
      <c r="BO627" s="1195"/>
      <c r="BP627" s="1195">
        <f t="shared" si="20"/>
        <v>0</v>
      </c>
      <c r="BQ627" s="1195"/>
      <c r="BR627" s="1195"/>
      <c r="BS627" s="1195"/>
      <c r="BT627" s="1195"/>
      <c r="BU627" s="1195">
        <f t="shared" si="21"/>
        <v>0</v>
      </c>
      <c r="BV627" s="1195"/>
      <c r="BW627" s="1195"/>
      <c r="BX627" s="1195"/>
      <c r="BY627" s="1195"/>
      <c r="BZ627" s="1195">
        <f t="shared" si="22"/>
        <v>0</v>
      </c>
      <c r="CA627" s="1195"/>
      <c r="CB627" s="1195"/>
      <c r="CC627" s="1195"/>
      <c r="CD627" s="1195"/>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3"/>
      <c r="P628" s="1219"/>
      <c r="Q628" s="1220"/>
      <c r="R628" s="1221"/>
      <c r="S628" s="1216"/>
      <c r="T628" s="1217"/>
      <c r="U628" s="1218"/>
      <c r="V628" s="1219"/>
      <c r="W628" s="1220"/>
      <c r="X628" s="1220"/>
      <c r="Y628" s="1220"/>
      <c r="Z628" s="1220"/>
      <c r="AA628" s="1221"/>
      <c r="AB628" s="1224"/>
      <c r="AC628" s="1224"/>
      <c r="AD628" s="1224"/>
      <c r="AE628" s="1224"/>
      <c r="AF628" s="1224"/>
      <c r="AG628" s="1224"/>
      <c r="AH628" s="1224"/>
      <c r="AI628" s="1224"/>
      <c r="AJ628" s="1224"/>
      <c r="AK628" s="1224"/>
      <c r="AL628" s="58"/>
      <c r="AM628" s="58"/>
      <c r="AN628" s="58"/>
      <c r="AO628" s="58"/>
      <c r="AP628" s="58"/>
      <c r="AQ628" s="58"/>
      <c r="AR628" s="58"/>
      <c r="AS628" s="58"/>
      <c r="AT628" s="58"/>
      <c r="AU628" s="58"/>
      <c r="AV628" s="58"/>
      <c r="AW628" s="58"/>
      <c r="AX628" s="58"/>
      <c r="AY628" s="58"/>
      <c r="AZ628" s="58"/>
      <c r="BA628" s="1129">
        <f t="shared" si="17"/>
        <v>0</v>
      </c>
      <c r="BB628" s="1130"/>
      <c r="BC628" s="1130"/>
      <c r="BD628" s="1130"/>
      <c r="BE628" s="1131"/>
      <c r="BF628" s="1195">
        <f t="shared" si="18"/>
        <v>0</v>
      </c>
      <c r="BG628" s="1195"/>
      <c r="BH628" s="1195"/>
      <c r="BI628" s="1195"/>
      <c r="BJ628" s="1195"/>
      <c r="BK628" s="1195">
        <f t="shared" si="19"/>
        <v>0</v>
      </c>
      <c r="BL628" s="1195"/>
      <c r="BM628" s="1195"/>
      <c r="BN628" s="1195"/>
      <c r="BO628" s="1195"/>
      <c r="BP628" s="1195">
        <f t="shared" si="20"/>
        <v>0</v>
      </c>
      <c r="BQ628" s="1195"/>
      <c r="BR628" s="1195"/>
      <c r="BS628" s="1195"/>
      <c r="BT628" s="1195"/>
      <c r="BU628" s="1195">
        <f t="shared" si="21"/>
        <v>0</v>
      </c>
      <c r="BV628" s="1195"/>
      <c r="BW628" s="1195"/>
      <c r="BX628" s="1195"/>
      <c r="BY628" s="1195"/>
      <c r="BZ628" s="1195">
        <f t="shared" si="22"/>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222"/>
      <c r="D629" s="1099"/>
      <c r="E629" s="1099"/>
      <c r="F629" s="1099"/>
      <c r="G629" s="1099"/>
      <c r="H629" s="1099"/>
      <c r="I629" s="1099"/>
      <c r="J629" s="1099"/>
      <c r="K629" s="1099"/>
      <c r="L629" s="1099"/>
      <c r="M629" s="1099"/>
      <c r="N629" s="1099"/>
      <c r="O629" s="1223"/>
      <c r="P629" s="1219"/>
      <c r="Q629" s="1220"/>
      <c r="R629" s="1221"/>
      <c r="S629" s="1216"/>
      <c r="T629" s="1217"/>
      <c r="U629" s="1218"/>
      <c r="V629" s="1219"/>
      <c r="W629" s="1220"/>
      <c r="X629" s="1220"/>
      <c r="Y629" s="1220"/>
      <c r="Z629" s="1220"/>
      <c r="AA629" s="1221"/>
      <c r="AB629" s="1224"/>
      <c r="AC629" s="1224"/>
      <c r="AD629" s="1224"/>
      <c r="AE629" s="1224"/>
      <c r="AF629" s="1224"/>
      <c r="AG629" s="1224"/>
      <c r="AH629" s="1224"/>
      <c r="AI629" s="1224"/>
      <c r="AJ629" s="1224"/>
      <c r="AK629" s="1224"/>
      <c r="AL629" s="58"/>
      <c r="AM629" s="61"/>
      <c r="AN629" s="61"/>
      <c r="AO629" s="61"/>
      <c r="AP629" s="61"/>
      <c r="AQ629" s="61"/>
      <c r="AR629" s="61"/>
      <c r="AS629" s="61"/>
      <c r="AT629" s="61"/>
      <c r="AU629" s="61"/>
      <c r="AV629" s="61"/>
      <c r="AW629" s="61"/>
      <c r="AX629" s="61"/>
      <c r="AY629" s="61"/>
      <c r="AZ629" s="61"/>
      <c r="BA629" s="1129">
        <f t="shared" si="17"/>
        <v>0</v>
      </c>
      <c r="BB629" s="1130"/>
      <c r="BC629" s="1130"/>
      <c r="BD629" s="1130"/>
      <c r="BE629" s="1131"/>
      <c r="BF629" s="1195">
        <f t="shared" si="18"/>
        <v>0</v>
      </c>
      <c r="BG629" s="1195"/>
      <c r="BH629" s="1195"/>
      <c r="BI629" s="1195"/>
      <c r="BJ629" s="1195"/>
      <c r="BK629" s="1195">
        <f t="shared" si="19"/>
        <v>0</v>
      </c>
      <c r="BL629" s="1195"/>
      <c r="BM629" s="1195"/>
      <c r="BN629" s="1195"/>
      <c r="BO629" s="1195"/>
      <c r="BP629" s="1195">
        <f t="shared" si="20"/>
        <v>0</v>
      </c>
      <c r="BQ629" s="1195"/>
      <c r="BR629" s="1195"/>
      <c r="BS629" s="1195"/>
      <c r="BT629" s="1195"/>
      <c r="BU629" s="1195">
        <f t="shared" si="21"/>
        <v>0</v>
      </c>
      <c r="BV629" s="1195"/>
      <c r="BW629" s="1195"/>
      <c r="BX629" s="1195"/>
      <c r="BY629" s="1195"/>
      <c r="BZ629" s="1195">
        <f t="shared" si="22"/>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19902885</v>
      </c>
      <c r="AH630" s="1205"/>
      <c r="AI630" s="1205"/>
      <c r="AJ630" s="1205"/>
      <c r="AK630" s="1206"/>
      <c r="AM630" s="61"/>
      <c r="AN630" s="61"/>
      <c r="AO630" s="61"/>
      <c r="AP630" s="61"/>
      <c r="AQ630" s="61"/>
      <c r="AR630" s="61"/>
      <c r="AS630" s="61"/>
      <c r="AT630" s="61"/>
      <c r="AU630" s="61"/>
      <c r="AV630" s="61"/>
      <c r="AW630" s="61"/>
      <c r="AX630" s="61"/>
      <c r="AY630" s="61"/>
      <c r="AZ630" s="61"/>
      <c r="BA630" s="1129">
        <f t="shared" si="17"/>
        <v>0</v>
      </c>
      <c r="BB630" s="1130"/>
      <c r="BC630" s="1130"/>
      <c r="BD630" s="1130"/>
      <c r="BE630" s="1131"/>
      <c r="BF630" s="1195">
        <f t="shared" si="18"/>
        <v>0</v>
      </c>
      <c r="BG630" s="1195"/>
      <c r="BH630" s="1195"/>
      <c r="BI630" s="1195"/>
      <c r="BJ630" s="1195"/>
      <c r="BK630" s="1195">
        <f t="shared" si="19"/>
        <v>0</v>
      </c>
      <c r="BL630" s="1195"/>
      <c r="BM630" s="1195"/>
      <c r="BN630" s="1195"/>
      <c r="BO630" s="1195"/>
      <c r="BP630" s="1195">
        <f t="shared" si="20"/>
        <v>0</v>
      </c>
      <c r="BQ630" s="1195"/>
      <c r="BR630" s="1195"/>
      <c r="BS630" s="1195"/>
      <c r="BT630" s="1195"/>
      <c r="BU630" s="1195">
        <f t="shared" si="21"/>
        <v>0</v>
      </c>
      <c r="BV630" s="1195"/>
      <c r="BW630" s="1195"/>
      <c r="BX630" s="1195"/>
      <c r="BY630" s="1195"/>
      <c r="BZ630" s="1195">
        <f t="shared" si="22"/>
        <v>0</v>
      </c>
      <c r="CA630" s="1195"/>
      <c r="CB630" s="1195"/>
      <c r="CC630" s="1195"/>
      <c r="CD630" s="1195"/>
      <c r="CE630" s="58"/>
      <c r="CF630" s="58"/>
      <c r="CG630" s="58"/>
      <c r="CH630" s="58"/>
      <c r="CI630" s="58"/>
      <c r="CJ630" s="58"/>
      <c r="CK630" s="58"/>
      <c r="CL630" s="58"/>
      <c r="CM630" s="58"/>
      <c r="CN630" s="58"/>
      <c r="CO630" s="58"/>
      <c r="CP630" s="58"/>
      <c r="CQ630" s="58"/>
      <c r="CR630" s="58"/>
    </row>
    <row r="631" spans="1:96" ht="12.75">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v>10091215</v>
      </c>
      <c r="AH631" s="1138"/>
      <c r="AI631" s="1138"/>
      <c r="AJ631" s="1138"/>
      <c r="AK631" s="1139"/>
      <c r="AM631" s="61"/>
      <c r="AN631" s="61"/>
      <c r="AO631" s="61"/>
      <c r="AP631" s="61"/>
      <c r="AQ631" s="61"/>
      <c r="AR631" s="61"/>
      <c r="AS631" s="61"/>
      <c r="AT631" s="61"/>
      <c r="AU631" s="61"/>
      <c r="AV631" s="61"/>
      <c r="AW631" s="61"/>
      <c r="AX631" s="61"/>
      <c r="AY631" s="61"/>
      <c r="AZ631" s="61"/>
      <c r="BA631" s="1129">
        <f t="shared" si="17"/>
        <v>0</v>
      </c>
      <c r="BB631" s="1130"/>
      <c r="BC631" s="1130"/>
      <c r="BD631" s="1130"/>
      <c r="BE631" s="1131"/>
      <c r="BF631" s="1195">
        <f t="shared" si="18"/>
        <v>0</v>
      </c>
      <c r="BG631" s="1195"/>
      <c r="BH631" s="1195"/>
      <c r="BI631" s="1195"/>
      <c r="BJ631" s="1195"/>
      <c r="BK631" s="1195">
        <f t="shared" si="19"/>
        <v>0</v>
      </c>
      <c r="BL631" s="1195"/>
      <c r="BM631" s="1195"/>
      <c r="BN631" s="1195"/>
      <c r="BO631" s="1195"/>
      <c r="BP631" s="1195">
        <f t="shared" si="20"/>
        <v>0</v>
      </c>
      <c r="BQ631" s="1195"/>
      <c r="BR631" s="1195"/>
      <c r="BS631" s="1195"/>
      <c r="BT631" s="1195"/>
      <c r="BU631" s="1195">
        <f t="shared" si="21"/>
        <v>0</v>
      </c>
      <c r="BV631" s="1195"/>
      <c r="BW631" s="1195"/>
      <c r="BX631" s="1195"/>
      <c r="BY631" s="1195"/>
      <c r="BZ631" s="1195">
        <f t="shared" si="22"/>
        <v>0</v>
      </c>
      <c r="CA631" s="1195"/>
      <c r="CB631" s="1195"/>
      <c r="CC631" s="1195"/>
      <c r="CD631" s="1195"/>
      <c r="CE631" s="58"/>
      <c r="CF631" s="58"/>
      <c r="CG631" s="58"/>
      <c r="CH631" s="58"/>
      <c r="CI631" s="58"/>
      <c r="CJ631" s="58"/>
      <c r="CK631" s="58"/>
      <c r="CL631" s="58"/>
      <c r="CM631" s="58"/>
      <c r="CN631" s="58"/>
      <c r="CO631" s="58"/>
      <c r="CP631" s="58"/>
      <c r="CQ631" s="58"/>
      <c r="CR631" s="58"/>
    </row>
    <row r="632" spans="1:96" ht="12.75">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29994100</v>
      </c>
      <c r="AH632" s="1205"/>
      <c r="AI632" s="1205"/>
      <c r="AJ632" s="1205"/>
      <c r="AK632" s="1206"/>
      <c r="AM632" s="61"/>
      <c r="AN632" s="61"/>
      <c r="AO632" s="61"/>
      <c r="AP632" s="61"/>
      <c r="AQ632" s="61"/>
      <c r="AR632" s="61"/>
      <c r="AS632" s="61"/>
      <c r="AT632" s="61"/>
      <c r="AU632" s="61"/>
      <c r="AV632" s="61"/>
      <c r="AW632" s="61"/>
      <c r="AX632" s="61"/>
      <c r="AY632" s="61"/>
      <c r="AZ632" s="61"/>
      <c r="BA632" s="1129">
        <f t="shared" si="17"/>
        <v>0</v>
      </c>
      <c r="BB632" s="1130"/>
      <c r="BC632" s="1130"/>
      <c r="BD632" s="1130"/>
      <c r="BE632" s="1131"/>
      <c r="BF632" s="1195">
        <f t="shared" si="18"/>
        <v>0</v>
      </c>
      <c r="BG632" s="1195"/>
      <c r="BH632" s="1195"/>
      <c r="BI632" s="1195"/>
      <c r="BJ632" s="1195"/>
      <c r="BK632" s="1195">
        <f t="shared" si="19"/>
        <v>0</v>
      </c>
      <c r="BL632" s="1195"/>
      <c r="BM632" s="1195"/>
      <c r="BN632" s="1195"/>
      <c r="BO632" s="1195"/>
      <c r="BP632" s="1195">
        <f t="shared" si="20"/>
        <v>0</v>
      </c>
      <c r="BQ632" s="1195"/>
      <c r="BR632" s="1195"/>
      <c r="BS632" s="1195"/>
      <c r="BT632" s="1195"/>
      <c r="BU632" s="1195">
        <f t="shared" si="21"/>
        <v>0</v>
      </c>
      <c r="BV632" s="1195"/>
      <c r="BW632" s="1195"/>
      <c r="BX632" s="1195"/>
      <c r="BY632" s="1195"/>
      <c r="BZ632" s="1195">
        <f t="shared" si="22"/>
        <v>0</v>
      </c>
      <c r="CA632" s="1195"/>
      <c r="CB632" s="1195"/>
      <c r="CC632" s="1195"/>
      <c r="CD632" s="11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CCRC Perm Loan</v>
      </c>
      <c r="H634" s="1097"/>
      <c r="I634" s="1097"/>
      <c r="J634" s="1097"/>
      <c r="K634" s="1097"/>
      <c r="L634" s="1097"/>
      <c r="M634" s="1097"/>
      <c r="N634" s="1097"/>
      <c r="O634" s="1097"/>
      <c r="P634" s="1097"/>
      <c r="Q634" s="1097"/>
      <c r="R634" s="1097"/>
      <c r="S634" s="14"/>
      <c r="T634" s="87" t="s">
        <v>120</v>
      </c>
      <c r="U634" s="12" t="s">
        <v>510</v>
      </c>
      <c r="Z634" s="1097" t="str">
        <f>C619</f>
        <v>MHP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1792</v>
      </c>
      <c r="H635" s="1095"/>
      <c r="I635" s="1095"/>
      <c r="J635" s="1095"/>
      <c r="K635" s="1095"/>
      <c r="L635" s="1095"/>
      <c r="M635" s="1095"/>
      <c r="N635" s="1095"/>
      <c r="O635" s="1095"/>
      <c r="P635" s="1095"/>
      <c r="Q635" s="1095"/>
      <c r="R635" s="1095"/>
      <c r="S635" s="14"/>
      <c r="T635" s="35"/>
      <c r="U635" s="12" t="s">
        <v>92</v>
      </c>
      <c r="Z635" s="1095" t="s">
        <v>1795</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2">
        <f>BA614+BA621+BA633</f>
        <v>0</v>
      </c>
      <c r="BB635" s="1133"/>
      <c r="BC635" s="1133"/>
      <c r="BD635" s="1133"/>
      <c r="BE635" s="1134"/>
      <c r="BF635" s="1132">
        <f>BF614+BF621+BF633</f>
        <v>59</v>
      </c>
      <c r="BG635" s="1133"/>
      <c r="BH635" s="1133"/>
      <c r="BI635" s="1133"/>
      <c r="BJ635" s="1134"/>
      <c r="BK635" s="1132">
        <f>BK614+BK621+BK633</f>
        <v>1</v>
      </c>
      <c r="BL635" s="1133"/>
      <c r="BM635" s="1133"/>
      <c r="BN635" s="1133"/>
      <c r="BO635" s="1134"/>
      <c r="BP635" s="1132">
        <f>BP614+BP621+BP633</f>
        <v>0</v>
      </c>
      <c r="BQ635" s="1133"/>
      <c r="BR635" s="1133"/>
      <c r="BS635" s="1133"/>
      <c r="BT635" s="1134"/>
      <c r="BU635" s="1132">
        <f>BU614+BU621+BU633</f>
        <v>0</v>
      </c>
      <c r="BV635" s="1133"/>
      <c r="BW635" s="1133"/>
      <c r="BX635" s="1133"/>
      <c r="BY635" s="1134"/>
      <c r="BZ635" s="1514">
        <f>BZ633+BZ621+BZ614</f>
        <v>0</v>
      </c>
      <c r="CA635" s="1522"/>
      <c r="CB635" s="1522"/>
      <c r="CC635" s="1522"/>
      <c r="CD635" s="1515"/>
      <c r="CE635" s="58"/>
      <c r="CF635" s="58"/>
      <c r="CG635" s="58"/>
      <c r="CH635" s="58"/>
      <c r="CI635" s="58"/>
      <c r="CJ635" s="58"/>
      <c r="CK635" s="58"/>
      <c r="CL635" s="58"/>
      <c r="CM635" s="58"/>
      <c r="CN635" s="58"/>
      <c r="CO635" s="58"/>
      <c r="CP635" s="58"/>
      <c r="CQ635" s="58"/>
      <c r="CR635" s="58"/>
    </row>
    <row r="636" spans="1:96" ht="12.75">
      <c r="A636" s="35"/>
      <c r="B636" s="12" t="s">
        <v>631</v>
      </c>
      <c r="G636" s="1095" t="s">
        <v>1793</v>
      </c>
      <c r="H636" s="1095"/>
      <c r="I636" s="1095"/>
      <c r="J636" s="1095"/>
      <c r="K636" s="1095"/>
      <c r="L636" s="1095"/>
      <c r="M636" s="1095"/>
      <c r="N636" s="1095"/>
      <c r="O636" s="1095"/>
      <c r="P636" s="1095"/>
      <c r="Q636" s="1095"/>
      <c r="R636" s="1095"/>
      <c r="S636" s="88"/>
      <c r="T636" s="35"/>
      <c r="U636" s="12" t="s">
        <v>631</v>
      </c>
      <c r="Z636" s="1116" t="s">
        <v>73</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1790</v>
      </c>
      <c r="H637" s="1095"/>
      <c r="I637" s="1095"/>
      <c r="J637" s="1095"/>
      <c r="K637" s="1095"/>
      <c r="L637" s="1095"/>
      <c r="M637" s="1095"/>
      <c r="N637" s="1095"/>
      <c r="O637" s="1095"/>
      <c r="P637" s="1095"/>
      <c r="Q637" s="1095"/>
      <c r="R637" s="1095"/>
      <c r="S637" s="14"/>
      <c r="T637" s="35"/>
      <c r="U637" s="12" t="s">
        <v>19</v>
      </c>
      <c r="Z637" s="1116" t="s">
        <v>1794</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v>8185509807</v>
      </c>
      <c r="H638" s="1098"/>
      <c r="I638" s="1098"/>
      <c r="J638" s="1098"/>
      <c r="K638" s="1098"/>
      <c r="L638" s="1098"/>
      <c r="O638" s="140" t="s">
        <v>220</v>
      </c>
      <c r="P638" s="1099"/>
      <c r="Q638" s="1099"/>
      <c r="R638" s="1099"/>
      <c r="S638" s="16"/>
      <c r="T638" s="35"/>
      <c r="U638" s="12" t="s">
        <v>338</v>
      </c>
      <c r="Z638" s="1098">
        <v>9162636423</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1791</v>
      </c>
      <c r="I639" s="1095"/>
      <c r="J639" s="1095"/>
      <c r="K639" s="1095"/>
      <c r="L639" s="1095"/>
      <c r="M639" s="1095"/>
      <c r="N639" s="1095"/>
      <c r="O639" s="1095"/>
      <c r="P639" s="1095"/>
      <c r="Q639" s="1095"/>
      <c r="R639" s="1095"/>
      <c r="S639" s="14"/>
      <c r="T639" s="35"/>
      <c r="U639" s="12" t="s">
        <v>20</v>
      </c>
      <c r="AA639" s="1095" t="s">
        <v>1796</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Vacaville Acquisition Loan</v>
      </c>
      <c r="H642" s="1097"/>
      <c r="I642" s="1097"/>
      <c r="J642" s="1097"/>
      <c r="K642" s="1097"/>
      <c r="L642" s="1097"/>
      <c r="M642" s="1097"/>
      <c r="N642" s="1097"/>
      <c r="O642" s="1097"/>
      <c r="P642" s="1097"/>
      <c r="Q642" s="1097"/>
      <c r="R642" s="1097"/>
      <c r="T642" s="87" t="s">
        <v>632</v>
      </c>
      <c r="U642" s="12" t="s">
        <v>510</v>
      </c>
      <c r="Z642" s="1097" t="str">
        <f>C621</f>
        <v>Vacaville Loan</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1781</v>
      </c>
      <c r="H643" s="1095"/>
      <c r="I643" s="1095"/>
      <c r="J643" s="1095"/>
      <c r="K643" s="1095"/>
      <c r="L643" s="1095"/>
      <c r="M643" s="1095"/>
      <c r="N643" s="1095"/>
      <c r="O643" s="1095"/>
      <c r="P643" s="1095"/>
      <c r="Q643" s="1095"/>
      <c r="R643" s="1095"/>
      <c r="T643" s="35"/>
      <c r="U643" s="12" t="s">
        <v>92</v>
      </c>
      <c r="Z643" s="1095" t="s">
        <v>1781</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6" t="s">
        <v>1783</v>
      </c>
      <c r="H644" s="1116"/>
      <c r="I644" s="1116"/>
      <c r="J644" s="1116"/>
      <c r="K644" s="1116"/>
      <c r="L644" s="1116"/>
      <c r="M644" s="1116"/>
      <c r="N644" s="1116"/>
      <c r="O644" s="1116"/>
      <c r="P644" s="1116"/>
      <c r="Q644" s="1116"/>
      <c r="R644" s="1116"/>
      <c r="T644" s="35"/>
      <c r="U644" s="12" t="s">
        <v>631</v>
      </c>
      <c r="Z644" s="1116" t="s">
        <v>1649</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1782</v>
      </c>
      <c r="H645" s="1116"/>
      <c r="I645" s="1116"/>
      <c r="J645" s="1116"/>
      <c r="K645" s="1116"/>
      <c r="L645" s="1116"/>
      <c r="M645" s="1116"/>
      <c r="N645" s="1116"/>
      <c r="O645" s="1116"/>
      <c r="P645" s="1116"/>
      <c r="Q645" s="1116"/>
      <c r="R645" s="1116"/>
      <c r="T645" s="35"/>
      <c r="U645" s="12" t="s">
        <v>19</v>
      </c>
      <c r="Z645" s="1116" t="s">
        <v>1782</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v>7074495658</v>
      </c>
      <c r="H646" s="1098"/>
      <c r="I646" s="1098"/>
      <c r="J646" s="1098"/>
      <c r="K646" s="1098"/>
      <c r="L646" s="1098"/>
      <c r="O646" s="140" t="s">
        <v>220</v>
      </c>
      <c r="P646" s="1099"/>
      <c r="Q646" s="1099"/>
      <c r="R646" s="1099"/>
      <c r="T646" s="35"/>
      <c r="U646" s="12" t="s">
        <v>338</v>
      </c>
      <c r="Z646" s="1098">
        <v>7074495658</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1797</v>
      </c>
      <c r="I647" s="1095"/>
      <c r="J647" s="1095"/>
      <c r="K647" s="1095"/>
      <c r="L647" s="1095"/>
      <c r="M647" s="1095"/>
      <c r="N647" s="1095"/>
      <c r="O647" s="1095"/>
      <c r="P647" s="1095"/>
      <c r="Q647" s="1095"/>
      <c r="R647" s="1095"/>
      <c r="T647" s="35"/>
      <c r="U647" s="12" t="s">
        <v>20</v>
      </c>
      <c r="AA647" s="1095" t="s">
        <v>1797</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1734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Deferred Developer Fee</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23"/>
        <v>1734</v>
      </c>
      <c r="AO650" s="58"/>
      <c r="AP650" s="58"/>
      <c r="AQ650" s="58"/>
      <c r="AR650" s="58"/>
      <c r="AS650" s="399"/>
      <c r="AT650" s="473">
        <f t="shared" ref="AT650:AT674" si="24">G709</f>
        <v>29</v>
      </c>
      <c r="AU650" s="477">
        <f>AT650/$AT$675</f>
        <v>0.49152542372881358</v>
      </c>
      <c r="AV650" s="478">
        <f t="shared" ref="AV650:AV674" si="25">IF(AU650=0," ",AU650*AD709)</f>
        <v>0.14745762711864407</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1659</v>
      </c>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t="str">
        <f t="shared" si="23"/>
        <v>N/A</v>
      </c>
      <c r="AO651" s="58"/>
      <c r="AP651" s="58"/>
      <c r="AQ651" s="58"/>
      <c r="AR651" s="58"/>
      <c r="AS651" s="399"/>
      <c r="AT651" s="474">
        <f t="shared" si="24"/>
        <v>30</v>
      </c>
      <c r="AU651" s="477">
        <f t="shared" ref="AU651:AU674" si="26">AT651/$AT$675</f>
        <v>0.50847457627118642</v>
      </c>
      <c r="AV651" s="478">
        <f t="shared" si="25"/>
        <v>0.20338983050847459</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t="s">
        <v>1660</v>
      </c>
      <c r="H652" s="1095"/>
      <c r="I652" s="1095"/>
      <c r="J652" s="1095"/>
      <c r="K652" s="1095"/>
      <c r="L652" s="1095"/>
      <c r="M652" s="1095"/>
      <c r="N652" s="1095"/>
      <c r="O652" s="1095"/>
      <c r="P652" s="1095"/>
      <c r="Q652" s="1095"/>
      <c r="R652" s="1095"/>
      <c r="T652" s="35"/>
      <c r="U652" s="12" t="s">
        <v>631</v>
      </c>
      <c r="Z652" s="1116"/>
      <c r="AA652" s="1116"/>
      <c r="AB652" s="1116"/>
      <c r="AC652" s="1116"/>
      <c r="AD652" s="1116"/>
      <c r="AE652" s="1116"/>
      <c r="AF652" s="1116"/>
      <c r="AG652" s="1116"/>
      <c r="AH652" s="1116"/>
      <c r="AI652" s="1116"/>
      <c r="AJ652" s="1116"/>
      <c r="AK652" s="1116"/>
      <c r="AM652" s="58"/>
      <c r="AN652" s="463" t="str">
        <f t="shared" si="23"/>
        <v>N/A</v>
      </c>
      <c r="AO652" s="58"/>
      <c r="AP652" s="58"/>
      <c r="AQ652" s="58"/>
      <c r="AR652" s="58"/>
      <c r="AS652" s="399"/>
      <c r="AT652" s="474">
        <f t="shared" si="24"/>
        <v>0</v>
      </c>
      <c r="AU652" s="477">
        <f t="shared" si="26"/>
        <v>0</v>
      </c>
      <c r="AV652" s="478" t="str">
        <f t="shared" si="25"/>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t="s">
        <v>1662</v>
      </c>
      <c r="H653" s="1095"/>
      <c r="I653" s="1095"/>
      <c r="J653" s="1095"/>
      <c r="K653" s="1095"/>
      <c r="L653" s="1095"/>
      <c r="M653" s="1095"/>
      <c r="N653" s="1095"/>
      <c r="O653" s="1095"/>
      <c r="P653" s="1095"/>
      <c r="Q653" s="1095"/>
      <c r="R653" s="1095"/>
      <c r="T653" s="35"/>
      <c r="U653" s="12" t="s">
        <v>19</v>
      </c>
      <c r="Z653" s="1116"/>
      <c r="AA653" s="1116"/>
      <c r="AB653" s="1116"/>
      <c r="AC653" s="1116"/>
      <c r="AD653" s="1116"/>
      <c r="AE653" s="1116"/>
      <c r="AF653" s="1116"/>
      <c r="AG653" s="1116"/>
      <c r="AH653" s="1116"/>
      <c r="AI653" s="1116"/>
      <c r="AJ653" s="1116"/>
      <c r="AK653" s="1116"/>
      <c r="AM653" s="58"/>
      <c r="AN653" s="463" t="str">
        <f t="shared" si="23"/>
        <v>N/A</v>
      </c>
      <c r="AO653" s="58"/>
      <c r="AP653" s="58"/>
      <c r="AQ653" s="58"/>
      <c r="AR653" s="58"/>
      <c r="AS653" s="399"/>
      <c r="AT653" s="474">
        <f t="shared" si="24"/>
        <v>0</v>
      </c>
      <c r="AU653" s="477">
        <f t="shared" si="26"/>
        <v>0</v>
      </c>
      <c r="AV653" s="478" t="str">
        <f t="shared" si="25"/>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v>7077622336</v>
      </c>
      <c r="H654" s="1098"/>
      <c r="I654" s="1098"/>
      <c r="J654" s="1098"/>
      <c r="K654" s="1098"/>
      <c r="L654" s="1098"/>
      <c r="O654" s="140" t="s">
        <v>220</v>
      </c>
      <c r="P654" s="1099"/>
      <c r="Q654" s="1099"/>
      <c r="R654" s="1099"/>
      <c r="T654" s="35"/>
      <c r="U654" s="12" t="s">
        <v>338</v>
      </c>
      <c r="Z654" s="1098"/>
      <c r="AA654" s="1098"/>
      <c r="AB654" s="1098"/>
      <c r="AC654" s="1098"/>
      <c r="AD654" s="1098"/>
      <c r="AE654" s="1098"/>
      <c r="AH654" s="140" t="s">
        <v>220</v>
      </c>
      <c r="AI654" s="1099"/>
      <c r="AJ654" s="1099"/>
      <c r="AK654" s="1099"/>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1798</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723</v>
      </c>
      <c r="AH656" s="1096"/>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116"/>
      <c r="AA660" s="1116"/>
      <c r="AB660" s="1116"/>
      <c r="AC660" s="1116"/>
      <c r="AD660" s="1116"/>
      <c r="AE660" s="1116"/>
      <c r="AF660" s="1116"/>
      <c r="AG660" s="1116"/>
      <c r="AH660" s="1116"/>
      <c r="AI660" s="1116"/>
      <c r="AJ660" s="1116"/>
      <c r="AK660" s="1116"/>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6"/>
      <c r="AA661" s="1116"/>
      <c r="AB661" s="1116"/>
      <c r="AC661" s="1116"/>
      <c r="AD661" s="1116"/>
      <c r="AE661" s="1116"/>
      <c r="AF661" s="1116"/>
      <c r="AG661" s="1116"/>
      <c r="AH661" s="1116"/>
      <c r="AI661" s="1116"/>
      <c r="AJ661" s="1116"/>
      <c r="AK661" s="1116"/>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c r="H662" s="1098"/>
      <c r="I662" s="1098"/>
      <c r="J662" s="1098"/>
      <c r="K662" s="1098"/>
      <c r="L662" s="1098"/>
      <c r="O662" s="140" t="s">
        <v>220</v>
      </c>
      <c r="P662" s="1099"/>
      <c r="Q662" s="1099"/>
      <c r="R662" s="1099"/>
      <c r="T662" s="35"/>
      <c r="U662" s="12" t="s">
        <v>338</v>
      </c>
      <c r="Z662" s="1098"/>
      <c r="AA662" s="1098"/>
      <c r="AB662" s="1098"/>
      <c r="AC662" s="1098"/>
      <c r="AD662" s="1098"/>
      <c r="AE662" s="1098"/>
      <c r="AH662" s="140" t="s">
        <v>220</v>
      </c>
      <c r="AI662" s="1099"/>
      <c r="AJ662" s="1099"/>
      <c r="AK662" s="1099"/>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723</v>
      </c>
      <c r="O664" s="1096"/>
      <c r="T664" s="35"/>
      <c r="U664" s="12" t="s">
        <v>22</v>
      </c>
      <c r="AG664" s="1096" t="s">
        <v>723</v>
      </c>
      <c r="AH664" s="1096"/>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6"/>
      <c r="AA668" s="1116"/>
      <c r="AB668" s="1116"/>
      <c r="AC668" s="1116"/>
      <c r="AD668" s="1116"/>
      <c r="AE668" s="1116"/>
      <c r="AF668" s="1116"/>
      <c r="AG668" s="1116"/>
      <c r="AH668" s="1116"/>
      <c r="AI668" s="1116"/>
      <c r="AJ668" s="1116"/>
      <c r="AK668" s="1116"/>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c r="H670" s="1098"/>
      <c r="I670" s="1098"/>
      <c r="J670" s="1098"/>
      <c r="K670" s="1098"/>
      <c r="L670" s="1098"/>
      <c r="O670" s="140" t="s">
        <v>220</v>
      </c>
      <c r="P670" s="1099"/>
      <c r="Q670" s="1099"/>
      <c r="R670" s="1099"/>
      <c r="T670" s="35"/>
      <c r="U670" s="12" t="s">
        <v>338</v>
      </c>
      <c r="Z670" s="1098"/>
      <c r="AA670" s="1098"/>
      <c r="AB670" s="1098"/>
      <c r="AC670" s="1098"/>
      <c r="AD670" s="1098"/>
      <c r="AE670" s="1098"/>
      <c r="AH670" s="140" t="s">
        <v>220</v>
      </c>
      <c r="AI670" s="1099"/>
      <c r="AJ670" s="1099"/>
      <c r="AK670" s="1099"/>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59</v>
      </c>
      <c r="AU675" s="480">
        <f>SUM(AU650:AU674)</f>
        <v>1</v>
      </c>
      <c r="AV675" s="480">
        <f>SUM(AV650:AV674)</f>
        <v>0.35084745762711866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c r="H678" s="1098"/>
      <c r="I678" s="1098"/>
      <c r="J678" s="1098"/>
      <c r="K678" s="1098"/>
      <c r="L678" s="1098"/>
      <c r="O678" s="140" t="s">
        <v>220</v>
      </c>
      <c r="P678" s="1099"/>
      <c r="Q678" s="1099"/>
      <c r="R678" s="1099"/>
      <c r="U678" s="12" t="s">
        <v>338</v>
      </c>
      <c r="Z678" s="1098"/>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0">
        <v>44098</v>
      </c>
      <c r="AF686" s="1420"/>
      <c r="AG686" s="1420"/>
      <c r="AH686" s="1420"/>
      <c r="AI686" s="142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1">
        <v>44174</v>
      </c>
      <c r="AF687" s="1421"/>
      <c r="AG687" s="1421"/>
      <c r="AH687" s="1421"/>
      <c r="AI687" s="142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0">
        <v>44317</v>
      </c>
      <c r="AF689" s="1420"/>
      <c r="AG689" s="1420"/>
      <c r="AH689" s="1420"/>
      <c r="AI689" s="14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2">
        <v>0.56999999999999995</v>
      </c>
      <c r="AF690" s="1422"/>
      <c r="AG690" s="1422"/>
      <c r="AH690" s="1422"/>
      <c r="AI690" s="142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5" t="s">
        <v>348</v>
      </c>
      <c r="C709" s="1166"/>
      <c r="D709" s="1166"/>
      <c r="E709" s="1166"/>
      <c r="F709" s="1167"/>
      <c r="G709" s="1121">
        <v>29</v>
      </c>
      <c r="H709" s="1122"/>
      <c r="I709" s="1122"/>
      <c r="J709" s="1123"/>
      <c r="K709" s="1180">
        <v>466</v>
      </c>
      <c r="L709" s="1181"/>
      <c r="M709" s="1181"/>
      <c r="N709" s="1181"/>
      <c r="O709" s="1182"/>
      <c r="P709" s="1151">
        <f t="shared" ref="P709:P733" si="27">G709*K709</f>
        <v>13514</v>
      </c>
      <c r="Q709" s="1113"/>
      <c r="R709" s="1113"/>
      <c r="S709" s="1113"/>
      <c r="T709" s="1152"/>
      <c r="U709" s="1180">
        <v>54</v>
      </c>
      <c r="V709" s="1181"/>
      <c r="W709" s="1181"/>
      <c r="X709" s="1182"/>
      <c r="Y709" s="1151">
        <f>K709+U709</f>
        <v>520</v>
      </c>
      <c r="Z709" s="1113"/>
      <c r="AA709" s="1113"/>
      <c r="AB709" s="1113"/>
      <c r="AC709" s="1152"/>
      <c r="AD709" s="1110">
        <v>0.3</v>
      </c>
      <c r="AE709" s="1111"/>
      <c r="AF709" s="1111"/>
      <c r="AG709" s="1111"/>
      <c r="AH709" s="1112"/>
      <c r="AI709" s="1125">
        <f t="shared" ref="AI709:AI733" si="28">IF($AD709&gt;0,($Y709/$AN649), " ")</f>
        <v>0.29988465974625145</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5" t="s">
        <v>348</v>
      </c>
      <c r="C710" s="1166"/>
      <c r="D710" s="1166"/>
      <c r="E710" s="1166"/>
      <c r="F710" s="1167"/>
      <c r="G710" s="1121">
        <v>30</v>
      </c>
      <c r="H710" s="1122"/>
      <c r="I710" s="1122"/>
      <c r="J710" s="1123"/>
      <c r="K710" s="1180">
        <v>640</v>
      </c>
      <c r="L710" s="1181"/>
      <c r="M710" s="1181"/>
      <c r="N710" s="1181"/>
      <c r="O710" s="1182"/>
      <c r="P710" s="1151">
        <f t="shared" si="27"/>
        <v>19200</v>
      </c>
      <c r="Q710" s="1113"/>
      <c r="R710" s="1113"/>
      <c r="S710" s="1113"/>
      <c r="T710" s="1152"/>
      <c r="U710" s="1180">
        <v>54</v>
      </c>
      <c r="V710" s="1181"/>
      <c r="W710" s="1181"/>
      <c r="X710" s="1182"/>
      <c r="Y710" s="1151">
        <f t="shared" ref="Y710:Y733" si="29">K710+U710</f>
        <v>694</v>
      </c>
      <c r="Z710" s="1113"/>
      <c r="AA710" s="1113"/>
      <c r="AB710" s="1113"/>
      <c r="AC710" s="1152"/>
      <c r="AD710" s="1110">
        <v>0.4</v>
      </c>
      <c r="AE710" s="1111"/>
      <c r="AF710" s="1111"/>
      <c r="AG710" s="1111"/>
      <c r="AH710" s="1112"/>
      <c r="AI710" s="1125">
        <f t="shared" si="28"/>
        <v>0.40023068050749711</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5"/>
      <c r="C711" s="1166"/>
      <c r="D711" s="1166"/>
      <c r="E711" s="1166"/>
      <c r="F711" s="1167"/>
      <c r="G711" s="1121"/>
      <c r="H711" s="1122"/>
      <c r="I711" s="1122"/>
      <c r="J711" s="1123"/>
      <c r="K711" s="1180"/>
      <c r="L711" s="1181"/>
      <c r="M711" s="1181"/>
      <c r="N711" s="1181"/>
      <c r="O711" s="1182"/>
      <c r="P711" s="1151">
        <f t="shared" si="27"/>
        <v>0</v>
      </c>
      <c r="Q711" s="1113"/>
      <c r="R711" s="1113"/>
      <c r="S711" s="1113"/>
      <c r="T711" s="1152"/>
      <c r="U711" s="1180"/>
      <c r="V711" s="1181"/>
      <c r="W711" s="1181"/>
      <c r="X711" s="1182"/>
      <c r="Y711" s="1151">
        <f t="shared" si="29"/>
        <v>0</v>
      </c>
      <c r="Z711" s="1113"/>
      <c r="AA711" s="1113"/>
      <c r="AB711" s="1113"/>
      <c r="AC711" s="1152"/>
      <c r="AD711" s="1110"/>
      <c r="AE711" s="1111"/>
      <c r="AF711" s="1111"/>
      <c r="AG711" s="1111"/>
      <c r="AH711" s="1112"/>
      <c r="AI711" s="1125" t="str">
        <f t="shared" si="28"/>
        <v xml:space="preserve"> </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5"/>
      <c r="C712" s="1166"/>
      <c r="D712" s="1166"/>
      <c r="E712" s="1166"/>
      <c r="F712" s="1167"/>
      <c r="G712" s="1121"/>
      <c r="H712" s="1122"/>
      <c r="I712" s="1122"/>
      <c r="J712" s="1123"/>
      <c r="K712" s="1179"/>
      <c r="L712" s="1179"/>
      <c r="M712" s="1179"/>
      <c r="N712" s="1179"/>
      <c r="O712" s="1179"/>
      <c r="P712" s="1120">
        <f t="shared" si="27"/>
        <v>0</v>
      </c>
      <c r="Q712" s="1120"/>
      <c r="R712" s="1120"/>
      <c r="S712" s="1120"/>
      <c r="T712" s="1120"/>
      <c r="U712" s="1180"/>
      <c r="V712" s="1181"/>
      <c r="W712" s="1181"/>
      <c r="X712" s="1182"/>
      <c r="Y712" s="1120">
        <f t="shared" si="29"/>
        <v>0</v>
      </c>
      <c r="Z712" s="1120"/>
      <c r="AA712" s="1120"/>
      <c r="AB712" s="1120"/>
      <c r="AC712" s="1120"/>
      <c r="AD712" s="1110"/>
      <c r="AE712" s="1111"/>
      <c r="AF712" s="1111"/>
      <c r="AG712" s="1111"/>
      <c r="AH712" s="1112"/>
      <c r="AI712" s="1125" t="str">
        <f t="shared" si="28"/>
        <v xml:space="preserve"> </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5"/>
      <c r="C713" s="1166"/>
      <c r="D713" s="1166"/>
      <c r="E713" s="1166"/>
      <c r="F713" s="1167"/>
      <c r="G713" s="1121"/>
      <c r="H713" s="1122"/>
      <c r="I713" s="1122"/>
      <c r="J713" s="1123"/>
      <c r="K713" s="1179"/>
      <c r="L713" s="1179"/>
      <c r="M713" s="1179"/>
      <c r="N713" s="1179"/>
      <c r="O713" s="1179"/>
      <c r="P713" s="1120">
        <f t="shared" si="27"/>
        <v>0</v>
      </c>
      <c r="Q713" s="1120"/>
      <c r="R713" s="1120"/>
      <c r="S713" s="1120"/>
      <c r="T713" s="1120"/>
      <c r="U713" s="1180"/>
      <c r="V713" s="1181"/>
      <c r="W713" s="1181"/>
      <c r="X713" s="1182"/>
      <c r="Y713" s="1120">
        <f t="shared" si="29"/>
        <v>0</v>
      </c>
      <c r="Z713" s="1120"/>
      <c r="AA713" s="1120"/>
      <c r="AB713" s="1120"/>
      <c r="AC713" s="1120"/>
      <c r="AD713" s="1110"/>
      <c r="AE713" s="1111"/>
      <c r="AF713" s="1111"/>
      <c r="AG713" s="1111"/>
      <c r="AH713" s="1112"/>
      <c r="AI713" s="1125" t="str">
        <f t="shared" si="28"/>
        <v xml:space="preserve"> </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5"/>
      <c r="C714" s="1166"/>
      <c r="D714" s="1166"/>
      <c r="E714" s="1166"/>
      <c r="F714" s="1167"/>
      <c r="G714" s="1121"/>
      <c r="H714" s="1122"/>
      <c r="I714" s="1122"/>
      <c r="J714" s="1123"/>
      <c r="K714" s="1179"/>
      <c r="L714" s="1179"/>
      <c r="M714" s="1179"/>
      <c r="N714" s="1179"/>
      <c r="O714" s="1179"/>
      <c r="P714" s="1120">
        <f t="shared" si="27"/>
        <v>0</v>
      </c>
      <c r="Q714" s="1120"/>
      <c r="R714" s="1120"/>
      <c r="S714" s="1120"/>
      <c r="T714" s="1120"/>
      <c r="U714" s="1180"/>
      <c r="V714" s="1181"/>
      <c r="W714" s="1181"/>
      <c r="X714" s="1182"/>
      <c r="Y714" s="1120">
        <f t="shared" si="29"/>
        <v>0</v>
      </c>
      <c r="Z714" s="1120"/>
      <c r="AA714" s="1120"/>
      <c r="AB714" s="1120"/>
      <c r="AC714" s="1120"/>
      <c r="AD714" s="1110"/>
      <c r="AE714" s="1111"/>
      <c r="AF714" s="1111"/>
      <c r="AG714" s="1111"/>
      <c r="AH714" s="1112"/>
      <c r="AI714" s="1125" t="str">
        <f t="shared" si="28"/>
        <v xml:space="preserve"> </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5"/>
      <c r="C715" s="1166"/>
      <c r="D715" s="1166"/>
      <c r="E715" s="1166"/>
      <c r="F715" s="1167"/>
      <c r="G715" s="1121"/>
      <c r="H715" s="1122"/>
      <c r="I715" s="1122"/>
      <c r="J715" s="1123"/>
      <c r="K715" s="1179"/>
      <c r="L715" s="1179"/>
      <c r="M715" s="1179"/>
      <c r="N715" s="1179"/>
      <c r="O715" s="1179"/>
      <c r="P715" s="1120">
        <f t="shared" si="27"/>
        <v>0</v>
      </c>
      <c r="Q715" s="1120"/>
      <c r="R715" s="1120"/>
      <c r="S715" s="1120"/>
      <c r="T715" s="1120"/>
      <c r="U715" s="1180"/>
      <c r="V715" s="1181"/>
      <c r="W715" s="1181"/>
      <c r="X715" s="1182"/>
      <c r="Y715" s="1120">
        <f t="shared" si="29"/>
        <v>0</v>
      </c>
      <c r="Z715" s="1120"/>
      <c r="AA715" s="1120"/>
      <c r="AB715" s="1120"/>
      <c r="AC715" s="1120"/>
      <c r="AD715" s="1110"/>
      <c r="AE715" s="1111"/>
      <c r="AF715" s="1111"/>
      <c r="AG715" s="1111"/>
      <c r="AH715" s="1112"/>
      <c r="AI715" s="1125" t="str">
        <f t="shared" si="28"/>
        <v xml:space="preserve"> </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5"/>
      <c r="C716" s="1166"/>
      <c r="D716" s="1166"/>
      <c r="E716" s="1166"/>
      <c r="F716" s="1167"/>
      <c r="G716" s="1121"/>
      <c r="H716" s="1122"/>
      <c r="I716" s="1122"/>
      <c r="J716" s="1123"/>
      <c r="K716" s="1179"/>
      <c r="L716" s="1179"/>
      <c r="M716" s="1179"/>
      <c r="N716" s="1179"/>
      <c r="O716" s="1179"/>
      <c r="P716" s="1120">
        <f t="shared" si="27"/>
        <v>0</v>
      </c>
      <c r="Q716" s="1120"/>
      <c r="R716" s="1120"/>
      <c r="S716" s="1120"/>
      <c r="T716" s="1120"/>
      <c r="U716" s="1180"/>
      <c r="V716" s="1181"/>
      <c r="W716" s="1181"/>
      <c r="X716" s="1182"/>
      <c r="Y716" s="1120">
        <f t="shared" si="29"/>
        <v>0</v>
      </c>
      <c r="Z716" s="1120"/>
      <c r="AA716" s="1120"/>
      <c r="AB716" s="1120"/>
      <c r="AC716" s="1120"/>
      <c r="AD716" s="1110"/>
      <c r="AE716" s="1111"/>
      <c r="AF716" s="1111"/>
      <c r="AG716" s="1111"/>
      <c r="AH716" s="1112"/>
      <c r="AI716" s="1125" t="str">
        <f t="shared" si="28"/>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5"/>
      <c r="C717" s="1166"/>
      <c r="D717" s="1166"/>
      <c r="E717" s="1166"/>
      <c r="F717" s="1167"/>
      <c r="G717" s="1121"/>
      <c r="H717" s="1122"/>
      <c r="I717" s="1122"/>
      <c r="J717" s="1123"/>
      <c r="K717" s="1179"/>
      <c r="L717" s="1179"/>
      <c r="M717" s="1179"/>
      <c r="N717" s="1179"/>
      <c r="O717" s="1179"/>
      <c r="P717" s="1120">
        <f t="shared" si="27"/>
        <v>0</v>
      </c>
      <c r="Q717" s="1120"/>
      <c r="R717" s="1120"/>
      <c r="S717" s="1120"/>
      <c r="T717" s="1120"/>
      <c r="U717" s="1180"/>
      <c r="V717" s="1181"/>
      <c r="W717" s="1181"/>
      <c r="X717" s="1182"/>
      <c r="Y717" s="1120">
        <f t="shared" si="29"/>
        <v>0</v>
      </c>
      <c r="Z717" s="1120"/>
      <c r="AA717" s="1120"/>
      <c r="AB717" s="1120"/>
      <c r="AC717" s="1120"/>
      <c r="AD717" s="1110"/>
      <c r="AE717" s="1111"/>
      <c r="AF717" s="1111"/>
      <c r="AG717" s="1111"/>
      <c r="AH717" s="1112"/>
      <c r="AI717" s="1125" t="str">
        <f t="shared" si="28"/>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5"/>
      <c r="C718" s="1166"/>
      <c r="D718" s="1166"/>
      <c r="E718" s="1166"/>
      <c r="F718" s="1167"/>
      <c r="G718" s="1121"/>
      <c r="H718" s="1122"/>
      <c r="I718" s="1122"/>
      <c r="J718" s="1123"/>
      <c r="K718" s="1255"/>
      <c r="L718" s="1255"/>
      <c r="M718" s="1255"/>
      <c r="N718" s="1255"/>
      <c r="O718" s="1255"/>
      <c r="P718" s="1124">
        <f t="shared" si="27"/>
        <v>0</v>
      </c>
      <c r="Q718" s="1124"/>
      <c r="R718" s="1124"/>
      <c r="S718" s="1124"/>
      <c r="T718" s="1124"/>
      <c r="U718" s="1180"/>
      <c r="V718" s="1181"/>
      <c r="W718" s="1181"/>
      <c r="X718" s="1182"/>
      <c r="Y718" s="1124">
        <f t="shared" si="29"/>
        <v>0</v>
      </c>
      <c r="Z718" s="1124"/>
      <c r="AA718" s="1124"/>
      <c r="AB718" s="1124"/>
      <c r="AC718" s="1124"/>
      <c r="AD718" s="1110"/>
      <c r="AE718" s="1111"/>
      <c r="AF718" s="1111"/>
      <c r="AG718" s="1111"/>
      <c r="AH718" s="1112"/>
      <c r="AI718" s="1125" t="str">
        <f t="shared" si="28"/>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5"/>
      <c r="C719" s="1166"/>
      <c r="D719" s="1166"/>
      <c r="E719" s="1166"/>
      <c r="F719" s="1167"/>
      <c r="G719" s="1121"/>
      <c r="H719" s="1122"/>
      <c r="I719" s="1122"/>
      <c r="J719" s="1123"/>
      <c r="K719" s="1179"/>
      <c r="L719" s="1179"/>
      <c r="M719" s="1179"/>
      <c r="N719" s="1179"/>
      <c r="O719" s="1179"/>
      <c r="P719" s="1120">
        <f t="shared" si="27"/>
        <v>0</v>
      </c>
      <c r="Q719" s="1120"/>
      <c r="R719" s="1120"/>
      <c r="S719" s="1120"/>
      <c r="T719" s="1120"/>
      <c r="U719" s="1180"/>
      <c r="V719" s="1181"/>
      <c r="W719" s="1181"/>
      <c r="X719" s="1182"/>
      <c r="Y719" s="1120">
        <f t="shared" si="29"/>
        <v>0</v>
      </c>
      <c r="Z719" s="1120"/>
      <c r="AA719" s="1120"/>
      <c r="AB719" s="1120"/>
      <c r="AC719" s="1120"/>
      <c r="AD719" s="1110"/>
      <c r="AE719" s="1111"/>
      <c r="AF719" s="1111"/>
      <c r="AG719" s="1111"/>
      <c r="AH719" s="1112"/>
      <c r="AI719" s="1125" t="str">
        <f t="shared" si="28"/>
        <v xml:space="preserve"> </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5"/>
      <c r="C720" s="1166"/>
      <c r="D720" s="1166"/>
      <c r="E720" s="1166"/>
      <c r="F720" s="1167"/>
      <c r="G720" s="1121"/>
      <c r="H720" s="1122"/>
      <c r="I720" s="1122"/>
      <c r="J720" s="1123"/>
      <c r="K720" s="1179"/>
      <c r="L720" s="1179"/>
      <c r="M720" s="1179"/>
      <c r="N720" s="1179"/>
      <c r="O720" s="1179"/>
      <c r="P720" s="1120">
        <f t="shared" si="27"/>
        <v>0</v>
      </c>
      <c r="Q720" s="1120"/>
      <c r="R720" s="1120"/>
      <c r="S720" s="1120"/>
      <c r="T720" s="1120"/>
      <c r="U720" s="1180">
        <v>0</v>
      </c>
      <c r="V720" s="1181"/>
      <c r="W720" s="1181"/>
      <c r="X720" s="1182"/>
      <c r="Y720" s="1120">
        <f t="shared" si="29"/>
        <v>0</v>
      </c>
      <c r="Z720" s="1120"/>
      <c r="AA720" s="1120"/>
      <c r="AB720" s="1120"/>
      <c r="AC720" s="1120"/>
      <c r="AD720" s="1110">
        <v>0</v>
      </c>
      <c r="AE720" s="1111"/>
      <c r="AF720" s="1111"/>
      <c r="AG720" s="1111"/>
      <c r="AH720" s="1112"/>
      <c r="AI720" s="1125" t="str">
        <f t="shared" si="28"/>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5"/>
      <c r="C721" s="1166"/>
      <c r="D721" s="1166"/>
      <c r="E721" s="1166"/>
      <c r="F721" s="1167"/>
      <c r="G721" s="1121"/>
      <c r="H721" s="1122"/>
      <c r="I721" s="1122"/>
      <c r="J721" s="1123"/>
      <c r="K721" s="1179"/>
      <c r="L721" s="1179"/>
      <c r="M721" s="1179"/>
      <c r="N721" s="1179"/>
      <c r="O721" s="1179"/>
      <c r="P721" s="1120">
        <f t="shared" si="27"/>
        <v>0</v>
      </c>
      <c r="Q721" s="1120"/>
      <c r="R721" s="1120"/>
      <c r="S721" s="1120"/>
      <c r="T721" s="1120"/>
      <c r="U721" s="1180">
        <v>0</v>
      </c>
      <c r="V721" s="1181"/>
      <c r="W721" s="1181"/>
      <c r="X721" s="1182"/>
      <c r="Y721" s="1120">
        <f t="shared" si="29"/>
        <v>0</v>
      </c>
      <c r="Z721" s="1120"/>
      <c r="AA721" s="1120"/>
      <c r="AB721" s="1120"/>
      <c r="AC721" s="1120"/>
      <c r="AD721" s="1110">
        <v>0</v>
      </c>
      <c r="AE721" s="1111"/>
      <c r="AF721" s="1111"/>
      <c r="AG721" s="1111"/>
      <c r="AH721" s="1112"/>
      <c r="AI721" s="1125" t="str">
        <f t="shared" si="28"/>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5"/>
      <c r="C722" s="1166"/>
      <c r="D722" s="1166"/>
      <c r="E722" s="1166"/>
      <c r="F722" s="1167"/>
      <c r="G722" s="1121"/>
      <c r="H722" s="1122"/>
      <c r="I722" s="1122"/>
      <c r="J722" s="1123"/>
      <c r="K722" s="1179"/>
      <c r="L722" s="1179"/>
      <c r="M722" s="1179"/>
      <c r="N722" s="1179"/>
      <c r="O722" s="1179"/>
      <c r="P722" s="1120">
        <f t="shared" si="27"/>
        <v>0</v>
      </c>
      <c r="Q722" s="1120"/>
      <c r="R722" s="1120"/>
      <c r="S722" s="1120"/>
      <c r="T722" s="1120"/>
      <c r="U722" s="1180">
        <v>0</v>
      </c>
      <c r="V722" s="1181"/>
      <c r="W722" s="1181"/>
      <c r="X722" s="1182"/>
      <c r="Y722" s="1120">
        <f t="shared" si="29"/>
        <v>0</v>
      </c>
      <c r="Z722" s="1120"/>
      <c r="AA722" s="1120"/>
      <c r="AB722" s="1120"/>
      <c r="AC722" s="1120"/>
      <c r="AD722" s="1110">
        <v>0</v>
      </c>
      <c r="AE722" s="1111"/>
      <c r="AF722" s="1111"/>
      <c r="AG722" s="1111"/>
      <c r="AH722" s="1112"/>
      <c r="AI722" s="1125" t="str">
        <f t="shared" si="28"/>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5"/>
      <c r="C723" s="1166"/>
      <c r="D723" s="1166"/>
      <c r="E723" s="1166"/>
      <c r="F723" s="1167"/>
      <c r="G723" s="1121"/>
      <c r="H723" s="1122"/>
      <c r="I723" s="1122"/>
      <c r="J723" s="1123"/>
      <c r="K723" s="1179"/>
      <c r="L723" s="1179"/>
      <c r="M723" s="1179"/>
      <c r="N723" s="1179"/>
      <c r="O723" s="1179"/>
      <c r="P723" s="1120">
        <f t="shared" si="27"/>
        <v>0</v>
      </c>
      <c r="Q723" s="1120"/>
      <c r="R723" s="1120"/>
      <c r="S723" s="1120"/>
      <c r="T723" s="1120"/>
      <c r="U723" s="1180">
        <v>0</v>
      </c>
      <c r="V723" s="1181"/>
      <c r="W723" s="1181"/>
      <c r="X723" s="1182"/>
      <c r="Y723" s="1120">
        <f t="shared" si="29"/>
        <v>0</v>
      </c>
      <c r="Z723" s="1120"/>
      <c r="AA723" s="1120"/>
      <c r="AB723" s="1120"/>
      <c r="AC723" s="1120"/>
      <c r="AD723" s="1110">
        <v>0</v>
      </c>
      <c r="AE723" s="1111"/>
      <c r="AF723" s="1111"/>
      <c r="AG723" s="1111"/>
      <c r="AH723" s="1112"/>
      <c r="AI723" s="1125" t="str">
        <f t="shared" si="28"/>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5"/>
      <c r="C724" s="1166"/>
      <c r="D724" s="1166"/>
      <c r="E724" s="1166"/>
      <c r="F724" s="1167"/>
      <c r="G724" s="1121"/>
      <c r="H724" s="1122"/>
      <c r="I724" s="1122"/>
      <c r="J724" s="1123"/>
      <c r="K724" s="1179"/>
      <c r="L724" s="1179"/>
      <c r="M724" s="1179"/>
      <c r="N724" s="1179"/>
      <c r="O724" s="1179"/>
      <c r="P724" s="1120">
        <f t="shared" si="27"/>
        <v>0</v>
      </c>
      <c r="Q724" s="1120"/>
      <c r="R724" s="1120"/>
      <c r="S724" s="1120"/>
      <c r="T724" s="1120"/>
      <c r="U724" s="1180">
        <v>0</v>
      </c>
      <c r="V724" s="1181"/>
      <c r="W724" s="1181"/>
      <c r="X724" s="1182"/>
      <c r="Y724" s="1120">
        <f>K724+U724</f>
        <v>0</v>
      </c>
      <c r="Z724" s="1120"/>
      <c r="AA724" s="1120"/>
      <c r="AB724" s="1120"/>
      <c r="AC724" s="1120"/>
      <c r="AD724" s="1110">
        <v>0</v>
      </c>
      <c r="AE724" s="1111"/>
      <c r="AF724" s="1111"/>
      <c r="AG724" s="1111"/>
      <c r="AH724" s="1112"/>
      <c r="AI724" s="1125" t="str">
        <f t="shared" si="28"/>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5"/>
      <c r="C725" s="1166"/>
      <c r="D725" s="1166"/>
      <c r="E725" s="1166"/>
      <c r="F725" s="1167"/>
      <c r="G725" s="1121"/>
      <c r="H725" s="1122"/>
      <c r="I725" s="1122"/>
      <c r="J725" s="1123"/>
      <c r="K725" s="1179"/>
      <c r="L725" s="1179"/>
      <c r="M725" s="1179"/>
      <c r="N725" s="1179"/>
      <c r="O725" s="1179"/>
      <c r="P725" s="1120">
        <f t="shared" si="27"/>
        <v>0</v>
      </c>
      <c r="Q725" s="1120"/>
      <c r="R725" s="1120"/>
      <c r="S725" s="1120"/>
      <c r="T725" s="1120"/>
      <c r="U725" s="1180">
        <v>0</v>
      </c>
      <c r="V725" s="1181"/>
      <c r="W725" s="1181"/>
      <c r="X725" s="1182"/>
      <c r="Y725" s="1120">
        <f>K725+U725</f>
        <v>0</v>
      </c>
      <c r="Z725" s="1120"/>
      <c r="AA725" s="1120"/>
      <c r="AB725" s="1120"/>
      <c r="AC725" s="1120"/>
      <c r="AD725" s="1110">
        <v>0</v>
      </c>
      <c r="AE725" s="1111"/>
      <c r="AF725" s="1111"/>
      <c r="AG725" s="1111"/>
      <c r="AH725" s="1112"/>
      <c r="AI725" s="1125" t="str">
        <f t="shared" si="28"/>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5"/>
      <c r="C726" s="1166"/>
      <c r="D726" s="1166"/>
      <c r="E726" s="1166"/>
      <c r="F726" s="1167"/>
      <c r="G726" s="1121"/>
      <c r="H726" s="1122"/>
      <c r="I726" s="1122"/>
      <c r="J726" s="1123"/>
      <c r="K726" s="1179"/>
      <c r="L726" s="1179"/>
      <c r="M726" s="1179"/>
      <c r="N726" s="1179"/>
      <c r="O726" s="1179"/>
      <c r="P726" s="1120">
        <f t="shared" si="27"/>
        <v>0</v>
      </c>
      <c r="Q726" s="1120"/>
      <c r="R726" s="1120"/>
      <c r="S726" s="1120"/>
      <c r="T726" s="1120"/>
      <c r="U726" s="1180">
        <v>0</v>
      </c>
      <c r="V726" s="1181"/>
      <c r="W726" s="1181"/>
      <c r="X726" s="1182"/>
      <c r="Y726" s="1120">
        <f>K726+U726</f>
        <v>0</v>
      </c>
      <c r="Z726" s="1120"/>
      <c r="AA726" s="1120"/>
      <c r="AB726" s="1120"/>
      <c r="AC726" s="1120"/>
      <c r="AD726" s="1110">
        <v>0</v>
      </c>
      <c r="AE726" s="1111"/>
      <c r="AF726" s="1111"/>
      <c r="AG726" s="1111"/>
      <c r="AH726" s="1112"/>
      <c r="AI726" s="1125" t="str">
        <f t="shared" si="28"/>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5"/>
      <c r="C727" s="1166"/>
      <c r="D727" s="1166"/>
      <c r="E727" s="1166"/>
      <c r="F727" s="1167"/>
      <c r="G727" s="1121"/>
      <c r="H727" s="1122"/>
      <c r="I727" s="1122"/>
      <c r="J727" s="1123"/>
      <c r="K727" s="1179"/>
      <c r="L727" s="1179"/>
      <c r="M727" s="1179"/>
      <c r="N727" s="1179"/>
      <c r="O727" s="1179"/>
      <c r="P727" s="1120">
        <f t="shared" si="27"/>
        <v>0</v>
      </c>
      <c r="Q727" s="1120"/>
      <c r="R727" s="1120"/>
      <c r="S727" s="1120"/>
      <c r="T727" s="1120"/>
      <c r="U727" s="1180">
        <v>0</v>
      </c>
      <c r="V727" s="1181"/>
      <c r="W727" s="1181"/>
      <c r="X727" s="1182"/>
      <c r="Y727" s="1120">
        <f>K727+U727</f>
        <v>0</v>
      </c>
      <c r="Z727" s="1120"/>
      <c r="AA727" s="1120"/>
      <c r="AB727" s="1120"/>
      <c r="AC727" s="1120"/>
      <c r="AD727" s="1110">
        <v>0</v>
      </c>
      <c r="AE727" s="1111"/>
      <c r="AF727" s="1111"/>
      <c r="AG727" s="1111"/>
      <c r="AH727" s="1112"/>
      <c r="AI727" s="1125" t="str">
        <f t="shared" si="28"/>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5"/>
      <c r="C728" s="1166"/>
      <c r="D728" s="1166"/>
      <c r="E728" s="1166"/>
      <c r="F728" s="1167"/>
      <c r="G728" s="1121"/>
      <c r="H728" s="1122"/>
      <c r="I728" s="1122"/>
      <c r="J728" s="1123"/>
      <c r="K728" s="1179"/>
      <c r="L728" s="1179"/>
      <c r="M728" s="1179"/>
      <c r="N728" s="1179"/>
      <c r="O728" s="1179"/>
      <c r="P728" s="1120">
        <f t="shared" si="27"/>
        <v>0</v>
      </c>
      <c r="Q728" s="1120"/>
      <c r="R728" s="1120"/>
      <c r="S728" s="1120"/>
      <c r="T728" s="1120"/>
      <c r="U728" s="1180">
        <v>0</v>
      </c>
      <c r="V728" s="1181"/>
      <c r="W728" s="1181"/>
      <c r="X728" s="1182"/>
      <c r="Y728" s="1120">
        <f>K728+U728</f>
        <v>0</v>
      </c>
      <c r="Z728" s="1120"/>
      <c r="AA728" s="1120"/>
      <c r="AB728" s="1120"/>
      <c r="AC728" s="1120"/>
      <c r="AD728" s="1110">
        <v>0</v>
      </c>
      <c r="AE728" s="1111"/>
      <c r="AF728" s="1111"/>
      <c r="AG728" s="1111"/>
      <c r="AH728" s="1112"/>
      <c r="AI728" s="1125" t="str">
        <f t="shared" si="28"/>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27"/>
        <v>0</v>
      </c>
      <c r="Q729" s="1120"/>
      <c r="R729" s="1120"/>
      <c r="S729" s="1120"/>
      <c r="T729" s="1120"/>
      <c r="U729" s="1180">
        <v>0</v>
      </c>
      <c r="V729" s="1181"/>
      <c r="W729" s="1181"/>
      <c r="X729" s="1182"/>
      <c r="Y729" s="1120">
        <f t="shared" si="29"/>
        <v>0</v>
      </c>
      <c r="Z729" s="1120"/>
      <c r="AA729" s="1120"/>
      <c r="AB729" s="1120"/>
      <c r="AC729" s="1120"/>
      <c r="AD729" s="1110">
        <v>0</v>
      </c>
      <c r="AE729" s="1111"/>
      <c r="AF729" s="1111"/>
      <c r="AG729" s="1111"/>
      <c r="AH729" s="1112"/>
      <c r="AI729" s="1125" t="str">
        <f t="shared" si="28"/>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5"/>
      <c r="C730" s="1166"/>
      <c r="D730" s="1166"/>
      <c r="E730" s="1166"/>
      <c r="F730" s="1167"/>
      <c r="G730" s="1121"/>
      <c r="H730" s="1122"/>
      <c r="I730" s="1122"/>
      <c r="J730" s="1123"/>
      <c r="K730" s="1179"/>
      <c r="L730" s="1179"/>
      <c r="M730" s="1179"/>
      <c r="N730" s="1179"/>
      <c r="O730" s="1179"/>
      <c r="P730" s="1120">
        <f t="shared" si="27"/>
        <v>0</v>
      </c>
      <c r="Q730" s="1120"/>
      <c r="R730" s="1120"/>
      <c r="S730" s="1120"/>
      <c r="T730" s="1120"/>
      <c r="U730" s="1180">
        <v>0</v>
      </c>
      <c r="V730" s="1181"/>
      <c r="W730" s="1181"/>
      <c r="X730" s="1182"/>
      <c r="Y730" s="1120">
        <f t="shared" si="29"/>
        <v>0</v>
      </c>
      <c r="Z730" s="1120"/>
      <c r="AA730" s="1120"/>
      <c r="AB730" s="1120"/>
      <c r="AC730" s="1120"/>
      <c r="AD730" s="1110">
        <v>0</v>
      </c>
      <c r="AE730" s="1111"/>
      <c r="AF730" s="1111"/>
      <c r="AG730" s="1111"/>
      <c r="AH730" s="1112"/>
      <c r="AI730" s="1125" t="str">
        <f t="shared" si="28"/>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5"/>
      <c r="C731" s="1166"/>
      <c r="D731" s="1166"/>
      <c r="E731" s="1166"/>
      <c r="F731" s="1167"/>
      <c r="G731" s="1121"/>
      <c r="H731" s="1122"/>
      <c r="I731" s="1122"/>
      <c r="J731" s="1123"/>
      <c r="K731" s="1179"/>
      <c r="L731" s="1179"/>
      <c r="M731" s="1179"/>
      <c r="N731" s="1179"/>
      <c r="O731" s="1179"/>
      <c r="P731" s="1120">
        <f t="shared" si="27"/>
        <v>0</v>
      </c>
      <c r="Q731" s="1120"/>
      <c r="R731" s="1120"/>
      <c r="S731" s="1120"/>
      <c r="T731" s="1120"/>
      <c r="U731" s="1180">
        <v>0</v>
      </c>
      <c r="V731" s="1181"/>
      <c r="W731" s="1181"/>
      <c r="X731" s="1182"/>
      <c r="Y731" s="1120">
        <f t="shared" si="29"/>
        <v>0</v>
      </c>
      <c r="Z731" s="1120"/>
      <c r="AA731" s="1120"/>
      <c r="AB731" s="1120"/>
      <c r="AC731" s="1120"/>
      <c r="AD731" s="1110">
        <v>0</v>
      </c>
      <c r="AE731" s="1111"/>
      <c r="AF731" s="1111"/>
      <c r="AG731" s="1111"/>
      <c r="AH731" s="1112"/>
      <c r="AI731" s="1125" t="str">
        <f t="shared" si="28"/>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5"/>
      <c r="C732" s="1166"/>
      <c r="D732" s="1166"/>
      <c r="E732" s="1166"/>
      <c r="F732" s="1167"/>
      <c r="G732" s="1121"/>
      <c r="H732" s="1122"/>
      <c r="I732" s="1122"/>
      <c r="J732" s="1123"/>
      <c r="K732" s="1179"/>
      <c r="L732" s="1179"/>
      <c r="M732" s="1179"/>
      <c r="N732" s="1179"/>
      <c r="O732" s="1179"/>
      <c r="P732" s="1120">
        <f t="shared" si="27"/>
        <v>0</v>
      </c>
      <c r="Q732" s="1120"/>
      <c r="R732" s="1120"/>
      <c r="S732" s="1120"/>
      <c r="T732" s="1120"/>
      <c r="U732" s="1180">
        <v>0</v>
      </c>
      <c r="V732" s="1181"/>
      <c r="W732" s="1181"/>
      <c r="X732" s="1182"/>
      <c r="Y732" s="1120">
        <f t="shared" si="29"/>
        <v>0</v>
      </c>
      <c r="Z732" s="1120"/>
      <c r="AA732" s="1120"/>
      <c r="AB732" s="1120"/>
      <c r="AC732" s="1120"/>
      <c r="AD732" s="1110">
        <v>0</v>
      </c>
      <c r="AE732" s="1111"/>
      <c r="AF732" s="1111"/>
      <c r="AG732" s="1111"/>
      <c r="AH732" s="1112"/>
      <c r="AI732" s="1125" t="str">
        <f t="shared" si="28"/>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5"/>
      <c r="C733" s="1166"/>
      <c r="D733" s="1166"/>
      <c r="E733" s="1166"/>
      <c r="F733" s="1167"/>
      <c r="G733" s="1121"/>
      <c r="H733" s="1122"/>
      <c r="I733" s="1122"/>
      <c r="J733" s="1123"/>
      <c r="K733" s="1179"/>
      <c r="L733" s="1179"/>
      <c r="M733" s="1179"/>
      <c r="N733" s="1179"/>
      <c r="O733" s="1179"/>
      <c r="P733" s="1120">
        <f t="shared" si="27"/>
        <v>0</v>
      </c>
      <c r="Q733" s="1120"/>
      <c r="R733" s="1120"/>
      <c r="S733" s="1120"/>
      <c r="T733" s="1120"/>
      <c r="U733" s="1180">
        <v>0</v>
      </c>
      <c r="V733" s="1181"/>
      <c r="W733" s="1181"/>
      <c r="X733" s="1182"/>
      <c r="Y733" s="1120">
        <f t="shared" si="29"/>
        <v>0</v>
      </c>
      <c r="Z733" s="1120"/>
      <c r="AA733" s="1120"/>
      <c r="AB733" s="1120"/>
      <c r="AC733" s="1120"/>
      <c r="AD733" s="1110">
        <v>0</v>
      </c>
      <c r="AE733" s="1111"/>
      <c r="AF733" s="1111"/>
      <c r="AG733" s="1111"/>
      <c r="AH733" s="1112"/>
      <c r="AI733" s="1524" t="str">
        <f t="shared" si="28"/>
        <v xml:space="preserve"> </v>
      </c>
      <c r="AJ733" s="1525"/>
      <c r="AK733" s="152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2" t="s">
        <v>132</v>
      </c>
      <c r="C734" s="1163"/>
      <c r="D734" s="1163"/>
      <c r="E734" s="1163"/>
      <c r="F734" s="1164"/>
      <c r="G734" s="1226">
        <f>SUM(G709:J733)</f>
        <v>59</v>
      </c>
      <c r="H734" s="1227"/>
      <c r="I734" s="1227"/>
      <c r="J734" s="1228"/>
      <c r="K734" s="1162" t="s">
        <v>131</v>
      </c>
      <c r="L734" s="1163"/>
      <c r="M734" s="1163"/>
      <c r="N734" s="1163"/>
      <c r="O734" s="1164"/>
      <c r="P734" s="1151">
        <f>SUM(P709:T733)</f>
        <v>32714</v>
      </c>
      <c r="Q734" s="1113"/>
      <c r="R734" s="1113"/>
      <c r="S734" s="1113"/>
      <c r="T734" s="1152"/>
      <c r="Y734" s="1234" t="s">
        <v>999</v>
      </c>
      <c r="Z734" s="1235"/>
      <c r="AA734" s="1235"/>
      <c r="AB734" s="1235"/>
      <c r="AC734" s="1236"/>
      <c r="AD734" s="1561">
        <f>AV675</f>
        <v>0.35084745762711866</v>
      </c>
      <c r="AE734" s="1562"/>
      <c r="AF734" s="1562"/>
      <c r="AG734" s="1562"/>
      <c r="AH734" s="156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3" t="s">
        <v>642</v>
      </c>
      <c r="AG736" s="1553"/>
      <c r="AH736" s="155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5" t="s">
        <v>302</v>
      </c>
      <c r="P750" s="1225"/>
      <c r="Q750" s="1225"/>
      <c r="R750" s="1225"/>
      <c r="S750" s="1225"/>
      <c r="T750" s="1225" t="s">
        <v>492</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170</v>
      </c>
      <c r="K754" s="1166"/>
      <c r="L754" s="1166"/>
      <c r="M754" s="1166"/>
      <c r="N754" s="1167"/>
      <c r="O754" s="1168">
        <v>1</v>
      </c>
      <c r="P754" s="1168"/>
      <c r="Q754" s="1168"/>
      <c r="R754" s="1168"/>
      <c r="S754" s="1168"/>
      <c r="T754" s="1179"/>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5">
        <f>SUM(O754:S757)</f>
        <v>1</v>
      </c>
      <c r="P758" s="1416"/>
      <c r="Q758" s="1416"/>
      <c r="R758" s="1416"/>
      <c r="S758" s="1417"/>
      <c r="T758" s="1409" t="s">
        <v>131</v>
      </c>
      <c r="U758" s="1410"/>
      <c r="V758" s="1410"/>
      <c r="W758" s="1410"/>
      <c r="X758" s="1411"/>
      <c r="Y758" s="1151">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4" t="s">
        <v>723</v>
      </c>
      <c r="K760" s="141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5" t="s">
        <v>302</v>
      </c>
      <c r="P764" s="1225"/>
      <c r="Q764" s="1225"/>
      <c r="R764" s="1225"/>
      <c r="S764" s="1225"/>
      <c r="T764" s="1225" t="s">
        <v>492</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30">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30"/>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30"/>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30"/>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30"/>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30"/>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30"/>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30"/>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30"/>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8">
        <f>SUM(O768:S777)</f>
        <v>0</v>
      </c>
      <c r="P778" s="1408"/>
      <c r="Q778" s="1408"/>
      <c r="R778" s="1408"/>
      <c r="S778" s="1408"/>
      <c r="T778" s="1409" t="s">
        <v>131</v>
      </c>
      <c r="U778" s="1410"/>
      <c r="V778" s="1410"/>
      <c r="W778" s="1410"/>
      <c r="X778" s="1411"/>
      <c r="Y778" s="1151">
        <f>SUM(Y768:AC777)</f>
        <v>0</v>
      </c>
      <c r="Z778" s="1113"/>
      <c r="AA778" s="1113"/>
      <c r="AB778" s="1113"/>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2" t="s">
        <v>516</v>
      </c>
      <c r="BB779" s="1233"/>
      <c r="BC779" s="58"/>
      <c r="BD779" s="58"/>
      <c r="BE779" s="58"/>
      <c r="BF779" s="51" t="s">
        <v>685</v>
      </c>
      <c r="BG779" s="51"/>
      <c r="BH779" s="51"/>
      <c r="BI779" s="51"/>
      <c r="BJ779" s="51"/>
      <c r="BK779" s="51"/>
      <c r="BL779" s="51"/>
      <c r="BM779" s="51"/>
      <c r="BN779" s="51"/>
      <c r="BO779" s="1229" t="str">
        <f>T191</f>
        <v>Solano</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32714</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392568</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v>59</v>
      </c>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t="s">
        <v>1775</v>
      </c>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t="s">
        <v>1776</v>
      </c>
      <c r="AA788" s="1209"/>
      <c r="AB788" s="1209"/>
      <c r="AC788" s="1209"/>
      <c r="AD788" s="1209"/>
      <c r="AE788" s="126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595092</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1000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1000</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4">
        <f>Z797+Y781+Z789</f>
        <v>988660</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6"/>
      <c r="N805" s="1156"/>
      <c r="O805" s="1156"/>
      <c r="P805" s="1156"/>
      <c r="Q805" s="1156">
        <v>14</v>
      </c>
      <c r="R805" s="1156"/>
      <c r="S805" s="1156"/>
      <c r="T805" s="1156"/>
      <c r="U805" s="1156"/>
      <c r="V805" s="1156"/>
      <c r="W805" s="1156"/>
      <c r="X805" s="1156"/>
      <c r="Y805" s="1156"/>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c r="V806" s="1156"/>
      <c r="W806" s="1156"/>
      <c r="X806" s="1156"/>
      <c r="Y806" s="1156"/>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c r="N807" s="1156"/>
      <c r="O807" s="1156"/>
      <c r="P807" s="1156"/>
      <c r="Q807" s="1156">
        <v>7</v>
      </c>
      <c r="R807" s="1156"/>
      <c r="S807" s="1156"/>
      <c r="T807" s="1156"/>
      <c r="U807" s="1156"/>
      <c r="V807" s="1156"/>
      <c r="W807" s="1156"/>
      <c r="X807" s="1156"/>
      <c r="Y807" s="1156"/>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841</v>
      </c>
      <c r="D808" s="1158"/>
      <c r="E808" s="1158"/>
      <c r="F808" s="1158"/>
      <c r="G808" s="1158"/>
      <c r="H808" s="1158"/>
      <c r="I808" s="96"/>
      <c r="J808" s="96"/>
      <c r="K808" s="96"/>
      <c r="L808" s="97"/>
      <c r="M808" s="1156"/>
      <c r="N808" s="1156"/>
      <c r="O808" s="1156"/>
      <c r="P808" s="1156"/>
      <c r="Q808" s="1156"/>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506</v>
      </c>
      <c r="D809" s="1158"/>
      <c r="E809" s="1158"/>
      <c r="F809" s="1158"/>
      <c r="G809" s="1158"/>
      <c r="H809" s="1158"/>
      <c r="I809" s="96"/>
      <c r="J809" s="96"/>
      <c r="K809" s="96"/>
      <c r="L809" s="97"/>
      <c r="M809" s="1156"/>
      <c r="N809" s="1156"/>
      <c r="O809" s="1156"/>
      <c r="P809" s="1156"/>
      <c r="Q809" s="1156">
        <v>22</v>
      </c>
      <c r="R809" s="1156"/>
      <c r="S809" s="1156"/>
      <c r="T809" s="1156"/>
      <c r="U809" s="1156"/>
      <c r="V809" s="1156"/>
      <c r="W809" s="1156"/>
      <c r="X809" s="1156"/>
      <c r="Y809" s="1156"/>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1773</v>
      </c>
      <c r="G811" s="1160"/>
      <c r="H811" s="1160"/>
      <c r="I811" s="1160"/>
      <c r="J811" s="1160"/>
      <c r="K811" s="1160"/>
      <c r="L811" s="1161"/>
      <c r="M811" s="1156"/>
      <c r="N811" s="1156"/>
      <c r="O811" s="1156"/>
      <c r="P811" s="1156"/>
      <c r="Q811" s="1156">
        <v>11</v>
      </c>
      <c r="R811" s="1156"/>
      <c r="S811" s="1156"/>
      <c r="T811" s="1156"/>
      <c r="U811" s="1156"/>
      <c r="V811" s="1156"/>
      <c r="W811" s="1156"/>
      <c r="X811" s="1156"/>
      <c r="Y811" s="1156"/>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0</v>
      </c>
      <c r="N812" s="1190"/>
      <c r="O812" s="1190"/>
      <c r="P812" s="1190"/>
      <c r="Q812" s="1190">
        <f>SUM(Q805:T811)</f>
        <v>54</v>
      </c>
      <c r="R812" s="1190"/>
      <c r="S812" s="1190"/>
      <c r="T812" s="1190"/>
      <c r="U812" s="1190">
        <f>SUM(U805:X811)</f>
        <v>0</v>
      </c>
      <c r="V812" s="1190"/>
      <c r="W812" s="1190"/>
      <c r="X812" s="1190"/>
      <c r="Y812" s="1190">
        <f>SUM(Y805:AB811)</f>
        <v>0</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1774</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v>600</v>
      </c>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3000</v>
      </c>
      <c r="X823" s="1224"/>
      <c r="Y823" s="1224"/>
      <c r="Z823" s="1224"/>
      <c r="AA823" s="1224"/>
      <c r="AB823" s="1224"/>
      <c r="AC823" s="122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16840</v>
      </c>
      <c r="X824" s="1224"/>
      <c r="Y824" s="1224"/>
      <c r="Z824" s="1224"/>
      <c r="AA824" s="1224"/>
      <c r="AB824" s="1224"/>
      <c r="AC824" s="1224"/>
      <c r="AD824" s="12"/>
      <c r="AE824" s="12"/>
      <c r="AF824" s="12"/>
      <c r="AG824" s="12"/>
      <c r="AH824" s="12"/>
      <c r="AI824" s="12"/>
      <c r="AJ824" s="12"/>
      <c r="AK824" s="12"/>
      <c r="AL824" s="12"/>
      <c r="AS824" s="21"/>
      <c r="AT824" s="56"/>
      <c r="AV824" s="1145">
        <f>ROUNDDOWN(AP908*2,2)</f>
        <v>0</v>
      </c>
      <c r="AW824" s="1145"/>
      <c r="AX824" s="1145"/>
      <c r="AY824" s="114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v>12000</v>
      </c>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9" t="s">
        <v>1756</v>
      </c>
      <c r="N826" s="1160"/>
      <c r="O826" s="1160"/>
      <c r="P826" s="1160"/>
      <c r="Q826" s="1160"/>
      <c r="R826" s="1160"/>
      <c r="S826" s="1160"/>
      <c r="T826" s="1160"/>
      <c r="U826" s="1160"/>
      <c r="V826" s="1161"/>
      <c r="W826" s="1224">
        <f>17300+2700</f>
        <v>20000</v>
      </c>
      <c r="X826" s="1224"/>
      <c r="Y826" s="1224"/>
      <c r="Z826" s="1224"/>
      <c r="AA826" s="1224"/>
      <c r="AB826" s="1224"/>
      <c r="AC826" s="122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52440</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v>51840</v>
      </c>
      <c r="X829" s="1138"/>
      <c r="Y829" s="1138"/>
      <c r="Z829" s="1138"/>
      <c r="AA829" s="1138"/>
      <c r="AB829" s="1138"/>
      <c r="AC829" s="113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2000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v>7000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f>42000</f>
        <v>42000</v>
      </c>
      <c r="X834" s="1378"/>
      <c r="Y834" s="1378"/>
      <c r="Z834" s="1378"/>
      <c r="AA834" s="1378"/>
      <c r="AB834" s="1378"/>
      <c r="AC834" s="1378"/>
      <c r="AD834" s="12"/>
      <c r="AE834" s="12"/>
      <c r="AF834" s="12"/>
      <c r="AG834" s="12"/>
      <c r="AH834" s="12"/>
      <c r="AI834" s="12"/>
      <c r="AJ834" s="12"/>
      <c r="AK834" s="12"/>
      <c r="AL834" s="12"/>
      <c r="AM834" s="1407">
        <f>SUM(AM801:AM829)</f>
        <v>7.5000000000000011E-2</v>
      </c>
      <c r="AN834" s="140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5">
        <f>SUM(W831:AC834)</f>
        <v>51000</v>
      </c>
      <c r="X835" s="1405"/>
      <c r="Y835" s="1405"/>
      <c r="Z835" s="1405"/>
      <c r="AA835" s="1405"/>
      <c r="AB835" s="1405"/>
      <c r="AC835" s="140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52000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42000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9" t="s">
        <v>1757</v>
      </c>
      <c r="N839" s="1160"/>
      <c r="O839" s="1160"/>
      <c r="P839" s="1160"/>
      <c r="Q839" s="1160"/>
      <c r="R839" s="1160"/>
      <c r="S839" s="1160"/>
      <c r="T839" s="1160"/>
      <c r="U839" s="1160"/>
      <c r="V839" s="1161"/>
      <c r="W839" s="1379">
        <v>35875</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129875</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30000</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4">
        <v>10000</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4">
        <v>16000</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4">
        <v>12000</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4">
        <v>2400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4">
        <v>9000</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4">
        <v>7000</v>
      </c>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1758</v>
      </c>
      <c r="N849" s="1160"/>
      <c r="O849" s="1160"/>
      <c r="P849" s="1160"/>
      <c r="Q849" s="1160"/>
      <c r="R849" s="1160"/>
      <c r="S849" s="1160"/>
      <c r="T849" s="1160"/>
      <c r="U849" s="1160"/>
      <c r="V849" s="1161"/>
      <c r="W849" s="1224">
        <v>12300</v>
      </c>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68700</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59" t="s">
        <v>1759</v>
      </c>
      <c r="N852" s="1160"/>
      <c r="O852" s="1160"/>
      <c r="P852" s="1160"/>
      <c r="Q852" s="1160"/>
      <c r="R852" s="1160"/>
      <c r="S852" s="1160"/>
      <c r="T852" s="1160"/>
      <c r="U852" s="1160"/>
      <c r="V852" s="1161"/>
      <c r="W852" s="1137">
        <v>5000</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59" t="s">
        <v>1760</v>
      </c>
      <c r="N853" s="1160"/>
      <c r="O853" s="1160"/>
      <c r="P853" s="1160"/>
      <c r="Q853" s="1160"/>
      <c r="R853" s="1160"/>
      <c r="S853" s="1160"/>
      <c r="T853" s="1160"/>
      <c r="U853" s="1160"/>
      <c r="V853" s="1161"/>
      <c r="W853" s="1137">
        <v>800</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9" t="s">
        <v>1761</v>
      </c>
      <c r="N854" s="1160"/>
      <c r="O854" s="1160"/>
      <c r="P854" s="1160"/>
      <c r="Q854" s="1160"/>
      <c r="R854" s="1160"/>
      <c r="S854" s="1160"/>
      <c r="T854" s="1160"/>
      <c r="U854" s="1160"/>
      <c r="V854" s="1161"/>
      <c r="W854" s="1137">
        <v>4000</v>
      </c>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3"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3"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9800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393655</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8">
        <f>O778+O758+G734</f>
        <v>60</v>
      </c>
      <c r="AD862" s="1549"/>
      <c r="AE862" s="1549"/>
      <c r="AF862" s="1549"/>
      <c r="AG862" s="1549"/>
      <c r="AH862" s="155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51">
        <f>IF(ISERROR((ROUNDDOWN(AC861/AC862,0))),0,(ROUNDDOWN(AC861/AC862,0)))</f>
        <v>6560</v>
      </c>
      <c r="AD863" s="1552"/>
      <c r="AE863" s="1552"/>
      <c r="AF863" s="1552"/>
      <c r="AG863" s="1552"/>
      <c r="AH863" s="155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5">
        <v>222411</v>
      </c>
      <c r="AD864" s="1406"/>
      <c r="AE864" s="1406"/>
      <c r="AF864" s="1406"/>
      <c r="AG864" s="1406"/>
      <c r="AH864" s="140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9"/>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7">
        <v>61261</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30000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v>1000</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1803</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4">
        <v>18739</v>
      </c>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1066</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4"/>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35">
        <f>IF(AD955&gt;0,0.2,0)</f>
        <v>0.2</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4">
        <f>IF(AD958&gt;0,0.05,0)</f>
        <v>0</v>
      </c>
      <c r="AR878" s="140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136">
        <f>IF(AD988&gt;0,0.1,0)</f>
        <v>0.1</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135">
        <f>SUM(AQ877:AQ885)</f>
        <v>0.30000000000000004</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0.30000000000000004</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874</v>
      </c>
      <c r="G890" s="1392"/>
      <c r="H890" s="1392"/>
      <c r="I890" s="1392"/>
      <c r="J890" s="1392"/>
      <c r="K890" s="1392"/>
      <c r="L890" s="1392"/>
      <c r="M890" s="1392"/>
      <c r="N890" s="1392"/>
      <c r="O890" s="1392"/>
      <c r="P890" s="1392"/>
      <c r="Q890" s="1392"/>
      <c r="R890" s="1392"/>
      <c r="S890" s="1392"/>
      <c r="T890" s="1393"/>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46"/>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7"/>
      <c r="U892" s="1332"/>
      <c r="V892" s="1333"/>
      <c r="W892" s="1333"/>
      <c r="X892" s="1333"/>
      <c r="Y892" s="1333"/>
      <c r="Z892" s="1333"/>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9" t="s">
        <v>592</v>
      </c>
      <c r="V893" s="1220"/>
      <c r="W893" s="1220"/>
      <c r="X893" s="1220"/>
      <c r="Y893" s="1220"/>
      <c r="Z893" s="1221"/>
      <c r="AA893" s="1183">
        <f>AE545</f>
        <v>16253397</v>
      </c>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9" t="s">
        <v>592</v>
      </c>
      <c r="V894" s="1220"/>
      <c r="W894" s="1220"/>
      <c r="X894" s="1220"/>
      <c r="Y894" s="1220"/>
      <c r="Z894" s="1221"/>
      <c r="AA894" s="1183">
        <f>AE546</f>
        <v>7339885</v>
      </c>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9" t="s">
        <v>642</v>
      </c>
      <c r="V895" s="1220"/>
      <c r="W895" s="1220"/>
      <c r="X895" s="1220"/>
      <c r="Y895" s="1220"/>
      <c r="Z895" s="1221"/>
      <c r="AA895" s="1183"/>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9" t="s">
        <v>642</v>
      </c>
      <c r="V896" s="1220"/>
      <c r="W896" s="1220"/>
      <c r="X896" s="1220"/>
      <c r="Y896" s="1220"/>
      <c r="Z896" s="1221"/>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9" t="s">
        <v>642</v>
      </c>
      <c r="V897" s="1220"/>
      <c r="W897" s="1220"/>
      <c r="X897" s="1220"/>
      <c r="Y897" s="1220"/>
      <c r="Z897" s="1221"/>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9" t="s">
        <v>642</v>
      </c>
      <c r="V898" s="1220"/>
      <c r="W898" s="1220"/>
      <c r="X898" s="1220"/>
      <c r="Y898" s="1220"/>
      <c r="Z898" s="1221"/>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9" t="s">
        <v>642</v>
      </c>
      <c r="V899" s="1220"/>
      <c r="W899" s="1220"/>
      <c r="X899" s="1220"/>
      <c r="Y899" s="1220"/>
      <c r="Z899" s="1221"/>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9" t="s">
        <v>642</v>
      </c>
      <c r="V900" s="1220"/>
      <c r="W900" s="1220"/>
      <c r="X900" s="1220"/>
      <c r="Y900" s="1220"/>
      <c r="Z900" s="1221"/>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9" t="s">
        <v>642</v>
      </c>
      <c r="V901" s="1220"/>
      <c r="W901" s="1220"/>
      <c r="X901" s="1220"/>
      <c r="Y901" s="1220"/>
      <c r="Z901" s="1221"/>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9" t="s">
        <v>642</v>
      </c>
      <c r="V902" s="1220"/>
      <c r="W902" s="1220"/>
      <c r="X902" s="1220"/>
      <c r="Y902" s="1220"/>
      <c r="Z902" s="1221"/>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19" t="s">
        <v>642</v>
      </c>
      <c r="V903" s="1220"/>
      <c r="W903" s="1220"/>
      <c r="X903" s="1220"/>
      <c r="Y903" s="1220"/>
      <c r="Z903" s="1221"/>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9" t="s">
        <v>642</v>
      </c>
      <c r="V904" s="1220"/>
      <c r="W904" s="1220"/>
      <c r="X904" s="1220"/>
      <c r="Y904" s="1220"/>
      <c r="Z904" s="1221"/>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9" t="s">
        <v>642</v>
      </c>
      <c r="V905" s="1220"/>
      <c r="W905" s="1220"/>
      <c r="X905" s="1220"/>
      <c r="Y905" s="1220"/>
      <c r="Z905" s="1221"/>
      <c r="AA905" s="1183"/>
      <c r="AB905" s="1184"/>
      <c r="AC905" s="1184"/>
      <c r="AD905" s="1184"/>
      <c r="AE905" s="1184"/>
      <c r="AF905" s="1185"/>
      <c r="AM905" s="1401">
        <f>G734+O778</f>
        <v>59</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19" t="s">
        <v>642</v>
      </c>
      <c r="V906" s="1220"/>
      <c r="W906" s="1220"/>
      <c r="X906" s="1220"/>
      <c r="Y906" s="1220"/>
      <c r="Z906" s="1221"/>
      <c r="AA906" s="1183"/>
      <c r="AB906" s="1184"/>
      <c r="AC906" s="1184"/>
      <c r="AD906" s="1184"/>
      <c r="AE906" s="1184"/>
      <c r="AF906" s="1185"/>
      <c r="AM906" s="52"/>
      <c r="AN906" s="21"/>
      <c r="AO906" s="1375">
        <f>ROUNDDOWN(X999/I999,2)</f>
        <v>0.5</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19" t="s">
        <v>642</v>
      </c>
      <c r="V907" s="1220"/>
      <c r="W907" s="1220"/>
      <c r="X907" s="1220"/>
      <c r="Y907" s="1220"/>
      <c r="Z907" s="1221"/>
      <c r="AA907" s="1183"/>
      <c r="AB907" s="1184"/>
      <c r="AC907" s="1184"/>
      <c r="AD907" s="1184"/>
      <c r="AE907" s="1184"/>
      <c r="AF907" s="1185"/>
      <c r="AM907" s="52"/>
      <c r="AN907" s="52"/>
      <c r="AO907" s="1354">
        <f>ROUNDDOWN(X1003/I1003,2)</f>
        <v>0.49</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9" t="s">
        <v>723</v>
      </c>
      <c r="Q908" s="1220"/>
      <c r="R908" s="1220"/>
      <c r="S908" s="1220"/>
      <c r="T908" s="1221"/>
      <c r="U908" s="1219" t="s">
        <v>642</v>
      </c>
      <c r="V908" s="1220"/>
      <c r="W908" s="1220"/>
      <c r="X908" s="1220"/>
      <c r="Y908" s="1220"/>
      <c r="Z908" s="1221"/>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2" t="s">
        <v>1762</v>
      </c>
      <c r="J909" s="1383"/>
      <c r="K909" s="1383"/>
      <c r="L909" s="1383"/>
      <c r="M909" s="1383"/>
      <c r="N909" s="1383"/>
      <c r="O909" s="1383"/>
      <c r="P909" s="1383"/>
      <c r="Q909" s="1383"/>
      <c r="R909" s="1383"/>
      <c r="S909" s="1383"/>
      <c r="T909" s="1384"/>
      <c r="U909" s="1219" t="s">
        <v>592</v>
      </c>
      <c r="V909" s="1220"/>
      <c r="W909" s="1220"/>
      <c r="X909" s="1220"/>
      <c r="Y909" s="1220"/>
      <c r="Z909" s="1221"/>
      <c r="AA909" s="1183">
        <f>AG619</f>
        <v>11339194</v>
      </c>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tr">
        <f>C620</f>
        <v>Vacaville Acquisition Loan</v>
      </c>
      <c r="J910" s="1149"/>
      <c r="K910" s="1149"/>
      <c r="L910" s="1149"/>
      <c r="M910" s="1149"/>
      <c r="N910" s="1149"/>
      <c r="O910" s="1149"/>
      <c r="P910" s="1149"/>
      <c r="Q910" s="1149"/>
      <c r="R910" s="1149"/>
      <c r="S910" s="1149"/>
      <c r="T910" s="1150"/>
      <c r="U910" s="1219" t="s">
        <v>592</v>
      </c>
      <c r="V910" s="1220"/>
      <c r="W910" s="1220"/>
      <c r="X910" s="1220"/>
      <c r="Y910" s="1220"/>
      <c r="Z910" s="1221"/>
      <c r="AA910" s="1183">
        <f>AG620</f>
        <v>1320000</v>
      </c>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tr">
        <f>C621</f>
        <v>Vacaville Loan</v>
      </c>
      <c r="J911" s="1149"/>
      <c r="K911" s="1149"/>
      <c r="L911" s="1149"/>
      <c r="M911" s="1149"/>
      <c r="N911" s="1149"/>
      <c r="O911" s="1149"/>
      <c r="P911" s="1149"/>
      <c r="Q911" s="1149"/>
      <c r="R911" s="1149"/>
      <c r="S911" s="1149"/>
      <c r="T911" s="1150"/>
      <c r="U911" s="1219" t="s">
        <v>592</v>
      </c>
      <c r="V911" s="1220"/>
      <c r="W911" s="1220"/>
      <c r="X911" s="1220"/>
      <c r="Y911" s="1220"/>
      <c r="Z911" s="1221"/>
      <c r="AA911" s="1183">
        <f>AG621</f>
        <v>500000</v>
      </c>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19" t="s">
        <v>642</v>
      </c>
      <c r="V912" s="1220"/>
      <c r="W912" s="1220"/>
      <c r="X912" s="1220"/>
      <c r="Y912" s="1220"/>
      <c r="Z912" s="1221"/>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v>43978</v>
      </c>
      <c r="N917" s="1209"/>
      <c r="O917" s="1209"/>
      <c r="P917" s="1209"/>
      <c r="Q917" s="1209"/>
      <c r="R917" s="1209"/>
      <c r="S917" s="1266"/>
      <c r="U917" s="103" t="s">
        <v>11</v>
      </c>
      <c r="V917" s="77"/>
      <c r="W917" s="77"/>
      <c r="X917" s="77"/>
      <c r="Y917" s="77"/>
      <c r="Z917" s="77"/>
      <c r="AA917" s="77"/>
      <c r="AB917" s="77"/>
      <c r="AC917" s="77"/>
      <c r="AD917" s="78"/>
      <c r="AE917" s="1265"/>
      <c r="AF917" s="1209"/>
      <c r="AG917" s="1209"/>
      <c r="AH917" s="1209"/>
      <c r="AI917" s="1209"/>
      <c r="AJ917" s="1209"/>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t="s">
        <v>1764</v>
      </c>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8" t="s">
        <v>1763</v>
      </c>
      <c r="K919" s="1369"/>
      <c r="L919" s="1369"/>
      <c r="M919" s="1369"/>
      <c r="N919" s="1369"/>
      <c r="O919" s="1369"/>
      <c r="P919" s="1369"/>
      <c r="Q919" s="1369"/>
      <c r="R919" s="1369"/>
      <c r="S919" s="1370"/>
      <c r="U919" s="103" t="s">
        <v>975</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v>1</v>
      </c>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v>59</v>
      </c>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f>'Subsidy Contract Calculation'!I30</f>
        <v>595092</v>
      </c>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f>M924*M922</f>
        <v>8926380</v>
      </c>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v>15</v>
      </c>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0"/>
      <c r="N929" s="1201"/>
      <c r="O929" s="1201"/>
      <c r="P929" s="1201"/>
      <c r="Q929" s="1201"/>
      <c r="R929" s="1201"/>
      <c r="S929" s="1202"/>
      <c r="T929" s="103" t="s">
        <v>872</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0"/>
      <c r="N930" s="1201"/>
      <c r="O930" s="1201"/>
      <c r="P930" s="1201"/>
      <c r="Q930" s="1201"/>
      <c r="R930" s="1201"/>
      <c r="S930" s="1202"/>
      <c r="T930" s="103" t="s">
        <v>871</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0"/>
      <c r="N933" s="1201"/>
      <c r="O933" s="1201"/>
      <c r="P933" s="1201"/>
      <c r="Q933" s="1201"/>
      <c r="R933" s="1201"/>
      <c r="S933" s="1202"/>
      <c r="T933" s="76" t="s">
        <v>408</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0"/>
      <c r="N935" s="1201"/>
      <c r="O935" s="1201"/>
      <c r="P935" s="1201"/>
      <c r="Q935" s="1201"/>
      <c r="R935" s="1201"/>
      <c r="S935" s="1202"/>
      <c r="T935" s="1323"/>
      <c r="U935" s="1324"/>
      <c r="V935" s="1324"/>
      <c r="W935" s="1324"/>
      <c r="X935" s="1324"/>
      <c r="Y935" s="1324"/>
      <c r="Z935" s="1325"/>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723</v>
      </c>
      <c r="P936" s="1294"/>
      <c r="Q936" s="142"/>
      <c r="R936" s="142"/>
      <c r="S936" s="143"/>
      <c r="T936" s="71" t="s">
        <v>177</v>
      </c>
      <c r="U936" s="72"/>
      <c r="V936" s="72"/>
      <c r="W936" s="1403"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0"/>
      <c r="N937" s="1201"/>
      <c r="O937" s="1201"/>
      <c r="P937" s="1201"/>
      <c r="Q937" s="1201"/>
      <c r="R937" s="1201"/>
      <c r="S937" s="1202"/>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6" t="s">
        <v>595</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689</v>
      </c>
      <c r="C946" s="1360"/>
      <c r="D946" s="1360"/>
      <c r="E946" s="1360"/>
      <c r="F946" s="1360"/>
      <c r="G946" s="1360"/>
      <c r="H946" s="1360"/>
      <c r="I946" s="1360"/>
      <c r="J946" s="1360"/>
      <c r="K946" s="1360"/>
      <c r="L946" s="1360" t="s">
        <v>690</v>
      </c>
      <c r="M946" s="1360"/>
      <c r="N946" s="1360"/>
      <c r="O946" s="1360"/>
      <c r="P946" s="1360"/>
      <c r="Q946" s="1360"/>
      <c r="R946" s="1360"/>
      <c r="S946" s="1360"/>
      <c r="T946" s="1360"/>
      <c r="U946" s="1360"/>
      <c r="V946" s="1360" t="s">
        <v>691</v>
      </c>
      <c r="W946" s="1360"/>
      <c r="X946" s="1360"/>
      <c r="Y946" s="1360"/>
      <c r="Z946" s="1360"/>
      <c r="AA946" s="1360"/>
      <c r="AB946" s="1360"/>
      <c r="AC946" s="1360"/>
      <c r="AD946" s="1371" t="s">
        <v>692</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684</v>
      </c>
      <c r="C947" s="1199"/>
      <c r="D947" s="1199"/>
      <c r="E947" s="1199"/>
      <c r="F947" s="1199"/>
      <c r="G947" s="1199"/>
      <c r="H947" s="1199"/>
      <c r="I947" s="1199"/>
      <c r="J947" s="1199"/>
      <c r="K947" s="1199"/>
      <c r="L947" s="1337">
        <f>IF(ISNA(IF($BA$779="4%",(INDEX($BC$789:$BG$846,MATCH($BO$779,$BB$789:$BB$846,0),MATCH(B947,$BC$788:$BG$788,0))),(INDEX($BJ$789:$BN$846,MATCH($BO$779,$BI$789:$BI$846,0),MATCH(B947,$BJ$788:$BN$788,0))))),0,IF($BA$779="4%",(INDEX($BC$789:$BG$846,MATCH($BO$779,$BB$789:$BB$846,0),MATCH(B947,$BC$788:$BG$788,0))),(INDEX($BJ$789:$BN$846,MATCH($BO$779,$BI$789:$BI$846,0),MATCH(B947,$BJ$788:$BN$788,0)))))</f>
        <v>293352</v>
      </c>
      <c r="M947" s="1338"/>
      <c r="N947" s="1338"/>
      <c r="O947" s="1338"/>
      <c r="P947" s="1338"/>
      <c r="Q947" s="1338"/>
      <c r="R947" s="1338"/>
      <c r="S947" s="1338"/>
      <c r="T947" s="1338"/>
      <c r="U947" s="1339"/>
      <c r="V947" s="1367">
        <f>BA635</f>
        <v>0</v>
      </c>
      <c r="W947" s="1367"/>
      <c r="X947" s="1367"/>
      <c r="Y947" s="1367"/>
      <c r="Z947" s="1367"/>
      <c r="AA947" s="1367"/>
      <c r="AB947" s="1367"/>
      <c r="AC947" s="1367"/>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8" t="s">
        <v>348</v>
      </c>
      <c r="C948" s="1198"/>
      <c r="D948" s="1198"/>
      <c r="E948" s="1198"/>
      <c r="F948" s="1198"/>
      <c r="G948" s="1198"/>
      <c r="H948" s="1198"/>
      <c r="I948" s="1198"/>
      <c r="J948" s="1198"/>
      <c r="K948" s="1198"/>
      <c r="L948" s="1337">
        <f>IF(ISNA(IF($BA$779="4%",(INDEX($BC$789:$BG$846,MATCH($BO$779,$BB$789:$BB$846,0),MATCH(B948,$BC$788:$BG$788,0))),(INDEX($BJ$789:$BN$846,MATCH($BO$779,$BI$789:$BI$846,0),MATCH(B948,$BJ$788:$BN$788,0))))),0,IF($BA$779="4%",(INDEX($BC$789:$BG$846,MATCH($BO$779,$BB$789:$BB$846,0),MATCH(B948,$BC$788:$BG$788,0))),(INDEX($BJ$789:$BN$846,MATCH($BO$779,$BI$789:$BI$846,0),MATCH(B948,$BJ$788:$BN$788,0)))))</f>
        <v>338232</v>
      </c>
      <c r="M948" s="1338"/>
      <c r="N948" s="1338"/>
      <c r="O948" s="1338"/>
      <c r="P948" s="1338"/>
      <c r="Q948" s="1338"/>
      <c r="R948" s="1338"/>
      <c r="S948" s="1338"/>
      <c r="T948" s="1338"/>
      <c r="U948" s="1339"/>
      <c r="V948" s="1367">
        <f>BF635</f>
        <v>59</v>
      </c>
      <c r="W948" s="1367"/>
      <c r="X948" s="1367"/>
      <c r="Y948" s="1367"/>
      <c r="Z948" s="1367"/>
      <c r="AA948" s="1367"/>
      <c r="AB948" s="1367"/>
      <c r="AC948" s="1367"/>
      <c r="AD948" s="1281">
        <f>IF(ISERROR((L948*V948)),0,(L948*V948))</f>
        <v>19955688</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7">
        <f>IF(ISNA(IF($BA$779="4%",(INDEX($BC$789:$BG$846,MATCH($BO$779,$BB$789:$BB$846,0),MATCH(B949,$BC$788:$BG$788,0))),(INDEX($BJ$789:$BN$846,MATCH($BO$779,$BI$789:$BI$846,0),MATCH(B949,$BJ$788:$BN$788,0))))),0,IF($BA$779="4%",(INDEX($BC$789:$BG$846,MATCH($BO$779,$BB$789:$BB$846,0),MATCH(B949,$BC$788:$BG$788,0))),(INDEX($BJ$789:$BN$846,MATCH($BO$779,$BI$789:$BI$846,0),MATCH(B949,$BJ$788:$BN$788,0)))))</f>
        <v>408000</v>
      </c>
      <c r="M949" s="1338"/>
      <c r="N949" s="1338"/>
      <c r="O949" s="1338"/>
      <c r="P949" s="1338"/>
      <c r="Q949" s="1338"/>
      <c r="R949" s="1338"/>
      <c r="S949" s="1338"/>
      <c r="T949" s="1338"/>
      <c r="U949" s="1339"/>
      <c r="V949" s="1367">
        <f>BK635</f>
        <v>1</v>
      </c>
      <c r="W949" s="1367"/>
      <c r="X949" s="1367"/>
      <c r="Y949" s="1367"/>
      <c r="Z949" s="1367"/>
      <c r="AA949" s="1367"/>
      <c r="AB949" s="1367"/>
      <c r="AC949" s="1367"/>
      <c r="AD949" s="1281">
        <f>IF(ISERROR((L949*V949)),0,(L949*V949))</f>
        <v>408000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7">
        <f>IF(ISNA(IF($BA$779="4%",(INDEX($BC$789:$BG$846,MATCH($BO$779,$BB$789:$BB$846,0),MATCH(B950,$BC$788:$BG$788,0))),(INDEX($BJ$789:$BN$846,MATCH($BO$779,$BI$789:$BI$846,0),MATCH(B950,$BJ$788:$BN$788,0))))),0,IF($BA$779="4%",(INDEX($BC$789:$BG$846,MATCH($BO$779,$BB$789:$BB$846,0),MATCH(B950,$BC$788:$BG$788,0))),(INDEX($BJ$789:$BN$846,MATCH($BO$779,$BI$789:$BI$846,0),MATCH(B950,$BJ$788:$BN$788,0)))))</f>
        <v>522240</v>
      </c>
      <c r="M950" s="1338"/>
      <c r="N950" s="1338"/>
      <c r="O950" s="1338"/>
      <c r="P950" s="1338"/>
      <c r="Q950" s="1338"/>
      <c r="R950" s="1338"/>
      <c r="S950" s="1338"/>
      <c r="T950" s="1338"/>
      <c r="U950" s="1339"/>
      <c r="V950" s="1367">
        <f>BP635</f>
        <v>0</v>
      </c>
      <c r="W950" s="1367"/>
      <c r="X950" s="1367"/>
      <c r="Y950" s="1367"/>
      <c r="Z950" s="1367"/>
      <c r="AA950" s="1367"/>
      <c r="AB950" s="1367"/>
      <c r="AC950" s="1367"/>
      <c r="AD950" s="1281">
        <f>IF(ISERROR((L950*V950)),0,(L950*V950))</f>
        <v>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198" t="s">
        <v>507</v>
      </c>
      <c r="C951" s="1198"/>
      <c r="D951" s="1198"/>
      <c r="E951" s="1198"/>
      <c r="F951" s="1198"/>
      <c r="G951" s="1198"/>
      <c r="H951" s="1198"/>
      <c r="I951" s="1198"/>
      <c r="J951" s="1198"/>
      <c r="K951" s="1198"/>
      <c r="L951" s="1337">
        <f>IF(ISNA(IF($BA$779="4%",(INDEX($BC$789:$BG$846,MATCH($BO$779,$BB$789:$BB$846,0),MATCH(B951,$BC$788:$BG$788,0))),(INDEX($BJ$789:$BN$846,MATCH($BO$779,$BI$789:$BI$846,0),MATCH(B951,$BJ$788:$BN$788,0))))),0,IF($BA$779="4%",(INDEX($BC$789:$BG$846,MATCH($BO$779,$BB$789:$BB$846,0),MATCH(B951,$BC$788:$BG$788,0))),(INDEX($BJ$789:$BN$846,MATCH($BO$779,$BI$789:$BI$846,0),MATCH(B951,$BJ$788:$BN$788,0)))))</f>
        <v>581808</v>
      </c>
      <c r="M951" s="1338"/>
      <c r="N951" s="1338"/>
      <c r="O951" s="1338"/>
      <c r="P951" s="1338"/>
      <c r="Q951" s="1338"/>
      <c r="R951" s="1338"/>
      <c r="S951" s="1338"/>
      <c r="T951" s="1338"/>
      <c r="U951" s="1339"/>
      <c r="V951" s="1367">
        <f>BZ635+BU635</f>
        <v>0</v>
      </c>
      <c r="W951" s="1367"/>
      <c r="X951" s="1367"/>
      <c r="Y951" s="1367"/>
      <c r="Z951" s="1367"/>
      <c r="AA951" s="1367"/>
      <c r="AB951" s="1367"/>
      <c r="AC951" s="1367"/>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873</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4">
        <f>SUM(V947:AC951)</f>
        <v>60</v>
      </c>
      <c r="W952" s="1395"/>
      <c r="X952" s="1395"/>
      <c r="Y952" s="1395"/>
      <c r="Z952" s="1395"/>
      <c r="AA952" s="1395"/>
      <c r="AB952" s="1395"/>
      <c r="AC952" s="1396"/>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20363688</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2" t="s">
        <v>720</v>
      </c>
      <c r="AA954" s="1543"/>
      <c r="AB954" s="1543"/>
      <c r="AC954" s="154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45" t="s">
        <v>1483</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5" t="s">
        <v>592</v>
      </c>
      <c r="AB955" s="1366"/>
      <c r="AC955" s="128"/>
      <c r="AD955" s="1174">
        <f>ROUND(IF(AND(AA955="yes",D957&gt;0),AD953*0.2,0),0)</f>
        <v>4072738</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3" t="s">
        <v>1484</v>
      </c>
      <c r="E956" s="1574"/>
      <c r="F956" s="1574"/>
      <c r="G956" s="1574"/>
      <c r="H956" s="1574"/>
      <c r="I956" s="1574"/>
      <c r="J956" s="1574"/>
      <c r="K956" s="1574"/>
      <c r="L956" s="1574"/>
      <c r="M956" s="1574"/>
      <c r="N956" s="1574"/>
      <c r="O956" s="1574"/>
      <c r="P956" s="1574"/>
      <c r="Q956" s="1574"/>
      <c r="R956" s="1574"/>
      <c r="S956" s="1574"/>
      <c r="T956" s="1574"/>
      <c r="U956" s="1574"/>
      <c r="V956" s="1574"/>
      <c r="W956" s="1574"/>
      <c r="X956" s="1574"/>
      <c r="Y956" s="1575"/>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48" t="s">
        <v>1765</v>
      </c>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1609</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1" t="s">
        <v>723</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8" t="s">
        <v>1606</v>
      </c>
      <c r="E959" s="1579"/>
      <c r="F959" s="1579"/>
      <c r="G959" s="1579"/>
      <c r="H959" s="1579"/>
      <c r="I959" s="1579"/>
      <c r="J959" s="1579"/>
      <c r="K959" s="1579"/>
      <c r="L959" s="1579"/>
      <c r="M959" s="1579"/>
      <c r="N959" s="1579"/>
      <c r="O959" s="1579"/>
      <c r="P959" s="1579"/>
      <c r="Q959" s="1579"/>
      <c r="R959" s="1579"/>
      <c r="S959" s="1579"/>
      <c r="T959" s="1579"/>
      <c r="U959" s="1579"/>
      <c r="V959" s="1579"/>
      <c r="W959" s="1579"/>
      <c r="X959" s="1579"/>
      <c r="Y959" s="1580"/>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8"/>
      <c r="E960" s="1579"/>
      <c r="F960" s="1579"/>
      <c r="G960" s="1579"/>
      <c r="H960" s="1579"/>
      <c r="I960" s="1579"/>
      <c r="J960" s="1579"/>
      <c r="K960" s="1579"/>
      <c r="L960" s="1579"/>
      <c r="M960" s="1579"/>
      <c r="N960" s="1579"/>
      <c r="O960" s="1579"/>
      <c r="P960" s="1579"/>
      <c r="Q960" s="1579"/>
      <c r="R960" s="1579"/>
      <c r="S960" s="1579"/>
      <c r="T960" s="1579"/>
      <c r="U960" s="1579"/>
      <c r="V960" s="1579"/>
      <c r="W960" s="1579"/>
      <c r="X960" s="1579"/>
      <c r="Y960" s="1580"/>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8"/>
      <c r="E961" s="1579"/>
      <c r="F961" s="1579"/>
      <c r="G961" s="1579"/>
      <c r="H961" s="1579"/>
      <c r="I961" s="1579"/>
      <c r="J961" s="1579"/>
      <c r="K961" s="1579"/>
      <c r="L961" s="1579"/>
      <c r="M961" s="1579"/>
      <c r="N961" s="1579"/>
      <c r="O961" s="1579"/>
      <c r="P961" s="1579"/>
      <c r="Q961" s="1579"/>
      <c r="R961" s="1579"/>
      <c r="S961" s="1579"/>
      <c r="T961" s="1579"/>
      <c r="U961" s="1579"/>
      <c r="V961" s="1579"/>
      <c r="W961" s="1579"/>
      <c r="X961" s="1579"/>
      <c r="Y961" s="1580"/>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8"/>
      <c r="E962" s="1579"/>
      <c r="F962" s="1579"/>
      <c r="G962" s="1579"/>
      <c r="H962" s="1579"/>
      <c r="I962" s="1579"/>
      <c r="J962" s="1579"/>
      <c r="K962" s="1579"/>
      <c r="L962" s="1579"/>
      <c r="M962" s="1579"/>
      <c r="N962" s="1579"/>
      <c r="O962" s="1579"/>
      <c r="P962" s="1579"/>
      <c r="Q962" s="1579"/>
      <c r="R962" s="1579"/>
      <c r="S962" s="1579"/>
      <c r="T962" s="1579"/>
      <c r="U962" s="1579"/>
      <c r="V962" s="1579"/>
      <c r="W962" s="1579"/>
      <c r="X962" s="1579"/>
      <c r="Y962" s="1580"/>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8"/>
      <c r="E963" s="1579"/>
      <c r="F963" s="1579"/>
      <c r="G963" s="1579"/>
      <c r="H963" s="1579"/>
      <c r="I963" s="1579"/>
      <c r="J963" s="1579"/>
      <c r="K963" s="1579"/>
      <c r="L963" s="1579"/>
      <c r="M963" s="1579"/>
      <c r="N963" s="1579"/>
      <c r="O963" s="1579"/>
      <c r="P963" s="1579"/>
      <c r="Q963" s="1579"/>
      <c r="R963" s="1579"/>
      <c r="S963" s="1579"/>
      <c r="T963" s="1579"/>
      <c r="U963" s="1579"/>
      <c r="V963" s="1579"/>
      <c r="W963" s="1579"/>
      <c r="X963" s="1579"/>
      <c r="Y963" s="1580"/>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3"/>
      <c r="E964" s="1581"/>
      <c r="F964" s="1581"/>
      <c r="G964" s="1581"/>
      <c r="H964" s="1581"/>
      <c r="I964" s="1581"/>
      <c r="J964" s="1581"/>
      <c r="K964" s="1581"/>
      <c r="L964" s="1581"/>
      <c r="M964" s="1581"/>
      <c r="N964" s="1581"/>
      <c r="O964" s="1581"/>
      <c r="P964" s="1581"/>
      <c r="Q964" s="1581"/>
      <c r="R964" s="1581"/>
      <c r="S964" s="1581"/>
      <c r="T964" s="1581"/>
      <c r="U964" s="1581"/>
      <c r="V964" s="1581"/>
      <c r="W964" s="1581"/>
      <c r="X964" s="1581"/>
      <c r="Y964" s="1582"/>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5" t="s">
        <v>1608</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1" t="s">
        <v>723</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1607</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1610</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723</v>
      </c>
      <c r="AB969" s="1238"/>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8" t="s">
        <v>1611</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5" t="s">
        <v>1612</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1" t="s">
        <v>723</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2" t="s">
        <v>1613</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1614</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1" t="s">
        <v>723</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2" t="s">
        <v>1615</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6"/>
      <c r="AE976" s="1177"/>
      <c r="AF976" s="1177"/>
      <c r="AG976" s="1177"/>
      <c r="AH976" s="1177"/>
      <c r="AI976" s="1177"/>
      <c r="AJ976" s="1177"/>
      <c r="AK976" s="1178"/>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83" t="s">
        <v>1616</v>
      </c>
      <c r="E978" s="1584"/>
      <c r="F978" s="1584"/>
      <c r="G978" s="1584"/>
      <c r="H978" s="1584"/>
      <c r="I978" s="1584"/>
      <c r="J978" s="1584"/>
      <c r="K978" s="1584"/>
      <c r="L978" s="1584"/>
      <c r="M978" s="1584"/>
      <c r="N978" s="1584"/>
      <c r="O978" s="1584"/>
      <c r="P978" s="1584"/>
      <c r="Q978" s="1584"/>
      <c r="R978" s="1584"/>
      <c r="S978" s="1584"/>
      <c r="T978" s="1584"/>
      <c r="U978" s="1584"/>
      <c r="V978" s="1584"/>
      <c r="W978" s="1584"/>
      <c r="X978" s="1584"/>
      <c r="Y978" s="1585"/>
      <c r="Z978" s="115"/>
      <c r="AA978" s="1237" t="s">
        <v>723</v>
      </c>
      <c r="AB978" s="1238"/>
      <c r="AC978" s="51"/>
      <c r="AD978" s="1284"/>
      <c r="AE978" s="1285"/>
      <c r="AF978" s="1285"/>
      <c r="AG978" s="1285"/>
      <c r="AH978" s="1285"/>
      <c r="AI978" s="1285"/>
      <c r="AJ978" s="1285"/>
      <c r="AK978" s="1286"/>
      <c r="AL978" s="105"/>
    </row>
    <row r="979" spans="1:38" ht="12.75" customHeight="1">
      <c r="A979" s="51"/>
      <c r="B979" s="122"/>
      <c r="C979" s="125"/>
      <c r="D979" s="1586"/>
      <c r="E979" s="1587"/>
      <c r="F979" s="1587"/>
      <c r="G979" s="1587"/>
      <c r="H979" s="1587"/>
      <c r="I979" s="1587"/>
      <c r="J979" s="1587"/>
      <c r="K979" s="1587"/>
      <c r="L979" s="1587"/>
      <c r="M979" s="1587"/>
      <c r="N979" s="1587"/>
      <c r="O979" s="1587"/>
      <c r="P979" s="1587"/>
      <c r="Q979" s="1587"/>
      <c r="R979" s="1587"/>
      <c r="S979" s="1587"/>
      <c r="T979" s="1587"/>
      <c r="U979" s="1587"/>
      <c r="V979" s="1587"/>
      <c r="W979" s="1587"/>
      <c r="X979" s="1587"/>
      <c r="Y979" s="1588"/>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2" t="s">
        <v>1617</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642</v>
      </c>
      <c r="K983" s="1304"/>
      <c r="L983" s="1304"/>
      <c r="M983" s="1304"/>
      <c r="N983" s="1304"/>
      <c r="O983" s="1304"/>
      <c r="P983" s="1304"/>
      <c r="Q983" s="1305"/>
      <c r="R983" s="7"/>
      <c r="S983" s="7"/>
      <c r="T983" s="164"/>
      <c r="U983" s="7"/>
      <c r="V983" s="1343" t="str">
        <f>IF(AA978="yes",(AD953*0.15),"")</f>
        <v/>
      </c>
      <c r="W983" s="1343"/>
      <c r="X983" s="1343"/>
      <c r="Y983" s="1344"/>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5" t="s">
        <v>1618</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592</v>
      </c>
      <c r="AB984" s="1238"/>
      <c r="AC984" s="51"/>
      <c r="AD984" s="1284">
        <f>'Sources and Uses Budget'!C82</f>
        <v>1251740</v>
      </c>
      <c r="AE984" s="1285"/>
      <c r="AF984" s="1285"/>
      <c r="AG984" s="1285"/>
      <c r="AH984" s="1285"/>
      <c r="AI984" s="1285"/>
      <c r="AJ984" s="1285"/>
      <c r="AK984" s="1286"/>
      <c r="AL984" s="105"/>
    </row>
    <row r="985" spans="1:38" ht="12.75" customHeight="1">
      <c r="A985" s="51"/>
      <c r="B985" s="113"/>
      <c r="C985" s="114"/>
      <c r="D985" s="1242" t="s">
        <v>1619</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1" t="str">
        <f>IF(AA984="yes","Please Enter Amount:",0)</f>
        <v>Please Enter Amount:</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5" t="s">
        <v>1620</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1" t="s">
        <v>592</v>
      </c>
      <c r="AB988" s="1172"/>
      <c r="AC988" s="127"/>
      <c r="AD988" s="1173">
        <f>ROUND(IF(AA988="yes",(AD953*0.1),0),0)</f>
        <v>2036369</v>
      </c>
      <c r="AE988" s="1174"/>
      <c r="AF988" s="1174"/>
      <c r="AG988" s="1174"/>
      <c r="AH988" s="1174"/>
      <c r="AI988" s="1174"/>
      <c r="AJ988" s="1174"/>
      <c r="AK988" s="1175"/>
      <c r="AL988" s="105"/>
    </row>
    <row r="989" spans="1:38" s="743" customFormat="1" ht="12.75" customHeight="1">
      <c r="A989" s="51"/>
      <c r="B989" s="113"/>
      <c r="C989" s="114"/>
      <c r="D989" s="1242" t="s">
        <v>1621</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6"/>
      <c r="AE989" s="1177"/>
      <c r="AF989" s="1177"/>
      <c r="AG989" s="1177"/>
      <c r="AH989" s="1177"/>
      <c r="AI989" s="1177"/>
      <c r="AJ989" s="1177"/>
      <c r="AK989" s="1178"/>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6"/>
      <c r="AE990" s="1177"/>
      <c r="AF990" s="1177"/>
      <c r="AG990" s="1177"/>
      <c r="AH990" s="1177"/>
      <c r="AI990" s="1177"/>
      <c r="AJ990" s="1177"/>
      <c r="AK990" s="1178"/>
      <c r="AL990" s="105"/>
    </row>
    <row r="991" spans="1:38" ht="12.75" customHeight="1">
      <c r="A991" s="51"/>
      <c r="B991" s="120"/>
      <c r="C991" s="555" t="s">
        <v>742</v>
      </c>
      <c r="D991" s="1245" t="s">
        <v>1622</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1" t="s">
        <v>723</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2" t="s">
        <v>1623</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5" t="s">
        <v>1627</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6" t="str">
        <f>IF(X999&gt;0,"Yes","No")</f>
        <v>Yes</v>
      </c>
      <c r="AB996" s="1277"/>
      <c r="AC996" s="128"/>
      <c r="AD996" s="1267">
        <f>IF((X999=0),"",AO906*AD953)</f>
        <v>10181844</v>
      </c>
      <c r="AE996" s="1268"/>
      <c r="AF996" s="1268"/>
      <c r="AG996" s="1268"/>
      <c r="AH996" s="1268"/>
      <c r="AI996" s="1268"/>
      <c r="AJ996" s="1268"/>
      <c r="AK996" s="1269"/>
      <c r="AL996" s="105"/>
    </row>
    <row r="997" spans="1:38" s="743" customFormat="1" ht="12.75" customHeight="1">
      <c r="A997" s="51"/>
      <c r="B997" s="113"/>
      <c r="C997" s="726"/>
      <c r="D997" s="1242" t="s">
        <v>1626</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1081</v>
      </c>
      <c r="E999" s="208"/>
      <c r="F999" s="208"/>
      <c r="G999" s="208"/>
      <c r="H999" s="104"/>
      <c r="I999" s="1297">
        <f>AM905</f>
        <v>59</v>
      </c>
      <c r="J999" s="1298"/>
      <c r="K999" s="51"/>
      <c r="L999" s="104"/>
      <c r="M999" s="208"/>
      <c r="N999" s="208"/>
      <c r="O999" s="208"/>
      <c r="P999" s="208"/>
      <c r="Q999" s="208"/>
      <c r="R999" s="208"/>
      <c r="S999" s="208"/>
      <c r="T999" s="208"/>
      <c r="U999" s="208"/>
      <c r="V999" s="104"/>
      <c r="W999" s="209" t="s">
        <v>1082</v>
      </c>
      <c r="X999" s="1299">
        <f>AT614</f>
        <v>30</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1155</v>
      </c>
      <c r="D1000" s="1245" t="s">
        <v>1625</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6" t="str">
        <f>IF(X1003&gt;0,"Yes","No")</f>
        <v>Yes</v>
      </c>
      <c r="AB1000" s="1277"/>
      <c r="AC1000" s="124"/>
      <c r="AD1000" s="1267">
        <f>IF((X1003=0)," ",(2*AO907)*AD953)</f>
        <v>19956414.239999998</v>
      </c>
      <c r="AE1000" s="1268"/>
      <c r="AF1000" s="1268"/>
      <c r="AG1000" s="1268"/>
      <c r="AH1000" s="1268"/>
      <c r="AI1000" s="1268"/>
      <c r="AJ1000" s="1268"/>
      <c r="AK1000" s="1269"/>
      <c r="AL1000" s="105"/>
    </row>
    <row r="1001" spans="1:38" s="743" customFormat="1" ht="12.75" customHeight="1">
      <c r="A1001" s="51"/>
      <c r="B1001" s="113"/>
      <c r="C1001" s="726"/>
      <c r="D1001" s="1242" t="s">
        <v>1624</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1081</v>
      </c>
      <c r="E1003" s="208"/>
      <c r="F1003" s="208"/>
      <c r="G1003" s="208"/>
      <c r="H1003" s="208"/>
      <c r="I1003" s="1297">
        <f>AM905</f>
        <v>59</v>
      </c>
      <c r="J1003" s="1298"/>
      <c r="K1003" s="51"/>
      <c r="L1003" s="208"/>
      <c r="M1003" s="208"/>
      <c r="N1003" s="208"/>
      <c r="O1003" s="208"/>
      <c r="P1003" s="208"/>
      <c r="Q1003" s="208"/>
      <c r="R1003" s="208"/>
      <c r="S1003" s="208"/>
      <c r="T1003" s="208"/>
      <c r="U1003" s="208"/>
      <c r="V1003" s="208"/>
      <c r="W1003" s="209" t="s">
        <v>1083</v>
      </c>
      <c r="X1003" s="1299">
        <f>AX614</f>
        <v>29</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6" t="s">
        <v>560</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57862793.239999995</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45"/>
      <c r="E1009" s="1545"/>
      <c r="F1009" s="1545"/>
      <c r="G1009" s="1545"/>
      <c r="H1009" s="1545"/>
      <c r="I1009" s="1545"/>
      <c r="J1009" s="1545"/>
      <c r="K1009" s="1545"/>
      <c r="L1009" s="1545"/>
      <c r="M1009" s="1545"/>
      <c r="N1009" s="1545"/>
      <c r="O1009" s="1545"/>
      <c r="P1009" s="1545"/>
      <c r="Q1009" s="1545"/>
      <c r="R1009" s="1545"/>
      <c r="S1009" s="1545"/>
      <c r="T1009" s="1545"/>
      <c r="U1009" s="1545"/>
      <c r="V1009" s="1545"/>
      <c r="W1009" s="1545"/>
      <c r="X1009" s="1545"/>
      <c r="Y1009" s="1545"/>
      <c r="Z1009" s="1545"/>
      <c r="AA1009" s="1545"/>
      <c r="AB1009" s="1545"/>
      <c r="AC1009" s="1545"/>
      <c r="AD1009" s="1545"/>
      <c r="AE1009" s="1545"/>
      <c r="AF1009" s="1545"/>
      <c r="AG1009" s="1545"/>
      <c r="AH1009" s="1545"/>
      <c r="AI1009" s="1545"/>
      <c r="AJ1009" s="1545"/>
      <c r="AK1009" s="1545"/>
      <c r="AL1009" s="105"/>
    </row>
    <row r="1010" spans="1:38" ht="12.75" customHeight="1">
      <c r="A1010" s="51"/>
      <c r="B1010" s="115"/>
      <c r="C1010" s="348"/>
      <c r="D1010" s="1545"/>
      <c r="E1010" s="1545"/>
      <c r="F1010" s="1545"/>
      <c r="G1010" s="1545"/>
      <c r="H1010" s="1545"/>
      <c r="I1010" s="1545"/>
      <c r="J1010" s="1545"/>
      <c r="K1010" s="1545"/>
      <c r="L1010" s="1545"/>
      <c r="M1010" s="1545"/>
      <c r="N1010" s="1545"/>
      <c r="O1010" s="1545"/>
      <c r="P1010" s="1545"/>
      <c r="Q1010" s="1545"/>
      <c r="R1010" s="1545"/>
      <c r="S1010" s="1545"/>
      <c r="T1010" s="1545"/>
      <c r="U1010" s="1545"/>
      <c r="V1010" s="1545"/>
      <c r="W1010" s="1545"/>
      <c r="X1010" s="1545"/>
      <c r="Y1010" s="1545"/>
      <c r="Z1010" s="1545"/>
      <c r="AA1010" s="1545"/>
      <c r="AB1010" s="1545"/>
      <c r="AC1010" s="1545"/>
      <c r="AD1010" s="1545"/>
      <c r="AE1010" s="1545"/>
      <c r="AF1010" s="1545"/>
      <c r="AG1010" s="1545"/>
      <c r="AH1010" s="1545"/>
      <c r="AI1010" s="1545"/>
      <c r="AJ1010" s="1545"/>
      <c r="AK1010" s="1545"/>
      <c r="AL1010" s="105"/>
    </row>
    <row r="1011" spans="1:38" ht="12.75" customHeight="1">
      <c r="A1011" s="51"/>
      <c r="B1011" s="115"/>
      <c r="C1011" s="348"/>
      <c r="D1011" s="1545"/>
      <c r="E1011" s="1545"/>
      <c r="F1011" s="1545"/>
      <c r="G1011" s="1545"/>
      <c r="H1011" s="1545"/>
      <c r="I1011" s="1545"/>
      <c r="J1011" s="1545"/>
      <c r="K1011" s="1545"/>
      <c r="L1011" s="1545"/>
      <c r="M1011" s="1545"/>
      <c r="N1011" s="1545"/>
      <c r="O1011" s="1545"/>
      <c r="P1011" s="1545"/>
      <c r="Q1011" s="1545"/>
      <c r="R1011" s="1545"/>
      <c r="S1011" s="1545"/>
      <c r="T1011" s="1545"/>
      <c r="U1011" s="1545"/>
      <c r="V1011" s="1545"/>
      <c r="W1011" s="1545"/>
      <c r="X1011" s="1545"/>
      <c r="Y1011" s="1545"/>
      <c r="Z1011" s="1545"/>
      <c r="AA1011" s="1545"/>
      <c r="AB1011" s="1545"/>
      <c r="AC1011" s="1545"/>
      <c r="AD1011" s="1545"/>
      <c r="AE1011" s="1545"/>
      <c r="AF1011" s="1545"/>
      <c r="AG1011" s="1545"/>
      <c r="AH1011" s="1545"/>
      <c r="AI1011" s="1545"/>
      <c r="AJ1011" s="1545"/>
      <c r="AK1011" s="1545"/>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61" t="s">
        <v>876</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1605</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8" manualBreakCount="18">
    <brk id="52" max="37" man="1"/>
    <brk id="168" max="16383" man="1"/>
    <brk id="216" max="37" man="1"/>
    <brk id="267" max="37" man="1"/>
    <brk id="276" max="16383" man="1"/>
    <brk id="345" max="16383" man="1"/>
    <brk id="444" max="37" man="1"/>
    <brk id="465" max="16383" man="1"/>
    <brk id="495" max="16383" man="1"/>
    <brk id="536" max="37" man="1"/>
    <brk id="583" max="37" man="1"/>
    <brk id="607" max="16383" man="1"/>
    <brk id="657"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B36" zoomScaleNormal="100" zoomScaleSheetLayoutView="100" workbookViewId="0">
      <selection activeCell="G115" sqref="G11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9" t="s">
        <v>672</v>
      </c>
      <c r="G1" s="1590"/>
      <c r="H1" s="1590"/>
      <c r="I1" s="1590"/>
      <c r="J1" s="1590"/>
      <c r="K1" s="1590"/>
      <c r="L1" s="1590"/>
      <c r="M1" s="1590"/>
      <c r="N1" s="1590"/>
      <c r="O1" s="1590"/>
      <c r="P1" s="1590"/>
      <c r="Q1" s="1590"/>
      <c r="R1" s="1591"/>
      <c r="S1" s="172"/>
      <c r="T1" s="171"/>
      <c r="U1" s="173"/>
    </row>
    <row r="2" spans="1:21" s="216" customFormat="1" ht="71.25" customHeight="1">
      <c r="A2" s="215"/>
      <c r="B2" s="216" t="s">
        <v>26</v>
      </c>
      <c r="C2" s="216" t="s">
        <v>406</v>
      </c>
      <c r="D2" s="216" t="s">
        <v>405</v>
      </c>
      <c r="E2" s="216" t="s">
        <v>27</v>
      </c>
      <c r="F2" s="217" t="str">
        <f>Application!B618&amp;Application!C618</f>
        <v>1)CCRC Perm Loan</v>
      </c>
      <c r="G2" s="217" t="str">
        <f>Application!B619&amp;Application!C619</f>
        <v>2)MHP Loan</v>
      </c>
      <c r="H2" s="217" t="str">
        <f>Application!B620&amp;Application!C620</f>
        <v>3)Vacaville Acquisition Loan</v>
      </c>
      <c r="I2" s="217" t="str">
        <f>Application!B621&amp;Application!C621</f>
        <v>4)Vacaville Loan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1320000</v>
      </c>
      <c r="C4" s="225">
        <v>1320000</v>
      </c>
      <c r="D4" s="225"/>
      <c r="E4" s="225">
        <f>B4-SUM(F4:Q4)</f>
        <v>0</v>
      </c>
      <c r="F4" s="225"/>
      <c r="G4" s="225"/>
      <c r="H4" s="225">
        <f>Application!AG620</f>
        <v>1320000</v>
      </c>
      <c r="I4" s="225"/>
      <c r="J4" s="225"/>
      <c r="K4" s="225"/>
      <c r="L4" s="225"/>
      <c r="M4" s="225"/>
      <c r="N4" s="225"/>
      <c r="O4" s="225"/>
      <c r="P4" s="225"/>
      <c r="Q4" s="225"/>
      <c r="R4" s="916">
        <f>SUM(E4:Q4)</f>
        <v>1320000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1320000</v>
      </c>
      <c r="C8" s="224">
        <f t="shared" ref="C8:Q8" si="1">SUM(C4:C7)</f>
        <v>1320000</v>
      </c>
      <c r="D8" s="224">
        <f t="shared" si="1"/>
        <v>0</v>
      </c>
      <c r="E8" s="224">
        <f t="shared" si="1"/>
        <v>0</v>
      </c>
      <c r="F8" s="224">
        <f t="shared" si="1"/>
        <v>0</v>
      </c>
      <c r="G8" s="224">
        <f t="shared" si="1"/>
        <v>0</v>
      </c>
      <c r="H8" s="224">
        <f t="shared" si="1"/>
        <v>1320000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1320000</v>
      </c>
      <c r="S8" s="226"/>
      <c r="T8" s="226"/>
      <c r="U8" s="221"/>
    </row>
    <row r="9" spans="1:21" s="222" customFormat="1">
      <c r="A9" s="223" t="s">
        <v>645</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169636</v>
      </c>
      <c r="C10" s="225">
        <v>169636</v>
      </c>
      <c r="D10" s="225"/>
      <c r="E10" s="225">
        <f t="shared" si="0"/>
        <v>169636</v>
      </c>
      <c r="F10" s="225"/>
      <c r="G10" s="225"/>
      <c r="H10" s="225"/>
      <c r="I10" s="225"/>
      <c r="J10" s="225"/>
      <c r="K10" s="225"/>
      <c r="L10" s="225"/>
      <c r="M10" s="225"/>
      <c r="N10" s="225"/>
      <c r="O10" s="225"/>
      <c r="P10" s="225"/>
      <c r="Q10" s="225"/>
      <c r="R10" s="916">
        <f>SUM(E10:Q10)</f>
        <v>169636</v>
      </c>
      <c r="S10" s="225">
        <f>C10</f>
        <v>169636</v>
      </c>
      <c r="T10" s="225"/>
      <c r="U10" s="221"/>
    </row>
    <row r="11" spans="1:21" s="222" customFormat="1">
      <c r="A11" s="227" t="s">
        <v>647</v>
      </c>
      <c r="B11" s="224">
        <f>SUM(C11:D11)</f>
        <v>169636</v>
      </c>
      <c r="C11" s="224">
        <f t="shared" ref="C11:Q11" si="2">SUM(C9:C10)</f>
        <v>169636</v>
      </c>
      <c r="D11" s="224">
        <f t="shared" si="2"/>
        <v>0</v>
      </c>
      <c r="E11" s="224">
        <f t="shared" si="2"/>
        <v>169636</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169636</v>
      </c>
      <c r="S11" s="226"/>
      <c r="T11" s="228">
        <f>SUM(T9:T10)</f>
        <v>0</v>
      </c>
      <c r="U11" s="221"/>
    </row>
    <row r="12" spans="1:21" s="222" customFormat="1">
      <c r="A12" s="227" t="s">
        <v>91</v>
      </c>
      <c r="B12" s="224">
        <f t="shared" ref="B12:Q12" si="3">SUM(B8+B11)</f>
        <v>1489636</v>
      </c>
      <c r="C12" s="224">
        <f t="shared" si="3"/>
        <v>1489636</v>
      </c>
      <c r="D12" s="224">
        <f t="shared" si="3"/>
        <v>0</v>
      </c>
      <c r="E12" s="224">
        <f t="shared" si="3"/>
        <v>169636</v>
      </c>
      <c r="F12" s="224">
        <f t="shared" si="3"/>
        <v>0</v>
      </c>
      <c r="G12" s="224">
        <f t="shared" si="3"/>
        <v>0</v>
      </c>
      <c r="H12" s="224">
        <f t="shared" si="3"/>
        <v>1320000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1489636</v>
      </c>
      <c r="S12" s="226"/>
      <c r="T12" s="226"/>
      <c r="U12" s="221"/>
    </row>
    <row r="13" spans="1:21" s="222" customFormat="1">
      <c r="A13" s="466" t="s">
        <v>1001</v>
      </c>
      <c r="B13" s="224">
        <f>SUM(C13+D13)</f>
        <v>0</v>
      </c>
      <c r="C13" s="225"/>
      <c r="D13" s="225"/>
      <c r="E13" s="225">
        <f t="shared" ref="E13:E15" si="4">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1341243</v>
      </c>
      <c r="C28" s="225">
        <v>1341243</v>
      </c>
      <c r="D28" s="225"/>
      <c r="E28" s="225">
        <f t="shared" ref="E28:E35" si="9">B28-SUM(F28:Q28)</f>
        <v>0</v>
      </c>
      <c r="F28" s="225">
        <f>C28</f>
        <v>1341243</v>
      </c>
      <c r="G28" s="225"/>
      <c r="H28" s="225"/>
      <c r="I28" s="225"/>
      <c r="J28" s="225"/>
      <c r="K28" s="225"/>
      <c r="L28" s="225"/>
      <c r="M28" s="225"/>
      <c r="N28" s="225"/>
      <c r="O28" s="225"/>
      <c r="P28" s="225"/>
      <c r="Q28" s="225"/>
      <c r="R28" s="916">
        <f t="shared" ref="R28:R35" si="10">SUM(E28:Q28)</f>
        <v>1341243</v>
      </c>
      <c r="S28" s="225">
        <f>B28</f>
        <v>1341243</v>
      </c>
      <c r="T28" s="225"/>
      <c r="U28" s="221"/>
    </row>
    <row r="29" spans="1:21" s="222" customFormat="1">
      <c r="A29" s="223" t="s">
        <v>650</v>
      </c>
      <c r="B29" s="224">
        <f t="shared" si="8"/>
        <v>13217346</v>
      </c>
      <c r="C29" s="225">
        <v>13217346</v>
      </c>
      <c r="D29" s="225"/>
      <c r="E29" s="225">
        <f t="shared" si="9"/>
        <v>0</v>
      </c>
      <c r="F29" s="225">
        <f>B29-G29-H29-I29-J29</f>
        <v>1378152</v>
      </c>
      <c r="G29" s="225">
        <f>Application!AG619</f>
        <v>11339194</v>
      </c>
      <c r="H29" s="225"/>
      <c r="I29" s="225">
        <f>Application!AG621</f>
        <v>500000</v>
      </c>
      <c r="J29" s="225"/>
      <c r="K29" s="225"/>
      <c r="L29" s="225"/>
      <c r="M29" s="225"/>
      <c r="N29" s="225"/>
      <c r="O29" s="225"/>
      <c r="P29" s="225"/>
      <c r="Q29" s="225"/>
      <c r="R29" s="916">
        <f t="shared" si="10"/>
        <v>13217346</v>
      </c>
      <c r="S29" s="225">
        <f>B29</f>
        <v>13217346</v>
      </c>
      <c r="T29" s="225"/>
      <c r="U29" s="221"/>
    </row>
    <row r="30" spans="1:21" s="222" customFormat="1">
      <c r="A30" s="223" t="s">
        <v>651</v>
      </c>
      <c r="B30" s="224">
        <f t="shared" si="8"/>
        <v>873515</v>
      </c>
      <c r="C30" s="225">
        <v>873515</v>
      </c>
      <c r="D30" s="225"/>
      <c r="E30" s="225">
        <f t="shared" si="9"/>
        <v>0</v>
      </c>
      <c r="F30" s="225">
        <f>C30</f>
        <v>873515</v>
      </c>
      <c r="G30" s="225"/>
      <c r="H30" s="225"/>
      <c r="I30" s="225"/>
      <c r="J30" s="225"/>
      <c r="K30" s="225"/>
      <c r="L30" s="225"/>
      <c r="M30" s="225"/>
      <c r="N30" s="225"/>
      <c r="O30" s="225"/>
      <c r="P30" s="225"/>
      <c r="Q30" s="225"/>
      <c r="R30" s="916">
        <f t="shared" si="10"/>
        <v>873515</v>
      </c>
      <c r="S30" s="225">
        <f>B30</f>
        <v>873515</v>
      </c>
      <c r="T30" s="225"/>
      <c r="U30" s="221"/>
    </row>
    <row r="31" spans="1:21" s="222" customFormat="1">
      <c r="A31" s="223" t="s">
        <v>144</v>
      </c>
      <c r="B31" s="224">
        <f t="shared" si="8"/>
        <v>0</v>
      </c>
      <c r="C31" s="225">
        <v>0</v>
      </c>
      <c r="D31" s="225"/>
      <c r="E31" s="225">
        <f t="shared" si="9"/>
        <v>0</v>
      </c>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8"/>
        <v>800722</v>
      </c>
      <c r="C32" s="225">
        <v>800722</v>
      </c>
      <c r="D32" s="225"/>
      <c r="E32" s="225">
        <f t="shared" si="9"/>
        <v>0</v>
      </c>
      <c r="F32" s="225">
        <f>C32</f>
        <v>800722</v>
      </c>
      <c r="G32" s="225"/>
      <c r="H32" s="225"/>
      <c r="I32" s="225"/>
      <c r="J32" s="225"/>
      <c r="K32" s="225"/>
      <c r="L32" s="225"/>
      <c r="M32" s="225"/>
      <c r="N32" s="225"/>
      <c r="O32" s="225"/>
      <c r="P32" s="225"/>
      <c r="Q32" s="225"/>
      <c r="R32" s="916">
        <f t="shared" si="10"/>
        <v>800722</v>
      </c>
      <c r="S32" s="225">
        <f>B32</f>
        <v>800722</v>
      </c>
      <c r="T32" s="225"/>
      <c r="U32" s="221"/>
    </row>
    <row r="33" spans="1:21" s="222" customFormat="1">
      <c r="A33" s="223" t="s">
        <v>146</v>
      </c>
      <c r="B33" s="224">
        <f t="shared" si="8"/>
        <v>1725311</v>
      </c>
      <c r="C33" s="225">
        <v>1725311</v>
      </c>
      <c r="D33" s="225"/>
      <c r="E33" s="225">
        <f t="shared" si="9"/>
        <v>189943</v>
      </c>
      <c r="F33" s="225">
        <f>Application!AG618-'Sources and Uses Budget'!F28-'Sources and Uses Budget'!F29-'Sources and Uses Budget'!F30-'Sources and Uses Budget'!F31-'Sources and Uses Budget'!F32</f>
        <v>1535368</v>
      </c>
      <c r="G33" s="225"/>
      <c r="H33" s="225"/>
      <c r="I33" s="225"/>
      <c r="J33" s="225"/>
      <c r="K33" s="225"/>
      <c r="L33" s="225"/>
      <c r="M33" s="225"/>
      <c r="N33" s="225"/>
      <c r="O33" s="225"/>
      <c r="P33" s="225"/>
      <c r="Q33" s="225"/>
      <c r="R33" s="916">
        <f t="shared" si="10"/>
        <v>1725311</v>
      </c>
      <c r="S33" s="225">
        <f>B33</f>
        <v>1725311</v>
      </c>
      <c r="T33" s="225"/>
      <c r="U33" s="221"/>
    </row>
    <row r="34" spans="1:21" s="222" customFormat="1">
      <c r="A34" s="223" t="s">
        <v>147</v>
      </c>
      <c r="B34" s="224">
        <f t="shared" si="8"/>
        <v>225748</v>
      </c>
      <c r="C34" s="225">
        <f>123748+102000</f>
        <v>225748</v>
      </c>
      <c r="D34" s="225"/>
      <c r="E34" s="225">
        <f t="shared" si="9"/>
        <v>225748</v>
      </c>
      <c r="F34" s="225"/>
      <c r="G34" s="225"/>
      <c r="H34" s="225"/>
      <c r="I34" s="225"/>
      <c r="J34" s="225"/>
      <c r="K34" s="225"/>
      <c r="L34" s="225"/>
      <c r="M34" s="225"/>
      <c r="N34" s="225"/>
      <c r="O34" s="225"/>
      <c r="P34" s="225"/>
      <c r="Q34" s="225"/>
      <c r="R34" s="916">
        <f t="shared" si="10"/>
        <v>225748</v>
      </c>
      <c r="S34" s="225">
        <f>B34</f>
        <v>225748</v>
      </c>
      <c r="T34" s="225"/>
      <c r="U34" s="221"/>
    </row>
    <row r="35" spans="1:21" s="222" customFormat="1" ht="24">
      <c r="A35" s="955" t="s">
        <v>1766</v>
      </c>
      <c r="B35" s="224">
        <f t="shared" si="8"/>
        <v>624900</v>
      </c>
      <c r="C35" s="225">
        <f>375000+174900+75000</f>
        <v>624900</v>
      </c>
      <c r="D35" s="225"/>
      <c r="E35" s="225">
        <f t="shared" si="9"/>
        <v>624900</v>
      </c>
      <c r="F35" s="225"/>
      <c r="G35" s="225"/>
      <c r="H35" s="225"/>
      <c r="I35" s="225"/>
      <c r="J35" s="225"/>
      <c r="K35" s="225"/>
      <c r="L35" s="225"/>
      <c r="M35" s="225"/>
      <c r="N35" s="225"/>
      <c r="O35" s="225"/>
      <c r="P35" s="225"/>
      <c r="Q35" s="225"/>
      <c r="R35" s="916">
        <f t="shared" si="10"/>
        <v>624900</v>
      </c>
      <c r="S35" s="225">
        <f>174900+75000</f>
        <v>249900</v>
      </c>
      <c r="T35" s="225"/>
      <c r="U35" s="221"/>
    </row>
    <row r="36" spans="1:21" s="222" customFormat="1">
      <c r="A36" s="227" t="s">
        <v>150</v>
      </c>
      <c r="B36" s="224">
        <f t="shared" si="8"/>
        <v>18808785</v>
      </c>
      <c r="C36" s="224">
        <f>SUM(C28:C35)</f>
        <v>18808785</v>
      </c>
      <c r="D36" s="224">
        <f t="shared" ref="D36:Q36" si="11">SUM(D28:D35)</f>
        <v>0</v>
      </c>
      <c r="E36" s="224">
        <f t="shared" si="11"/>
        <v>1040591</v>
      </c>
      <c r="F36" s="224">
        <f t="shared" si="11"/>
        <v>5929000</v>
      </c>
      <c r="G36" s="224">
        <f t="shared" si="11"/>
        <v>11339194</v>
      </c>
      <c r="H36" s="224">
        <f t="shared" si="11"/>
        <v>0</v>
      </c>
      <c r="I36" s="224">
        <f t="shared" si="11"/>
        <v>500000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18808785</v>
      </c>
      <c r="S36" s="228">
        <f>SUM(S28:S35)</f>
        <v>18433785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735000</v>
      </c>
      <c r="C38" s="225">
        <v>735000</v>
      </c>
      <c r="D38" s="225"/>
      <c r="E38" s="225">
        <f t="shared" ref="E38:E39" si="12">B38-SUM(F38:Q38)</f>
        <v>735000</v>
      </c>
      <c r="F38" s="225"/>
      <c r="G38" s="225"/>
      <c r="H38" s="225"/>
      <c r="I38" s="225"/>
      <c r="J38" s="225"/>
      <c r="K38" s="225"/>
      <c r="L38" s="225"/>
      <c r="M38" s="225"/>
      <c r="N38" s="225"/>
      <c r="O38" s="225"/>
      <c r="P38" s="225"/>
      <c r="Q38" s="225"/>
      <c r="R38" s="916">
        <f>SUM(E38:Q38)</f>
        <v>735000</v>
      </c>
      <c r="S38" s="225">
        <f>B38</f>
        <v>735000</v>
      </c>
      <c r="T38" s="225"/>
      <c r="U38" s="221"/>
    </row>
    <row r="39" spans="1:21" s="222" customFormat="1">
      <c r="A39" s="223" t="s">
        <v>153</v>
      </c>
      <c r="B39" s="224">
        <f>SUM(C39+D39)</f>
        <v>0</v>
      </c>
      <c r="C39" s="225">
        <v>0</v>
      </c>
      <c r="D39" s="225"/>
      <c r="E39" s="225">
        <f t="shared" si="12"/>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735000</v>
      </c>
      <c r="C40" s="224">
        <f>SUM(C37:C39)</f>
        <v>735000</v>
      </c>
      <c r="D40" s="224">
        <f>SUM(D37:D39)</f>
        <v>0</v>
      </c>
      <c r="E40" s="224">
        <f t="shared" ref="E40:T40" si="13">SUM(E38:E39)</f>
        <v>735000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735000</v>
      </c>
      <c r="S40" s="228">
        <f t="shared" si="13"/>
        <v>735000</v>
      </c>
      <c r="T40" s="228">
        <f t="shared" si="13"/>
        <v>0</v>
      </c>
      <c r="U40" s="221"/>
    </row>
    <row r="41" spans="1:21" s="222" customFormat="1">
      <c r="A41" s="227" t="s">
        <v>155</v>
      </c>
      <c r="B41" s="224">
        <f>SUM(C41:D41)</f>
        <v>416202</v>
      </c>
      <c r="C41" s="225">
        <f>100000+50000+106000+33482+9640+77080+40000</f>
        <v>416202</v>
      </c>
      <c r="D41" s="225"/>
      <c r="E41" s="225">
        <f t="shared" ref="E41" si="14">B41-SUM(F41:Q41)</f>
        <v>416202</v>
      </c>
      <c r="F41" s="225"/>
      <c r="G41" s="225"/>
      <c r="H41" s="225"/>
      <c r="I41" s="225"/>
      <c r="J41" s="225"/>
      <c r="K41" s="225"/>
      <c r="L41" s="225"/>
      <c r="M41" s="225"/>
      <c r="N41" s="225"/>
      <c r="O41" s="225"/>
      <c r="P41" s="225"/>
      <c r="Q41" s="225"/>
      <c r="R41" s="916">
        <f>SUM(E41:Q41)</f>
        <v>416202</v>
      </c>
      <c r="S41" s="225">
        <f>B41</f>
        <v>416202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989909</v>
      </c>
      <c r="C43" s="225">
        <f>848616+141293</f>
        <v>989909</v>
      </c>
      <c r="D43" s="225"/>
      <c r="E43" s="225">
        <f t="shared" ref="E43:E52" si="16">B43-SUM(F43:Q43)</f>
        <v>989909</v>
      </c>
      <c r="F43" s="225"/>
      <c r="G43" s="225"/>
      <c r="H43" s="225"/>
      <c r="I43" s="225"/>
      <c r="J43" s="225"/>
      <c r="K43" s="225"/>
      <c r="L43" s="225"/>
      <c r="M43" s="225"/>
      <c r="N43" s="225"/>
      <c r="O43" s="225"/>
      <c r="P43" s="225"/>
      <c r="Q43" s="225"/>
      <c r="R43" s="916">
        <f t="shared" ref="R43:R52" si="17">SUM(E43:Q43)</f>
        <v>989909</v>
      </c>
      <c r="S43" s="225">
        <v>548552</v>
      </c>
      <c r="T43" s="225"/>
      <c r="U43" s="221"/>
    </row>
    <row r="44" spans="1:21" s="222" customFormat="1">
      <c r="A44" s="223" t="s">
        <v>158</v>
      </c>
      <c r="B44" s="224">
        <f t="shared" si="15"/>
        <v>121900</v>
      </c>
      <c r="C44" s="225">
        <v>121900</v>
      </c>
      <c r="D44" s="225"/>
      <c r="E44" s="225">
        <f t="shared" si="16"/>
        <v>121900</v>
      </c>
      <c r="F44" s="225"/>
      <c r="G44" s="225"/>
      <c r="H44" s="225"/>
      <c r="I44" s="225"/>
      <c r="J44" s="225"/>
      <c r="K44" s="225"/>
      <c r="L44" s="225"/>
      <c r="M44" s="225"/>
      <c r="N44" s="225"/>
      <c r="O44" s="225"/>
      <c r="P44" s="225"/>
      <c r="Q44" s="225"/>
      <c r="R44" s="916">
        <f t="shared" si="17"/>
        <v>121900</v>
      </c>
      <c r="S44" s="225">
        <v>16146</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249070</v>
      </c>
      <c r="C47" s="225">
        <f>425970-C44-55000</f>
        <v>249070</v>
      </c>
      <c r="D47" s="225"/>
      <c r="E47" s="225">
        <f t="shared" si="16"/>
        <v>249070</v>
      </c>
      <c r="F47" s="225"/>
      <c r="G47" s="225"/>
      <c r="H47" s="225"/>
      <c r="I47" s="225"/>
      <c r="J47" s="225"/>
      <c r="K47" s="225"/>
      <c r="L47" s="225"/>
      <c r="M47" s="225"/>
      <c r="N47" s="225"/>
      <c r="O47" s="225"/>
      <c r="P47" s="225"/>
      <c r="Q47" s="225"/>
      <c r="R47" s="916">
        <f t="shared" si="17"/>
        <v>249070</v>
      </c>
      <c r="S47" s="225">
        <f>5961</f>
        <v>5961</v>
      </c>
      <c r="T47" s="225"/>
      <c r="U47" s="221"/>
    </row>
    <row r="48" spans="1:21" s="222" customFormat="1">
      <c r="A48" s="223" t="s">
        <v>163</v>
      </c>
      <c r="B48" s="224">
        <f t="shared" si="15"/>
        <v>40000</v>
      </c>
      <c r="C48" s="225">
        <v>40000</v>
      </c>
      <c r="D48" s="225"/>
      <c r="E48" s="225">
        <f t="shared" si="16"/>
        <v>40000</v>
      </c>
      <c r="F48" s="225"/>
      <c r="G48" s="225"/>
      <c r="H48" s="225"/>
      <c r="I48" s="225"/>
      <c r="J48" s="225"/>
      <c r="K48" s="225"/>
      <c r="L48" s="225"/>
      <c r="M48" s="225"/>
      <c r="N48" s="225"/>
      <c r="O48" s="225"/>
      <c r="P48" s="225"/>
      <c r="Q48" s="225"/>
      <c r="R48" s="916">
        <f t="shared" si="17"/>
        <v>40000</v>
      </c>
      <c r="S48" s="225">
        <f>B48</f>
        <v>40000</v>
      </c>
      <c r="T48" s="225"/>
      <c r="U48" s="221"/>
    </row>
    <row r="49" spans="1:21" s="222" customFormat="1">
      <c r="A49" s="457" t="s">
        <v>161</v>
      </c>
      <c r="B49" s="224">
        <f t="shared" si="15"/>
        <v>7000</v>
      </c>
      <c r="C49" s="225">
        <v>7000</v>
      </c>
      <c r="D49" s="225"/>
      <c r="E49" s="225">
        <f t="shared" si="16"/>
        <v>7000</v>
      </c>
      <c r="F49" s="225"/>
      <c r="G49" s="225"/>
      <c r="H49" s="225"/>
      <c r="I49" s="225"/>
      <c r="J49" s="225"/>
      <c r="K49" s="225"/>
      <c r="L49" s="225"/>
      <c r="M49" s="225"/>
      <c r="N49" s="225"/>
      <c r="O49" s="225"/>
      <c r="P49" s="225"/>
      <c r="Q49" s="225"/>
      <c r="R49" s="916">
        <f t="shared" si="17"/>
        <v>7000</v>
      </c>
      <c r="S49" s="225">
        <f>B49</f>
        <v>7000</v>
      </c>
      <c r="T49" s="225"/>
      <c r="U49" s="221"/>
    </row>
    <row r="50" spans="1:21" s="222" customFormat="1">
      <c r="A50" s="223" t="s">
        <v>162</v>
      </c>
      <c r="B50" s="224">
        <f t="shared" si="15"/>
        <v>110000</v>
      </c>
      <c r="C50" s="225">
        <v>110000</v>
      </c>
      <c r="D50" s="225"/>
      <c r="E50" s="225">
        <f t="shared" si="16"/>
        <v>110000</v>
      </c>
      <c r="F50" s="225"/>
      <c r="G50" s="225"/>
      <c r="H50" s="225"/>
      <c r="I50" s="225"/>
      <c r="J50" s="225"/>
      <c r="K50" s="225"/>
      <c r="L50" s="225"/>
      <c r="M50" s="225"/>
      <c r="N50" s="225"/>
      <c r="O50" s="225"/>
      <c r="P50" s="225"/>
      <c r="Q50" s="225"/>
      <c r="R50" s="916">
        <f t="shared" si="17"/>
        <v>110000</v>
      </c>
      <c r="S50" s="225">
        <f>B50</f>
        <v>110000</v>
      </c>
      <c r="T50" s="225"/>
      <c r="U50" s="221"/>
    </row>
    <row r="51" spans="1:21" s="222" customFormat="1">
      <c r="A51" s="230" t="s">
        <v>37</v>
      </c>
      <c r="B51" s="224">
        <f t="shared" si="15"/>
        <v>0</v>
      </c>
      <c r="C51" s="225"/>
      <c r="D51" s="225"/>
      <c r="E51" s="225">
        <f t="shared" si="16"/>
        <v>0</v>
      </c>
      <c r="F51" s="225"/>
      <c r="G51" s="225"/>
      <c r="H51" s="225"/>
      <c r="I51" s="225"/>
      <c r="J51" s="225"/>
      <c r="K51" s="225"/>
      <c r="L51" s="225"/>
      <c r="M51" s="225"/>
      <c r="N51" s="225"/>
      <c r="O51" s="225"/>
      <c r="P51" s="225"/>
      <c r="Q51" s="225"/>
      <c r="R51" s="916">
        <f t="shared" si="17"/>
        <v>0</v>
      </c>
      <c r="S51" s="225"/>
      <c r="T51" s="225"/>
      <c r="U51" s="221"/>
    </row>
    <row r="52" spans="1:21" s="222" customFormat="1">
      <c r="A52" s="230" t="s">
        <v>37</v>
      </c>
      <c r="B52" s="224">
        <f t="shared" si="15"/>
        <v>0</v>
      </c>
      <c r="C52" s="225"/>
      <c r="D52" s="225"/>
      <c r="E52" s="225">
        <f t="shared" si="16"/>
        <v>0</v>
      </c>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1517879</v>
      </c>
      <c r="C53" s="228">
        <f t="shared" ref="C53:T53" si="18">SUM(C43:C52)</f>
        <v>1517879</v>
      </c>
      <c r="D53" s="228">
        <f t="shared" si="18"/>
        <v>0</v>
      </c>
      <c r="E53" s="228">
        <f t="shared" si="18"/>
        <v>1517879</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1517879</v>
      </c>
      <c r="S53" s="228">
        <f t="shared" si="18"/>
        <v>727659</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 t="shared" ref="E55:E61" si="20">B55-SUM(F55:Q55)</f>
        <v>0</v>
      </c>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10000</v>
      </c>
      <c r="C57" s="225">
        <v>10000</v>
      </c>
      <c r="D57" s="225"/>
      <c r="E57" s="225">
        <f t="shared" si="20"/>
        <v>10000</v>
      </c>
      <c r="F57" s="225"/>
      <c r="G57" s="225"/>
      <c r="H57" s="225"/>
      <c r="I57" s="225"/>
      <c r="J57" s="225"/>
      <c r="K57" s="225"/>
      <c r="L57" s="225"/>
      <c r="M57" s="225"/>
      <c r="N57" s="225"/>
      <c r="O57" s="225"/>
      <c r="P57" s="225"/>
      <c r="Q57" s="225"/>
      <c r="R57" s="916">
        <f t="shared" si="21"/>
        <v>10000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19"/>
        <v>0</v>
      </c>
      <c r="C60" s="225"/>
      <c r="D60" s="225"/>
      <c r="E60" s="225">
        <f t="shared" si="20"/>
        <v>0</v>
      </c>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10000</v>
      </c>
      <c r="C62" s="224">
        <f t="shared" ref="C62:Q62" si="22">SUM(C55:C61)</f>
        <v>10000</v>
      </c>
      <c r="D62" s="224">
        <f t="shared" si="22"/>
        <v>0</v>
      </c>
      <c r="E62" s="224">
        <f t="shared" si="22"/>
        <v>10000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10000</v>
      </c>
      <c r="S62" s="226"/>
      <c r="T62" s="226"/>
      <c r="U62" s="221"/>
    </row>
    <row r="63" spans="1:21" s="222" customFormat="1">
      <c r="A63" s="233" t="s">
        <v>321</v>
      </c>
      <c r="B63" s="224">
        <f>SUM(B8+B11+B13+B14+B15+B25+B26+B36+B40+B41+B53+B62)</f>
        <v>22977502</v>
      </c>
      <c r="C63" s="224">
        <f t="shared" ref="C63:Q63" si="23">SUM(C8+C11+C13+C14+C15+C25+C26+C36+C40+C41+C53+C62)</f>
        <v>22977502</v>
      </c>
      <c r="D63" s="224">
        <f t="shared" si="23"/>
        <v>0</v>
      </c>
      <c r="E63" s="224">
        <f t="shared" si="23"/>
        <v>3889308</v>
      </c>
      <c r="F63" s="224">
        <f t="shared" si="23"/>
        <v>5929000</v>
      </c>
      <c r="G63" s="224">
        <f t="shared" si="23"/>
        <v>11339194</v>
      </c>
      <c r="H63" s="224">
        <f t="shared" si="23"/>
        <v>1320000</v>
      </c>
      <c r="I63" s="224">
        <f t="shared" si="23"/>
        <v>500000</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22977502</v>
      </c>
      <c r="S63" s="224">
        <f>SUM(S10+S13+S14+S15+S25+S26+S36+S40+S41+S53)</f>
        <v>20482282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15000+55000</f>
        <v>70000</v>
      </c>
      <c r="D65" s="225"/>
      <c r="E65" s="225">
        <f t="shared" ref="E65:E66" si="24">B65-SUM(F65:Q65)</f>
        <v>70000</v>
      </c>
      <c r="F65" s="225"/>
      <c r="G65" s="225"/>
      <c r="H65" s="225"/>
      <c r="I65" s="225"/>
      <c r="J65" s="225"/>
      <c r="K65" s="225"/>
      <c r="L65" s="225"/>
      <c r="M65" s="225"/>
      <c r="N65" s="225"/>
      <c r="O65" s="225"/>
      <c r="P65" s="225"/>
      <c r="Q65" s="225"/>
      <c r="R65" s="916">
        <f>SUM(E65:Q65)</f>
        <v>70000</v>
      </c>
      <c r="S65" s="225">
        <v>7285</v>
      </c>
      <c r="T65" s="225"/>
      <c r="U65" s="221"/>
    </row>
    <row r="66" spans="1:21" s="222" customFormat="1" ht="24">
      <c r="A66" s="955" t="s">
        <v>1780</v>
      </c>
      <c r="B66" s="224">
        <f>SUM(C66+D66)</f>
        <v>60000</v>
      </c>
      <c r="C66" s="225">
        <f>5000+45000+10000</f>
        <v>60000</v>
      </c>
      <c r="D66" s="225"/>
      <c r="E66" s="225">
        <f t="shared" si="24"/>
        <v>60000</v>
      </c>
      <c r="F66" s="225"/>
      <c r="G66" s="225"/>
      <c r="H66" s="225"/>
      <c r="I66" s="225"/>
      <c r="J66" s="225"/>
      <c r="K66" s="225"/>
      <c r="L66" s="225"/>
      <c r="M66" s="225"/>
      <c r="N66" s="225"/>
      <c r="O66" s="225"/>
      <c r="P66" s="225"/>
      <c r="Q66" s="225"/>
      <c r="R66" s="916">
        <f>SUM(E66:Q66)</f>
        <v>60000</v>
      </c>
      <c r="S66" s="225">
        <v>45000</v>
      </c>
      <c r="T66" s="225"/>
      <c r="U66" s="221"/>
    </row>
    <row r="67" spans="1:21" s="222" customFormat="1">
      <c r="A67" s="227" t="s">
        <v>652</v>
      </c>
      <c r="B67" s="224">
        <f>SUM(C67:D67)</f>
        <v>130000</v>
      </c>
      <c r="C67" s="224">
        <f>SUM(C64:C66)</f>
        <v>130000</v>
      </c>
      <c r="D67" s="224">
        <f>SUM(D64:D66)</f>
        <v>0</v>
      </c>
      <c r="E67" s="224">
        <f t="shared" ref="E67:T67" si="25">SUM(E65:E66)</f>
        <v>130000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130000</v>
      </c>
      <c r="S67" s="228">
        <f>SUM(S65:S66)</f>
        <v>52285</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6">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6"/>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222411</v>
      </c>
      <c r="C72" s="225">
        <v>222411</v>
      </c>
      <c r="D72" s="225"/>
      <c r="E72" s="225">
        <f t="shared" si="26"/>
        <v>222411</v>
      </c>
      <c r="F72" s="225"/>
      <c r="G72" s="225"/>
      <c r="H72" s="225"/>
      <c r="I72" s="225"/>
      <c r="J72" s="225"/>
      <c r="K72" s="225"/>
      <c r="L72" s="225"/>
      <c r="M72" s="225"/>
      <c r="N72" s="225"/>
      <c r="O72" s="225"/>
      <c r="P72" s="225"/>
      <c r="Q72" s="225"/>
      <c r="R72" s="916">
        <f>SUM(E72:Q72)</f>
        <v>222411</v>
      </c>
      <c r="S72" s="226"/>
      <c r="T72" s="226"/>
      <c r="U72" s="221"/>
    </row>
    <row r="73" spans="1:21" s="222" customFormat="1">
      <c r="A73" s="955" t="s">
        <v>1770</v>
      </c>
      <c r="B73" s="224">
        <f>SUM(C73+D73)</f>
        <v>240927</v>
      </c>
      <c r="C73" s="225">
        <v>240927</v>
      </c>
      <c r="D73" s="225"/>
      <c r="E73" s="225">
        <f t="shared" si="26"/>
        <v>240927</v>
      </c>
      <c r="F73" s="225"/>
      <c r="G73" s="225"/>
      <c r="H73" s="225"/>
      <c r="I73" s="225"/>
      <c r="J73" s="225"/>
      <c r="K73" s="225"/>
      <c r="L73" s="225"/>
      <c r="M73" s="225"/>
      <c r="N73" s="225"/>
      <c r="O73" s="225"/>
      <c r="P73" s="225"/>
      <c r="Q73" s="225"/>
      <c r="R73" s="916">
        <f>SUM(E73:Q73)</f>
        <v>240927</v>
      </c>
      <c r="S73" s="226"/>
      <c r="T73" s="226"/>
      <c r="U73" s="221"/>
    </row>
    <row r="74" spans="1:21" s="222" customFormat="1">
      <c r="A74" s="227" t="s">
        <v>657</v>
      </c>
      <c r="B74" s="224">
        <f>SUM(C74:D74)</f>
        <v>463338</v>
      </c>
      <c r="C74" s="224">
        <f>SUM(C69:C73)</f>
        <v>463338</v>
      </c>
      <c r="D74" s="224">
        <f>SUM(D69:D73)</f>
        <v>0</v>
      </c>
      <c r="E74" s="224">
        <f t="shared" ref="E74:Q74" si="27">SUM(E69:E73)</f>
        <v>463338</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463338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948921</v>
      </c>
      <c r="C76" s="225">
        <v>948921</v>
      </c>
      <c r="D76" s="225"/>
      <c r="E76" s="225">
        <f t="shared" ref="E76:E77" si="28">B76-SUM(F76:Q76)</f>
        <v>948921</v>
      </c>
      <c r="F76" s="225"/>
      <c r="G76" s="225"/>
      <c r="H76" s="225"/>
      <c r="I76" s="225"/>
      <c r="J76" s="225"/>
      <c r="K76" s="225"/>
      <c r="L76" s="225"/>
      <c r="M76" s="225"/>
      <c r="N76" s="225"/>
      <c r="O76" s="225"/>
      <c r="P76" s="225"/>
      <c r="Q76" s="225"/>
      <c r="R76" s="916">
        <f>SUM(E76:Q76)</f>
        <v>948921</v>
      </c>
      <c r="S76" s="225">
        <f>B76</f>
        <v>948921</v>
      </c>
      <c r="T76" s="225"/>
      <c r="U76" s="221"/>
    </row>
    <row r="77" spans="1:21" s="222" customFormat="1">
      <c r="A77" s="457" t="s">
        <v>63</v>
      </c>
      <c r="B77" s="224">
        <f>SUM(C77:D77)</f>
        <v>323732</v>
      </c>
      <c r="C77" s="225">
        <v>323732</v>
      </c>
      <c r="D77" s="225"/>
      <c r="E77" s="225">
        <f t="shared" si="28"/>
        <v>323732</v>
      </c>
      <c r="F77" s="225"/>
      <c r="G77" s="225"/>
      <c r="H77" s="225"/>
      <c r="I77" s="225"/>
      <c r="J77" s="225"/>
      <c r="K77" s="225"/>
      <c r="L77" s="225"/>
      <c r="M77" s="225"/>
      <c r="N77" s="225"/>
      <c r="O77" s="225"/>
      <c r="P77" s="225"/>
      <c r="Q77" s="225"/>
      <c r="R77" s="916">
        <f>SUM(E77:Q77)</f>
        <v>323732</v>
      </c>
      <c r="S77" s="225">
        <f>B77</f>
        <v>323732</v>
      </c>
      <c r="T77" s="225"/>
      <c r="U77" s="221"/>
    </row>
    <row r="78" spans="1:21" s="222" customFormat="1">
      <c r="A78" s="227" t="s">
        <v>1468</v>
      </c>
      <c r="B78" s="224">
        <f>SUM(C78:D78)</f>
        <v>1272653</v>
      </c>
      <c r="C78" s="890">
        <f>SUM(C76:C77)</f>
        <v>1272653</v>
      </c>
      <c r="D78" s="890">
        <f t="shared" ref="D78:T78" si="29">SUM(D76:D77)</f>
        <v>0</v>
      </c>
      <c r="E78" s="890">
        <f t="shared" si="29"/>
        <v>1272653</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1272653</v>
      </c>
      <c r="S78" s="890">
        <f t="shared" si="29"/>
        <v>1272653</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0">SUM(C80+D80)</f>
        <v>38096</v>
      </c>
      <c r="C80" s="225">
        <v>38096</v>
      </c>
      <c r="D80" s="225"/>
      <c r="E80" s="225">
        <f t="shared" ref="E80:E94" si="31">B80-SUM(F80:Q80)</f>
        <v>38096</v>
      </c>
      <c r="F80" s="225"/>
      <c r="G80" s="225"/>
      <c r="H80" s="225"/>
      <c r="I80" s="225"/>
      <c r="J80" s="225"/>
      <c r="K80" s="225"/>
      <c r="L80" s="225"/>
      <c r="M80" s="225"/>
      <c r="N80" s="225"/>
      <c r="O80" s="225"/>
      <c r="P80" s="225"/>
      <c r="Q80" s="225"/>
      <c r="R80" s="916">
        <f t="shared" ref="R80:R94" si="32">SUM(E80:Q80)</f>
        <v>38096</v>
      </c>
      <c r="S80" s="226"/>
      <c r="T80" s="226"/>
      <c r="U80" s="221"/>
    </row>
    <row r="81" spans="1:21" s="222" customFormat="1">
      <c r="A81" s="223" t="s">
        <v>846</v>
      </c>
      <c r="B81" s="224">
        <f t="shared" si="30"/>
        <v>55000</v>
      </c>
      <c r="C81" s="225">
        <v>55000</v>
      </c>
      <c r="D81" s="225"/>
      <c r="E81" s="225">
        <f t="shared" si="31"/>
        <v>55000</v>
      </c>
      <c r="F81" s="225"/>
      <c r="G81" s="225"/>
      <c r="H81" s="225"/>
      <c r="I81" s="225"/>
      <c r="J81" s="225"/>
      <c r="K81" s="225"/>
      <c r="L81" s="225"/>
      <c r="M81" s="225"/>
      <c r="N81" s="225"/>
      <c r="O81" s="225"/>
      <c r="P81" s="225"/>
      <c r="Q81" s="225"/>
      <c r="R81" s="916">
        <f t="shared" si="32"/>
        <v>55000</v>
      </c>
      <c r="S81" s="225">
        <f>B81</f>
        <v>55000</v>
      </c>
      <c r="T81" s="225"/>
      <c r="U81" s="221"/>
    </row>
    <row r="82" spans="1:21" s="222" customFormat="1">
      <c r="A82" s="223" t="s">
        <v>847</v>
      </c>
      <c r="B82" s="224">
        <f t="shared" si="30"/>
        <v>1251740</v>
      </c>
      <c r="C82" s="225">
        <v>1251740</v>
      </c>
      <c r="D82" s="225"/>
      <c r="E82" s="225">
        <f t="shared" si="31"/>
        <v>1251740</v>
      </c>
      <c r="F82" s="225"/>
      <c r="G82" s="225"/>
      <c r="H82" s="225"/>
      <c r="I82" s="225"/>
      <c r="J82" s="225"/>
      <c r="K82" s="225"/>
      <c r="L82" s="225"/>
      <c r="M82" s="225"/>
      <c r="N82" s="225"/>
      <c r="O82" s="225"/>
      <c r="P82" s="225"/>
      <c r="Q82" s="225"/>
      <c r="R82" s="916">
        <f t="shared" si="32"/>
        <v>1251740</v>
      </c>
      <c r="S82" s="225">
        <f>B82</f>
        <v>1251740</v>
      </c>
      <c r="T82" s="225"/>
      <c r="U82" s="221"/>
    </row>
    <row r="83" spans="1:21" s="222" customFormat="1">
      <c r="A83" s="223" t="s">
        <v>848</v>
      </c>
      <c r="B83" s="224">
        <f t="shared" si="30"/>
        <v>301347</v>
      </c>
      <c r="C83" s="225">
        <v>301347</v>
      </c>
      <c r="D83" s="225"/>
      <c r="E83" s="225">
        <f t="shared" si="31"/>
        <v>301347</v>
      </c>
      <c r="F83" s="225"/>
      <c r="G83" s="225"/>
      <c r="H83" s="225"/>
      <c r="I83" s="225"/>
      <c r="J83" s="225"/>
      <c r="K83" s="225"/>
      <c r="L83" s="225"/>
      <c r="M83" s="225"/>
      <c r="N83" s="225"/>
      <c r="O83" s="225"/>
      <c r="P83" s="225"/>
      <c r="Q83" s="225"/>
      <c r="R83" s="916">
        <f t="shared" si="32"/>
        <v>301347</v>
      </c>
      <c r="S83" s="225">
        <f>B83</f>
        <v>301347</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c r="A85" s="223" t="s">
        <v>850</v>
      </c>
      <c r="B85" s="224">
        <f t="shared" si="30"/>
        <v>75000</v>
      </c>
      <c r="C85" s="225">
        <v>75000</v>
      </c>
      <c r="D85" s="225"/>
      <c r="E85" s="225">
        <f t="shared" si="31"/>
        <v>75000</v>
      </c>
      <c r="F85" s="225"/>
      <c r="G85" s="225"/>
      <c r="H85" s="225"/>
      <c r="I85" s="225"/>
      <c r="J85" s="225"/>
      <c r="K85" s="225"/>
      <c r="L85" s="225"/>
      <c r="M85" s="225"/>
      <c r="N85" s="225"/>
      <c r="O85" s="225"/>
      <c r="P85" s="225"/>
      <c r="Q85" s="225"/>
      <c r="R85" s="916">
        <f t="shared" si="32"/>
        <v>75000</v>
      </c>
      <c r="S85" s="226"/>
      <c r="T85" s="226"/>
      <c r="U85" s="221"/>
    </row>
    <row r="86" spans="1:21" s="222" customFormat="1">
      <c r="A86" s="223" t="s">
        <v>851</v>
      </c>
      <c r="B86" s="224">
        <f t="shared" si="30"/>
        <v>60000</v>
      </c>
      <c r="C86" s="225">
        <v>60000</v>
      </c>
      <c r="D86" s="225"/>
      <c r="E86" s="225">
        <f t="shared" si="31"/>
        <v>60000</v>
      </c>
      <c r="F86" s="225"/>
      <c r="G86" s="225"/>
      <c r="H86" s="225"/>
      <c r="I86" s="225"/>
      <c r="J86" s="225"/>
      <c r="K86" s="225"/>
      <c r="L86" s="225"/>
      <c r="M86" s="225"/>
      <c r="N86" s="225"/>
      <c r="O86" s="225"/>
      <c r="P86" s="225"/>
      <c r="Q86" s="225"/>
      <c r="R86" s="916">
        <f t="shared" si="32"/>
        <v>60000</v>
      </c>
      <c r="S86" s="225">
        <f>B86</f>
        <v>60000</v>
      </c>
      <c r="T86" s="225"/>
      <c r="U86" s="221"/>
    </row>
    <row r="87" spans="1:21" s="222" customFormat="1">
      <c r="A87" s="223" t="s">
        <v>852</v>
      </c>
      <c r="B87" s="224">
        <f t="shared" si="30"/>
        <v>25000</v>
      </c>
      <c r="C87" s="225">
        <v>25000</v>
      </c>
      <c r="D87" s="225"/>
      <c r="E87" s="225">
        <f t="shared" si="31"/>
        <v>25000</v>
      </c>
      <c r="F87" s="225"/>
      <c r="G87" s="225"/>
      <c r="H87" s="225"/>
      <c r="I87" s="225"/>
      <c r="J87" s="225"/>
      <c r="K87" s="225"/>
      <c r="L87" s="225"/>
      <c r="M87" s="225"/>
      <c r="N87" s="225"/>
      <c r="O87" s="225"/>
      <c r="P87" s="225"/>
      <c r="Q87" s="225"/>
      <c r="R87" s="916">
        <f t="shared" si="32"/>
        <v>25000</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c r="A89" s="889" t="s">
        <v>1470</v>
      </c>
      <c r="B89" s="224">
        <f t="shared" si="30"/>
        <v>10000</v>
      </c>
      <c r="C89" s="225">
        <v>10000</v>
      </c>
      <c r="D89" s="225"/>
      <c r="E89" s="225">
        <f t="shared" si="31"/>
        <v>10000</v>
      </c>
      <c r="F89" s="225"/>
      <c r="G89" s="225"/>
      <c r="H89" s="225"/>
      <c r="I89" s="225"/>
      <c r="J89" s="225"/>
      <c r="K89" s="225"/>
      <c r="L89" s="225"/>
      <c r="M89" s="225"/>
      <c r="N89" s="225"/>
      <c r="O89" s="225"/>
      <c r="P89" s="225"/>
      <c r="Q89" s="225"/>
      <c r="R89" s="916">
        <f t="shared" si="32"/>
        <v>10000</v>
      </c>
      <c r="S89" s="225">
        <f>B89</f>
        <v>10000</v>
      </c>
      <c r="T89" s="225"/>
      <c r="U89" s="221"/>
    </row>
    <row r="90" spans="1:21" s="222" customFormat="1">
      <c r="A90" s="955" t="s">
        <v>1767</v>
      </c>
      <c r="B90" s="224">
        <f t="shared" si="30"/>
        <v>35000</v>
      </c>
      <c r="C90" s="225">
        <v>35000</v>
      </c>
      <c r="D90" s="225"/>
      <c r="E90" s="225">
        <f t="shared" si="31"/>
        <v>35000</v>
      </c>
      <c r="F90" s="225"/>
      <c r="G90" s="225"/>
      <c r="H90" s="225"/>
      <c r="I90" s="225"/>
      <c r="J90" s="225"/>
      <c r="K90" s="225"/>
      <c r="L90" s="225"/>
      <c r="M90" s="225"/>
      <c r="N90" s="225"/>
      <c r="O90" s="225"/>
      <c r="P90" s="225"/>
      <c r="Q90" s="225"/>
      <c r="R90" s="916">
        <f t="shared" si="32"/>
        <v>35000</v>
      </c>
      <c r="S90" s="225">
        <f>B90</f>
        <v>35000</v>
      </c>
      <c r="T90" s="225"/>
      <c r="U90" s="221"/>
    </row>
    <row r="91" spans="1:21" s="222" customFormat="1">
      <c r="A91" s="955" t="s">
        <v>1768</v>
      </c>
      <c r="B91" s="224">
        <f t="shared" si="30"/>
        <v>40000</v>
      </c>
      <c r="C91" s="225">
        <v>40000</v>
      </c>
      <c r="D91" s="225"/>
      <c r="E91" s="225">
        <f t="shared" si="31"/>
        <v>40000</v>
      </c>
      <c r="F91" s="225"/>
      <c r="G91" s="225"/>
      <c r="H91" s="225"/>
      <c r="I91" s="225"/>
      <c r="J91" s="225"/>
      <c r="K91" s="225"/>
      <c r="L91" s="225"/>
      <c r="M91" s="225"/>
      <c r="N91" s="225"/>
      <c r="O91" s="225"/>
      <c r="P91" s="225"/>
      <c r="Q91" s="225"/>
      <c r="R91" s="916">
        <f t="shared" si="32"/>
        <v>40000</v>
      </c>
      <c r="S91" s="225">
        <f>B91</f>
        <v>40000</v>
      </c>
      <c r="T91" s="225"/>
      <c r="U91" s="221"/>
    </row>
    <row r="92" spans="1:21" s="222" customFormat="1">
      <c r="A92" s="955" t="s">
        <v>1778</v>
      </c>
      <c r="B92" s="224">
        <f t="shared" si="30"/>
        <v>69412</v>
      </c>
      <c r="C92" s="225">
        <v>69412</v>
      </c>
      <c r="D92" s="225"/>
      <c r="E92" s="225">
        <f t="shared" si="31"/>
        <v>69412</v>
      </c>
      <c r="F92" s="225"/>
      <c r="G92" s="225"/>
      <c r="H92" s="225"/>
      <c r="I92" s="225"/>
      <c r="J92" s="225"/>
      <c r="K92" s="225"/>
      <c r="L92" s="225"/>
      <c r="M92" s="225"/>
      <c r="N92" s="225"/>
      <c r="O92" s="225"/>
      <c r="P92" s="225"/>
      <c r="Q92" s="225"/>
      <c r="R92" s="916">
        <f t="shared" si="32"/>
        <v>69412</v>
      </c>
      <c r="S92" s="225">
        <f>B92</f>
        <v>69412</v>
      </c>
      <c r="T92" s="225"/>
      <c r="U92" s="221"/>
    </row>
    <row r="93" spans="1:21" s="222" customFormat="1">
      <c r="A93" s="230" t="s">
        <v>37</v>
      </c>
      <c r="B93" s="224">
        <f t="shared" si="30"/>
        <v>0</v>
      </c>
      <c r="C93" s="225"/>
      <c r="D93" s="225"/>
      <c r="E93" s="225">
        <f t="shared" si="31"/>
        <v>0</v>
      </c>
      <c r="F93" s="225"/>
      <c r="G93" s="225"/>
      <c r="H93" s="225"/>
      <c r="I93" s="225"/>
      <c r="J93" s="225"/>
      <c r="K93" s="225"/>
      <c r="L93" s="225"/>
      <c r="M93" s="225"/>
      <c r="N93" s="225"/>
      <c r="O93" s="225"/>
      <c r="P93" s="225"/>
      <c r="Q93" s="225"/>
      <c r="R93" s="916">
        <f t="shared" si="32"/>
        <v>0</v>
      </c>
      <c r="S93" s="225"/>
      <c r="T93" s="225"/>
      <c r="U93" s="221"/>
    </row>
    <row r="94" spans="1:21" s="222" customFormat="1">
      <c r="A94" s="230" t="s">
        <v>37</v>
      </c>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c r="A95" s="227" t="s">
        <v>853</v>
      </c>
      <c r="B95" s="224">
        <f>SUM(C95:D95)</f>
        <v>1960595</v>
      </c>
      <c r="C95" s="224">
        <f t="shared" ref="C95:Q95" si="33">SUM(C80:C94)</f>
        <v>1960595</v>
      </c>
      <c r="D95" s="224">
        <f t="shared" si="33"/>
        <v>0</v>
      </c>
      <c r="E95" s="224">
        <f t="shared" si="33"/>
        <v>1960595</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1960595</v>
      </c>
      <c r="S95" s="228">
        <f>SUM(S81:S84,S86:S94)</f>
        <v>1822499</v>
      </c>
      <c r="T95" s="224">
        <f>SUM(T81:T84,T86:T94)</f>
        <v>0</v>
      </c>
      <c r="U95" s="221"/>
    </row>
    <row r="96" spans="1:21" s="222" customFormat="1">
      <c r="A96" s="227" t="s">
        <v>854</v>
      </c>
      <c r="B96" s="224">
        <f>SUM(C96:D96)</f>
        <v>26804088</v>
      </c>
      <c r="C96" s="224">
        <f>SUM(C63+C67+C74+C78+C95)</f>
        <v>26804088</v>
      </c>
      <c r="D96" s="224">
        <f t="shared" ref="D96:R96" si="34">SUM(D63+D67+D74+D78+D95)</f>
        <v>0</v>
      </c>
      <c r="E96" s="224">
        <f t="shared" si="34"/>
        <v>7715894</v>
      </c>
      <c r="F96" s="224">
        <f t="shared" si="34"/>
        <v>5929000</v>
      </c>
      <c r="G96" s="224">
        <f t="shared" si="34"/>
        <v>11339194</v>
      </c>
      <c r="H96" s="224">
        <f t="shared" si="34"/>
        <v>1320000</v>
      </c>
      <c r="I96" s="224">
        <f t="shared" si="34"/>
        <v>500000</v>
      </c>
      <c r="J96" s="224">
        <f t="shared" si="34"/>
        <v>0</v>
      </c>
      <c r="K96" s="224">
        <f t="shared" si="34"/>
        <v>0</v>
      </c>
      <c r="L96" s="224">
        <f t="shared" si="34"/>
        <v>0</v>
      </c>
      <c r="M96" s="224">
        <f t="shared" si="34"/>
        <v>0</v>
      </c>
      <c r="N96" s="224">
        <f t="shared" si="34"/>
        <v>0</v>
      </c>
      <c r="O96" s="224">
        <f t="shared" si="34"/>
        <v>0</v>
      </c>
      <c r="P96" s="224">
        <f t="shared" si="34"/>
        <v>0</v>
      </c>
      <c r="Q96" s="224">
        <f t="shared" si="34"/>
        <v>0</v>
      </c>
      <c r="R96" s="224">
        <f t="shared" si="34"/>
        <v>26804088</v>
      </c>
      <c r="S96" s="224">
        <f>SUM(S63+S67+S78+S95)</f>
        <v>23629719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3190012</v>
      </c>
      <c r="C98" s="225">
        <v>3190012</v>
      </c>
      <c r="D98" s="225"/>
      <c r="E98" s="225">
        <f t="shared" ref="E98:E103" si="36">B98-SUM(F98:Q98)</f>
        <v>2375321</v>
      </c>
      <c r="F98" s="225"/>
      <c r="G98" s="225"/>
      <c r="H98" s="225"/>
      <c r="I98" s="225"/>
      <c r="J98" s="225">
        <f>Application!AG622</f>
        <v>814691</v>
      </c>
      <c r="K98" s="225"/>
      <c r="L98" s="225"/>
      <c r="M98" s="225"/>
      <c r="N98" s="225"/>
      <c r="O98" s="225"/>
      <c r="P98" s="225"/>
      <c r="Q98" s="225"/>
      <c r="R98" s="916">
        <f t="shared" ref="R98:R103" si="37">SUM(E98:Q98)</f>
        <v>3190012</v>
      </c>
      <c r="S98" s="225">
        <f>B98</f>
        <v>3190012</v>
      </c>
      <c r="T98" s="225"/>
      <c r="U98" s="221"/>
    </row>
    <row r="99" spans="1:21" s="222" customFormat="1">
      <c r="A99" s="223" t="s">
        <v>857</v>
      </c>
      <c r="B99" s="224">
        <f t="shared" si="35"/>
        <v>0</v>
      </c>
      <c r="C99" s="225"/>
      <c r="D99" s="225"/>
      <c r="E99" s="225">
        <f t="shared" si="36"/>
        <v>0</v>
      </c>
      <c r="F99" s="225"/>
      <c r="G99" s="225"/>
      <c r="H99" s="225"/>
      <c r="I99" s="225"/>
      <c r="J99" s="225"/>
      <c r="K99" s="225"/>
      <c r="L99" s="225"/>
      <c r="M99" s="225"/>
      <c r="N99" s="225"/>
      <c r="O99" s="225"/>
      <c r="P99" s="225"/>
      <c r="Q99" s="225"/>
      <c r="R99" s="916">
        <f t="shared" si="37"/>
        <v>0</v>
      </c>
      <c r="S99" s="225"/>
      <c r="T99" s="225"/>
      <c r="U99" s="221"/>
    </row>
    <row r="100" spans="1:21" s="222" customFormat="1">
      <c r="A100" s="223" t="s">
        <v>858</v>
      </c>
      <c r="B100" s="224">
        <f t="shared" si="35"/>
        <v>0</v>
      </c>
      <c r="C100" s="225"/>
      <c r="D100" s="225"/>
      <c r="E100" s="225">
        <f t="shared" si="36"/>
        <v>0</v>
      </c>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5"/>
        <v>0</v>
      </c>
      <c r="C101" s="225"/>
      <c r="D101" s="225"/>
      <c r="E101" s="225">
        <f t="shared" si="36"/>
        <v>0</v>
      </c>
      <c r="F101" s="225"/>
      <c r="G101" s="225"/>
      <c r="H101" s="225"/>
      <c r="I101" s="225"/>
      <c r="J101" s="225"/>
      <c r="K101" s="225"/>
      <c r="L101" s="225"/>
      <c r="M101" s="225"/>
      <c r="N101" s="225"/>
      <c r="O101" s="225"/>
      <c r="P101" s="225"/>
      <c r="Q101" s="225"/>
      <c r="R101" s="916">
        <f t="shared" si="37"/>
        <v>0</v>
      </c>
      <c r="S101" s="225"/>
      <c r="T101" s="225"/>
      <c r="U101" s="221"/>
    </row>
    <row r="102" spans="1:21" s="222" customFormat="1">
      <c r="A102" s="457" t="s">
        <v>1128</v>
      </c>
      <c r="B102" s="224">
        <f t="shared" si="35"/>
        <v>0</v>
      </c>
      <c r="C102" s="225"/>
      <c r="D102" s="225"/>
      <c r="E102" s="225">
        <f t="shared" si="36"/>
        <v>0</v>
      </c>
      <c r="F102" s="225"/>
      <c r="G102" s="225"/>
      <c r="H102" s="225"/>
      <c r="I102" s="225"/>
      <c r="J102" s="225"/>
      <c r="K102" s="225"/>
      <c r="L102" s="225"/>
      <c r="M102" s="225"/>
      <c r="N102" s="225"/>
      <c r="O102" s="225"/>
      <c r="P102" s="225"/>
      <c r="Q102" s="225"/>
      <c r="R102" s="916">
        <f t="shared" si="37"/>
        <v>0</v>
      </c>
      <c r="S102" s="225"/>
      <c r="T102" s="225"/>
      <c r="U102" s="221"/>
    </row>
    <row r="103" spans="1:21" s="222" customFormat="1">
      <c r="A103" s="230" t="s">
        <v>37</v>
      </c>
      <c r="B103" s="224">
        <f t="shared" si="35"/>
        <v>0</v>
      </c>
      <c r="C103" s="225"/>
      <c r="D103" s="225"/>
      <c r="E103" s="225">
        <f t="shared" si="36"/>
        <v>0</v>
      </c>
      <c r="F103" s="225"/>
      <c r="G103" s="225"/>
      <c r="H103" s="225"/>
      <c r="I103" s="225"/>
      <c r="J103" s="225"/>
      <c r="K103" s="225"/>
      <c r="L103" s="225"/>
      <c r="M103" s="225"/>
      <c r="N103" s="225"/>
      <c r="O103" s="225"/>
      <c r="P103" s="225"/>
      <c r="Q103" s="225"/>
      <c r="R103" s="916">
        <f t="shared" si="37"/>
        <v>0</v>
      </c>
      <c r="S103" s="225"/>
      <c r="T103" s="225"/>
      <c r="U103" s="221"/>
    </row>
    <row r="104" spans="1:21" s="222" customFormat="1">
      <c r="A104" s="227" t="s">
        <v>861</v>
      </c>
      <c r="B104" s="224">
        <f>SUM(C104:D104)</f>
        <v>3190012</v>
      </c>
      <c r="C104" s="224">
        <f t="shared" ref="C104:T104" si="38">SUM(C98:C103)</f>
        <v>3190012</v>
      </c>
      <c r="D104" s="224">
        <f t="shared" si="38"/>
        <v>0</v>
      </c>
      <c r="E104" s="224">
        <f t="shared" si="38"/>
        <v>2375321</v>
      </c>
      <c r="F104" s="224">
        <f t="shared" si="38"/>
        <v>0</v>
      </c>
      <c r="G104" s="224">
        <f t="shared" si="38"/>
        <v>0</v>
      </c>
      <c r="H104" s="224">
        <f t="shared" si="38"/>
        <v>0</v>
      </c>
      <c r="I104" s="224">
        <f t="shared" si="38"/>
        <v>0</v>
      </c>
      <c r="J104" s="224">
        <f t="shared" si="38"/>
        <v>814691</v>
      </c>
      <c r="K104" s="224">
        <f t="shared" si="38"/>
        <v>0</v>
      </c>
      <c r="L104" s="224">
        <f t="shared" si="38"/>
        <v>0</v>
      </c>
      <c r="M104" s="224">
        <f t="shared" si="38"/>
        <v>0</v>
      </c>
      <c r="N104" s="224">
        <f t="shared" si="38"/>
        <v>0</v>
      </c>
      <c r="O104" s="224">
        <f t="shared" si="38"/>
        <v>0</v>
      </c>
      <c r="P104" s="224">
        <f t="shared" si="38"/>
        <v>0</v>
      </c>
      <c r="Q104" s="224">
        <f t="shared" si="38"/>
        <v>0</v>
      </c>
      <c r="R104" s="558">
        <f>SUM(R98:R103)</f>
        <v>3190012</v>
      </c>
      <c r="S104" s="228">
        <f t="shared" si="38"/>
        <v>3190012</v>
      </c>
      <c r="T104" s="228">
        <f t="shared" si="38"/>
        <v>0</v>
      </c>
      <c r="U104" s="221"/>
    </row>
    <row r="105" spans="1:21" s="222" customFormat="1">
      <c r="A105" s="227" t="s">
        <v>862</v>
      </c>
      <c r="B105" s="228">
        <f>SUM(C105:D105)</f>
        <v>29994100</v>
      </c>
      <c r="C105" s="228">
        <f t="shared" ref="C105:R105" si="39">SUM(C96+C104)</f>
        <v>29994100</v>
      </c>
      <c r="D105" s="228">
        <f t="shared" si="39"/>
        <v>0</v>
      </c>
      <c r="E105" s="228">
        <f t="shared" si="39"/>
        <v>10091215</v>
      </c>
      <c r="F105" s="228">
        <f t="shared" si="39"/>
        <v>5929000</v>
      </c>
      <c r="G105" s="228">
        <f t="shared" si="39"/>
        <v>11339194</v>
      </c>
      <c r="H105" s="228">
        <f t="shared" si="39"/>
        <v>1320000</v>
      </c>
      <c r="I105" s="228">
        <f t="shared" si="39"/>
        <v>500000</v>
      </c>
      <c r="J105" s="228">
        <f t="shared" si="39"/>
        <v>814691</v>
      </c>
      <c r="K105" s="228">
        <f t="shared" si="39"/>
        <v>0</v>
      </c>
      <c r="L105" s="228">
        <f t="shared" si="39"/>
        <v>0</v>
      </c>
      <c r="M105" s="228">
        <f t="shared" si="39"/>
        <v>0</v>
      </c>
      <c r="N105" s="228">
        <f t="shared" si="39"/>
        <v>0</v>
      </c>
      <c r="O105" s="228">
        <f t="shared" si="39"/>
        <v>0</v>
      </c>
      <c r="P105" s="228">
        <f t="shared" si="39"/>
        <v>0</v>
      </c>
      <c r="Q105" s="228">
        <f t="shared" si="39"/>
        <v>0</v>
      </c>
      <c r="R105" s="558">
        <f t="shared" si="39"/>
        <v>29994100</v>
      </c>
      <c r="S105" s="228">
        <f>S96+S104</f>
        <v>26819731</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26819731</v>
      </c>
      <c r="T107" s="242">
        <f>T105+T106</f>
        <v>0</v>
      </c>
    </row>
    <row r="108" spans="1:21" s="310" customFormat="1">
      <c r="A108" s="241" t="s">
        <v>974</v>
      </c>
      <c r="B108" s="236"/>
      <c r="C108" s="236"/>
      <c r="D108" s="236"/>
      <c r="E108" s="481">
        <f>Application!AG631</f>
        <v>10091215</v>
      </c>
      <c r="F108" s="481">
        <f>Application!AG618</f>
        <v>5929000</v>
      </c>
      <c r="G108" s="481">
        <f>Application!AG619</f>
        <v>11339194</v>
      </c>
      <c r="H108" s="481">
        <f>Application!AG620</f>
        <v>1320000</v>
      </c>
      <c r="I108" s="481">
        <f>Application!AG621</f>
        <v>500000</v>
      </c>
      <c r="J108" s="481">
        <f>Application!AG622</f>
        <v>814691</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5" t="s">
        <v>1134</v>
      </c>
      <c r="E122" s="1595"/>
      <c r="F122" s="159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1136</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1137</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2"/>
      <c r="E128" s="1592"/>
      <c r="F128" s="1592"/>
      <c r="G128" s="1592"/>
      <c r="H128" s="1592"/>
      <c r="I128" s="534"/>
      <c r="J128" s="1593"/>
      <c r="K128" s="1593"/>
      <c r="L128" s="534"/>
      <c r="M128" s="534"/>
      <c r="N128" s="534"/>
      <c r="O128" s="534"/>
      <c r="P128" s="534"/>
      <c r="Q128" s="534"/>
      <c r="R128" s="534"/>
      <c r="S128" s="534"/>
      <c r="T128" s="535"/>
      <c r="U128" s="537"/>
    </row>
    <row r="129" spans="1:21" ht="12.75">
      <c r="A129" s="534" t="s">
        <v>319</v>
      </c>
      <c r="B129" s="544"/>
      <c r="C129" s="534"/>
      <c r="D129" s="1594" t="s">
        <v>1141</v>
      </c>
      <c r="E129" s="1594"/>
      <c r="F129" s="1594"/>
      <c r="G129" s="1594"/>
      <c r="H129" s="159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1"/>
      <c r="E131" s="1571"/>
      <c r="F131" s="1571"/>
      <c r="G131" s="1571"/>
      <c r="H131" s="1571"/>
      <c r="I131" s="534"/>
      <c r="J131" s="1571"/>
      <c r="K131" s="1571"/>
      <c r="L131" s="1571"/>
      <c r="M131" s="1571"/>
      <c r="N131" s="534"/>
      <c r="O131" s="534"/>
      <c r="P131" s="534"/>
      <c r="Q131" s="534"/>
      <c r="R131" s="534"/>
      <c r="S131" s="534"/>
      <c r="T131" s="535"/>
      <c r="U131" s="537"/>
    </row>
    <row r="132" spans="1:21" ht="12" customHeight="1">
      <c r="A132" s="548"/>
      <c r="B132" s="534"/>
      <c r="C132" s="534"/>
      <c r="D132" s="1600" t="s">
        <v>1144</v>
      </c>
      <c r="E132" s="1600"/>
      <c r="F132" s="1600"/>
      <c r="G132" s="1600"/>
      <c r="H132" s="1600"/>
      <c r="I132" s="534"/>
      <c r="J132" s="1600" t="s">
        <v>1145</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3"/>
      <c r="F138" s="1593"/>
      <c r="G138" s="534"/>
      <c r="H138" s="534"/>
      <c r="I138" s="534"/>
      <c r="J138" s="534"/>
      <c r="K138" s="534"/>
      <c r="L138" s="534"/>
      <c r="M138" s="534"/>
      <c r="N138" s="534"/>
      <c r="O138" s="534"/>
      <c r="P138" s="534"/>
      <c r="Q138" s="534"/>
      <c r="R138" s="534"/>
      <c r="S138" s="534"/>
      <c r="T138" s="541"/>
      <c r="U138" s="542"/>
    </row>
    <row r="139" spans="1:21" ht="12.75">
      <c r="A139" s="1596" t="s">
        <v>1148</v>
      </c>
      <c r="B139" s="1597"/>
      <c r="C139" s="1597"/>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9" t="s">
        <v>1495</v>
      </c>
      <c r="B1" s="1610"/>
      <c r="C1" s="1610"/>
      <c r="D1" s="1610"/>
      <c r="E1" s="1610"/>
      <c r="F1" s="1610"/>
      <c r="G1" s="1610"/>
      <c r="H1" s="1610"/>
      <c r="I1" s="1610"/>
      <c r="J1" s="1611"/>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1320000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1320000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169636</v>
      </c>
      <c r="C10" s="590"/>
      <c r="D10" s="590"/>
      <c r="E10" s="589">
        <f>'Sources and Uses Budget'!S10</f>
        <v>169636</v>
      </c>
      <c r="F10" s="590"/>
      <c r="G10" s="590"/>
      <c r="H10" s="589">
        <f>'Sources and Uses Budget'!T10</f>
        <v>0</v>
      </c>
      <c r="I10" s="590"/>
      <c r="J10" s="590"/>
      <c r="K10" s="587"/>
    </row>
    <row r="11" spans="1:11" s="588" customFormat="1">
      <c r="A11" s="593" t="s">
        <v>647</v>
      </c>
      <c r="B11" s="589">
        <f>'Sources and Uses Budget'!C11</f>
        <v>169636</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1489636</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1341243</v>
      </c>
      <c r="C28" s="590"/>
      <c r="D28" s="590"/>
      <c r="E28" s="589">
        <f>'Sources and Uses Budget'!S28</f>
        <v>1341243</v>
      </c>
      <c r="F28" s="590"/>
      <c r="G28" s="590"/>
      <c r="H28" s="589">
        <f>'Sources and Uses Budget'!T28</f>
        <v>0</v>
      </c>
      <c r="I28" s="590"/>
      <c r="J28" s="590"/>
      <c r="K28" s="587"/>
    </row>
    <row r="29" spans="1:11" s="588" customFormat="1">
      <c r="A29" s="223" t="s">
        <v>650</v>
      </c>
      <c r="B29" s="589">
        <f>'Sources and Uses Budget'!C29</f>
        <v>13217346</v>
      </c>
      <c r="C29" s="590"/>
      <c r="D29" s="590"/>
      <c r="E29" s="589">
        <f>'Sources and Uses Budget'!S29</f>
        <v>13217346</v>
      </c>
      <c r="F29" s="590"/>
      <c r="G29" s="590"/>
      <c r="H29" s="589">
        <f>'Sources and Uses Budget'!T29</f>
        <v>0</v>
      </c>
      <c r="I29" s="590"/>
      <c r="J29" s="590"/>
      <c r="K29" s="587"/>
    </row>
    <row r="30" spans="1:11" s="588" customFormat="1">
      <c r="A30" s="223" t="s">
        <v>651</v>
      </c>
      <c r="B30" s="589">
        <f>'Sources and Uses Budget'!C30</f>
        <v>873515</v>
      </c>
      <c r="C30" s="590"/>
      <c r="D30" s="590"/>
      <c r="E30" s="589">
        <f>'Sources and Uses Budget'!S30</f>
        <v>873515</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800722</v>
      </c>
      <c r="C32" s="590"/>
      <c r="D32" s="590"/>
      <c r="E32" s="589">
        <f>'Sources and Uses Budget'!S32</f>
        <v>800722</v>
      </c>
      <c r="F32" s="590"/>
      <c r="G32" s="590"/>
      <c r="H32" s="589">
        <f>'Sources and Uses Budget'!T32</f>
        <v>0</v>
      </c>
      <c r="I32" s="590"/>
      <c r="J32" s="590"/>
      <c r="K32" s="587"/>
    </row>
    <row r="33" spans="1:11" s="588" customFormat="1">
      <c r="A33" s="223" t="s">
        <v>146</v>
      </c>
      <c r="B33" s="589">
        <f>'Sources and Uses Budget'!C33</f>
        <v>1725311</v>
      </c>
      <c r="C33" s="590"/>
      <c r="D33" s="590"/>
      <c r="E33" s="589">
        <f>'Sources and Uses Budget'!S33</f>
        <v>1725311</v>
      </c>
      <c r="F33" s="590"/>
      <c r="G33" s="590"/>
      <c r="H33" s="589">
        <f>'Sources and Uses Budget'!T33</f>
        <v>0</v>
      </c>
      <c r="I33" s="590"/>
      <c r="J33" s="590"/>
      <c r="K33" s="587"/>
    </row>
    <row r="34" spans="1:11" s="588" customFormat="1">
      <c r="A34" s="223" t="s">
        <v>147</v>
      </c>
      <c r="B34" s="589">
        <f>'Sources and Uses Budget'!C34</f>
        <v>225748</v>
      </c>
      <c r="C34" s="590"/>
      <c r="D34" s="590"/>
      <c r="E34" s="589">
        <f>'Sources and Uses Budget'!S34</f>
        <v>225748</v>
      </c>
      <c r="F34" s="590"/>
      <c r="G34" s="590"/>
      <c r="H34" s="589">
        <f>'Sources and Uses Budget'!T34</f>
        <v>0</v>
      </c>
      <c r="I34" s="590"/>
      <c r="J34" s="590"/>
      <c r="K34" s="587"/>
    </row>
    <row r="35" spans="1:11" s="588" customFormat="1" ht="24">
      <c r="A35" s="595" t="str">
        <f>'Sources and Uses Budget'!$A35</f>
        <v>Other: Rough Grading; PV; Utility Connection</v>
      </c>
      <c r="B35" s="589">
        <f>'Sources and Uses Budget'!C35</f>
        <v>624900</v>
      </c>
      <c r="C35" s="590"/>
      <c r="D35" s="590"/>
      <c r="E35" s="589">
        <f>'Sources and Uses Budget'!S35</f>
        <v>249900</v>
      </c>
      <c r="F35" s="590"/>
      <c r="G35" s="590"/>
      <c r="H35" s="589">
        <f>'Sources and Uses Budget'!T35</f>
        <v>0</v>
      </c>
      <c r="I35" s="590"/>
      <c r="J35" s="590"/>
      <c r="K35" s="587"/>
    </row>
    <row r="36" spans="1:11" s="588" customFormat="1">
      <c r="A36" s="597" t="s">
        <v>150</v>
      </c>
      <c r="B36" s="589">
        <f>'Sources and Uses Budget'!C36</f>
        <v>18808785</v>
      </c>
      <c r="C36" s="589">
        <f>SUM(C28:C35)</f>
        <v>0</v>
      </c>
      <c r="D36" s="589">
        <f>SUM(D28:D35)</f>
        <v>0</v>
      </c>
      <c r="E36" s="589">
        <f>'Sources and Uses Budget'!S36</f>
        <v>18433785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735000</v>
      </c>
      <c r="C38" s="590"/>
      <c r="D38" s="590"/>
      <c r="E38" s="589">
        <f>'Sources and Uses Budget'!S38</f>
        <v>735000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735000</v>
      </c>
      <c r="C40" s="589">
        <f>SUM(C37:C39)</f>
        <v>0</v>
      </c>
      <c r="D40" s="589">
        <f>SUM(D37:D39)</f>
        <v>0</v>
      </c>
      <c r="E40" s="589">
        <f>'Sources and Uses Budget'!S40</f>
        <v>735000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416202</v>
      </c>
      <c r="C41" s="590"/>
      <c r="D41" s="590"/>
      <c r="E41" s="589">
        <f>'Sources and Uses Budget'!S41</f>
        <v>416202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989909</v>
      </c>
      <c r="C43" s="590"/>
      <c r="D43" s="590"/>
      <c r="E43" s="589">
        <f>'Sources and Uses Budget'!S43</f>
        <v>548552</v>
      </c>
      <c r="F43" s="590"/>
      <c r="G43" s="590"/>
      <c r="H43" s="589">
        <f>'Sources and Uses Budget'!T43</f>
        <v>0</v>
      </c>
      <c r="I43" s="590"/>
      <c r="J43" s="590"/>
      <c r="K43" s="587"/>
    </row>
    <row r="44" spans="1:11" s="588" customFormat="1">
      <c r="A44" s="592" t="s">
        <v>158</v>
      </c>
      <c r="B44" s="589">
        <f>'Sources and Uses Budget'!C44</f>
        <v>121900</v>
      </c>
      <c r="C44" s="590"/>
      <c r="D44" s="590"/>
      <c r="E44" s="589">
        <f>'Sources and Uses Budget'!S44</f>
        <v>16146</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249070</v>
      </c>
      <c r="C47" s="590"/>
      <c r="D47" s="590"/>
      <c r="E47" s="589">
        <f>'Sources and Uses Budget'!S47</f>
        <v>5961</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7000</v>
      </c>
      <c r="C49" s="590"/>
      <c r="D49" s="590"/>
      <c r="E49" s="589">
        <f>'Sources and Uses Budget'!S49</f>
        <v>7000</v>
      </c>
      <c r="F49" s="590"/>
      <c r="G49" s="590"/>
      <c r="H49" s="589">
        <f>'Sources and Uses Budget'!T49</f>
        <v>0</v>
      </c>
      <c r="I49" s="590"/>
      <c r="J49" s="590"/>
      <c r="K49" s="587"/>
    </row>
    <row r="50" spans="1:11" s="588" customFormat="1">
      <c r="A50" s="592" t="s">
        <v>162</v>
      </c>
      <c r="B50" s="589">
        <f>'Sources and Uses Budget'!C50</f>
        <v>110000</v>
      </c>
      <c r="C50" s="590"/>
      <c r="D50" s="590"/>
      <c r="E50" s="589">
        <f>'Sources and Uses Budget'!S50</f>
        <v>110000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1517879</v>
      </c>
      <c r="C53" s="596">
        <f>SUM(C43:C52)</f>
        <v>0</v>
      </c>
      <c r="D53" s="596">
        <f>SUM(D43:D52)</f>
        <v>0</v>
      </c>
      <c r="E53" s="589">
        <f>'Sources and Uses Budget'!S53</f>
        <v>727659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'Sources and Uses Budget'!C63</f>
        <v>22977502</v>
      </c>
      <c r="C63" s="589">
        <f>SUM(C8+C11+C13+C14+C15+C25+C26+C36+C40+C41+C53+C62)</f>
        <v>0</v>
      </c>
      <c r="D63" s="589">
        <f>SUM(D8+D11+D13+D14+D15+D25+D26+D36+D40+D41+D53+D62)</f>
        <v>0</v>
      </c>
      <c r="E63" s="589">
        <f>'Sources and Uses Budget'!S63</f>
        <v>20482282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7285</v>
      </c>
      <c r="F65" s="590"/>
      <c r="G65" s="590"/>
      <c r="H65" s="589">
        <f>'Sources and Uses Budget'!T65</f>
        <v>0</v>
      </c>
      <c r="I65" s="590"/>
      <c r="J65" s="590"/>
      <c r="K65" s="587"/>
    </row>
    <row r="66" spans="1:11" s="588" customFormat="1">
      <c r="A66" s="595" t="str">
        <f>'Sources and Uses Budget'!$A73</f>
        <v>Other: HCD Transition Reserve</v>
      </c>
      <c r="B66" s="589">
        <f>'Sources and Uses Budget'!C66</f>
        <v>60000</v>
      </c>
      <c r="C66" s="590"/>
      <c r="D66" s="590"/>
      <c r="E66" s="589">
        <f>'Sources and Uses Budget'!S66</f>
        <v>45000</v>
      </c>
      <c r="F66" s="590"/>
      <c r="G66" s="590"/>
      <c r="H66" s="589">
        <f>'Sources and Uses Budget'!T66</f>
        <v>0</v>
      </c>
      <c r="I66" s="590"/>
      <c r="J66" s="590"/>
      <c r="K66" s="587"/>
    </row>
    <row r="67" spans="1:11" s="588" customFormat="1">
      <c r="A67" s="593" t="s">
        <v>652</v>
      </c>
      <c r="B67" s="589">
        <f>'Sources and Uses Budget'!C67</f>
        <v>130000</v>
      </c>
      <c r="C67" s="589">
        <f>SUM(C64:C66)</f>
        <v>0</v>
      </c>
      <c r="D67" s="589">
        <f>SUM(D64:D66)</f>
        <v>0</v>
      </c>
      <c r="E67" s="589">
        <f>'Sources and Uses Budget'!S67</f>
        <v>52285</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222411</v>
      </c>
      <c r="C72" s="590"/>
      <c r="D72" s="590"/>
      <c r="E72" s="591"/>
      <c r="F72" s="591"/>
      <c r="G72" s="591"/>
      <c r="H72" s="591"/>
      <c r="I72" s="591"/>
      <c r="J72" s="591"/>
      <c r="K72" s="587"/>
    </row>
    <row r="73" spans="1:11" s="588" customFormat="1">
      <c r="A73" s="595" t="str">
        <f>'Sources and Uses Budget'!$A73</f>
        <v>Other: HCD Transition Reserve</v>
      </c>
      <c r="B73" s="589">
        <f>'Sources and Uses Budget'!C73</f>
        <v>240927</v>
      </c>
      <c r="C73" s="590"/>
      <c r="D73" s="590"/>
      <c r="E73" s="591"/>
      <c r="F73" s="591"/>
      <c r="G73" s="591"/>
      <c r="H73" s="591"/>
      <c r="I73" s="591"/>
      <c r="J73" s="591"/>
      <c r="K73" s="587"/>
    </row>
    <row r="74" spans="1:11" s="588" customFormat="1">
      <c r="A74" s="593" t="s">
        <v>657</v>
      </c>
      <c r="B74" s="589">
        <f>'Sources and Uses Budget'!C74</f>
        <v>463338</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948921</v>
      </c>
      <c r="C76" s="590"/>
      <c r="D76" s="590"/>
      <c r="E76" s="589">
        <f>'Sources and Uses Budget'!S76</f>
        <v>948921</v>
      </c>
      <c r="F76" s="590"/>
      <c r="G76" s="590"/>
      <c r="H76" s="589">
        <f>'Sources and Uses Budget'!T76</f>
        <v>0</v>
      </c>
      <c r="I76" s="590"/>
      <c r="J76" s="590"/>
      <c r="K76" s="587"/>
    </row>
    <row r="77" spans="1:11" s="588" customFormat="1">
      <c r="A77" s="592" t="s">
        <v>63</v>
      </c>
      <c r="B77" s="589">
        <f>'Sources and Uses Budget'!C77</f>
        <v>323732</v>
      </c>
      <c r="C77" s="590"/>
      <c r="D77" s="590"/>
      <c r="E77" s="589">
        <f>'Sources and Uses Budget'!S77</f>
        <v>323732</v>
      </c>
      <c r="F77" s="590"/>
      <c r="G77" s="590"/>
      <c r="H77" s="589">
        <f>'Sources and Uses Budget'!T77</f>
        <v>0</v>
      </c>
      <c r="I77" s="590"/>
      <c r="J77" s="590"/>
      <c r="K77" s="587"/>
    </row>
    <row r="78" spans="1:11" s="588" customFormat="1">
      <c r="A78" s="593" t="s">
        <v>1468</v>
      </c>
      <c r="B78" s="589">
        <f>'Sources and Uses Budget'!C78</f>
        <v>1272653</v>
      </c>
      <c r="C78" s="589">
        <f>SUM(C76:C77)</f>
        <v>0</v>
      </c>
      <c r="D78" s="589">
        <f>SUM(D76:D77)</f>
        <v>0</v>
      </c>
      <c r="E78" s="589">
        <f>'Sources and Uses Budget'!S78</f>
        <v>1272653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38096</v>
      </c>
      <c r="C80" s="590"/>
      <c r="D80" s="590"/>
      <c r="E80" s="591"/>
      <c r="F80" s="591"/>
      <c r="G80" s="591"/>
      <c r="H80" s="591"/>
      <c r="I80" s="591"/>
      <c r="J80" s="591"/>
      <c r="K80" s="587"/>
    </row>
    <row r="81" spans="1:11" s="588" customFormat="1">
      <c r="A81" s="223" t="s">
        <v>846</v>
      </c>
      <c r="B81" s="589">
        <f>'Sources and Uses Budget'!C81</f>
        <v>55000</v>
      </c>
      <c r="C81" s="590"/>
      <c r="D81" s="590"/>
      <c r="E81" s="589">
        <f>'Sources and Uses Budget'!S81</f>
        <v>55000</v>
      </c>
      <c r="F81" s="590"/>
      <c r="G81" s="590"/>
      <c r="H81" s="589">
        <f>'Sources and Uses Budget'!T81</f>
        <v>0</v>
      </c>
      <c r="I81" s="590"/>
      <c r="J81" s="590"/>
      <c r="K81" s="587"/>
    </row>
    <row r="82" spans="1:11" s="588" customFormat="1">
      <c r="A82" s="223" t="s">
        <v>847</v>
      </c>
      <c r="B82" s="589">
        <f>'Sources and Uses Budget'!C82</f>
        <v>1251740</v>
      </c>
      <c r="C82" s="590"/>
      <c r="D82" s="590"/>
      <c r="E82" s="589">
        <f>'Sources and Uses Budget'!S82</f>
        <v>1251740</v>
      </c>
      <c r="F82" s="590"/>
      <c r="G82" s="590"/>
      <c r="H82" s="589">
        <f>'Sources and Uses Budget'!T82</f>
        <v>0</v>
      </c>
      <c r="I82" s="590"/>
      <c r="J82" s="590"/>
      <c r="K82" s="587"/>
    </row>
    <row r="83" spans="1:11" s="588" customFormat="1">
      <c r="A83" s="223" t="s">
        <v>848</v>
      </c>
      <c r="B83" s="589">
        <f>'Sources and Uses Budget'!C83</f>
        <v>301347</v>
      </c>
      <c r="C83" s="590"/>
      <c r="D83" s="590"/>
      <c r="E83" s="589">
        <f>'Sources and Uses Budget'!S83</f>
        <v>301347</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75000</v>
      </c>
      <c r="C85" s="590"/>
      <c r="D85" s="590"/>
      <c r="E85" s="591"/>
      <c r="F85" s="591"/>
      <c r="G85" s="591"/>
      <c r="H85" s="591"/>
      <c r="I85" s="591"/>
      <c r="J85" s="591"/>
      <c r="K85" s="587"/>
    </row>
    <row r="86" spans="1:11" s="588" customFormat="1">
      <c r="A86" s="223" t="s">
        <v>851</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852</v>
      </c>
      <c r="B87" s="589">
        <f>'Sources and Uses Budget'!C87</f>
        <v>25000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Prevailing Wage Monitor</v>
      </c>
      <c r="B90" s="589">
        <f>'Sources and Uses Budget'!C90</f>
        <v>35000</v>
      </c>
      <c r="C90" s="590"/>
      <c r="D90" s="590"/>
      <c r="E90" s="589">
        <f>'Sources and Uses Budget'!S90</f>
        <v>35000</v>
      </c>
      <c r="F90" s="590"/>
      <c r="G90" s="590"/>
      <c r="H90" s="589">
        <f>'Sources and Uses Budget'!T90</f>
        <v>0</v>
      </c>
      <c r="I90" s="590"/>
      <c r="J90" s="590"/>
      <c r="K90" s="587"/>
    </row>
    <row r="91" spans="1:11" s="588" customFormat="1">
      <c r="A91" s="595" t="str">
        <f>'Sources and Uses Budget'!$A91</f>
        <v>Other: Security</v>
      </c>
      <c r="B91" s="589">
        <f>'Sources and Uses Budget'!C91</f>
        <v>40000</v>
      </c>
      <c r="C91" s="590"/>
      <c r="D91" s="590"/>
      <c r="E91" s="589">
        <f>'Sources and Uses Budget'!S91</f>
        <v>40000</v>
      </c>
      <c r="F91" s="590"/>
      <c r="G91" s="590"/>
      <c r="H91" s="589">
        <f>'Sources and Uses Budget'!T91</f>
        <v>0</v>
      </c>
      <c r="I91" s="590"/>
      <c r="J91" s="590"/>
      <c r="K91" s="587"/>
    </row>
    <row r="92" spans="1:11" s="588" customFormat="1">
      <c r="A92" s="595" t="str">
        <f>'Sources and Uses Budget'!$A92</f>
        <v>Other: Pre Dev Loan fees/interest</v>
      </c>
      <c r="B92" s="589">
        <f>'Sources and Uses Budget'!C92</f>
        <v>69412</v>
      </c>
      <c r="C92" s="590"/>
      <c r="D92" s="590"/>
      <c r="E92" s="589">
        <f>'Sources and Uses Budget'!S92</f>
        <v>69412</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1960595</v>
      </c>
      <c r="C95" s="589">
        <f>SUM(C80:C94)</f>
        <v>0</v>
      </c>
      <c r="D95" s="589">
        <f>SUM(D80:D94)</f>
        <v>0</v>
      </c>
      <c r="E95" s="589">
        <f>'Sources and Uses Budget'!S95</f>
        <v>1822499</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26804088</v>
      </c>
      <c r="C96" s="589">
        <f>SUM(C63+C67+C74+C78+C95)</f>
        <v>0</v>
      </c>
      <c r="D96" s="589">
        <f>SUM(D63+D67+D74+D78+D95)</f>
        <v>0</v>
      </c>
      <c r="E96" s="589">
        <f>'Sources and Uses Budget'!S96</f>
        <v>23629719</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3190012</v>
      </c>
      <c r="C98" s="590"/>
      <c r="D98" s="590"/>
      <c r="E98" s="589">
        <f>'Sources and Uses Budget'!S98</f>
        <v>3190012</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3190012</v>
      </c>
      <c r="C104" s="589">
        <f>SUM(C98:C103)</f>
        <v>0</v>
      </c>
      <c r="D104" s="589">
        <f>SUM(D98:D103)</f>
        <v>0</v>
      </c>
      <c r="E104" s="589">
        <f>'Sources and Uses Budget'!S104</f>
        <v>3190012</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29994100</v>
      </c>
      <c r="C105" s="596">
        <f>SUM(C96+C104)</f>
        <v>0</v>
      </c>
      <c r="D105" s="596">
        <f>SUM(D96+D104)</f>
        <v>0</v>
      </c>
      <c r="E105" s="589">
        <f>'Sources and Uses Budget'!S105</f>
        <v>26819731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26819731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3"/>
      <c r="E124" s="1604"/>
      <c r="F124" s="1604"/>
      <c r="G124" s="1604"/>
      <c r="H124" s="1604"/>
      <c r="I124" s="1604"/>
      <c r="J124" s="607"/>
      <c r="K124" s="587"/>
    </row>
    <row r="125" spans="1:11" s="588" customFormat="1" ht="12.75">
      <c r="A125" s="618"/>
      <c r="B125" s="617"/>
      <c r="C125" s="618"/>
      <c r="D125" s="1604"/>
      <c r="E125" s="1604"/>
      <c r="F125" s="1604"/>
      <c r="G125" s="1604"/>
      <c r="H125" s="1604"/>
      <c r="I125" s="1604"/>
      <c r="J125" s="607"/>
      <c r="K125" s="587"/>
    </row>
    <row r="126" spans="1:11" s="588" customFormat="1" ht="12.75">
      <c r="A126" s="618"/>
      <c r="B126" s="617"/>
      <c r="C126" s="618"/>
      <c r="D126" s="1604"/>
      <c r="E126" s="1604"/>
      <c r="F126" s="1604"/>
      <c r="G126" s="1604"/>
      <c r="H126" s="1604"/>
      <c r="I126" s="160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5"/>
      <c r="B139" s="1606"/>
      <c r="C139" s="1606"/>
      <c r="D139" s="630"/>
      <c r="E139" s="618"/>
      <c r="F139" s="618"/>
      <c r="G139" s="618"/>
    </row>
    <row r="140" spans="1:11" ht="12" customHeight="1">
      <c r="A140" s="1607"/>
      <c r="B140" s="1608"/>
      <c r="C140" s="160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2" zoomScaleNormal="100" zoomScaleSheetLayoutView="100" workbookViewId="0">
      <selection activeCell="T16" sqref="T16:X16"/>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9" t="s">
        <v>1599</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46" t="str">
        <f xml:space="preserve"> IF(T25=100%,'Sources and Basis Breakdown'!G2,'Sources and Basis Breakdown'!F2)</f>
        <v>30% PVC for New Const/
Rehabilitation
DDA/QCT
Building(s)</v>
      </c>
      <c r="U7" s="1646"/>
      <c r="V7" s="1646"/>
      <c r="W7" s="1646"/>
      <c r="X7" s="1646"/>
      <c r="Y7" s="1646" t="str">
        <f>IF(T25=100%," ",'Sources and Basis Breakdown'!G2)</f>
        <v>30% PVC for New Const/
Rehabilitation
NON-DDA/
NON-QCT Building(s)</v>
      </c>
      <c r="Z7" s="1646"/>
      <c r="AA7" s="1646"/>
      <c r="AB7" s="1646"/>
      <c r="AC7" s="1646"/>
      <c r="AD7" s="1646" t="str">
        <f xml:space="preserve"> IF(T25=100%, 'Sources and Basis Breakdown'!J2,'Sources and Basis Breakdown'!I2)</f>
        <v>30% PVC for Acquisition
DDA/QCT Building(s)</v>
      </c>
      <c r="AE7" s="1646"/>
      <c r="AF7" s="1646"/>
      <c r="AG7" s="1646"/>
      <c r="AH7" s="1646"/>
      <c r="AI7" s="1646" t="str">
        <f>IF(T25=100%," ",'Sources and Basis Breakdown'!J2)</f>
        <v>30% PVC for Acquisition
NON-DDA/
NON-QCT Building(s)</v>
      </c>
      <c r="AJ7" s="1646"/>
      <c r="AK7" s="1646"/>
      <c r="AL7" s="1646"/>
      <c r="AM7" s="164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6"/>
      <c r="U8" s="1646"/>
      <c r="V8" s="1646"/>
      <c r="W8" s="1646"/>
      <c r="X8" s="1646"/>
      <c r="Y8" s="1646"/>
      <c r="Z8" s="1646"/>
      <c r="AA8" s="1646"/>
      <c r="AB8" s="1646"/>
      <c r="AC8" s="1646"/>
      <c r="AD8" s="1646"/>
      <c r="AE8" s="1646"/>
      <c r="AF8" s="1646"/>
      <c r="AG8" s="1646"/>
      <c r="AH8" s="1646"/>
      <c r="AI8" s="1646"/>
      <c r="AJ8" s="1646"/>
      <c r="AK8" s="1646"/>
      <c r="AL8" s="1646"/>
      <c r="AM8" s="164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6"/>
      <c r="U9" s="1646"/>
      <c r="V9" s="1646"/>
      <c r="W9" s="1646"/>
      <c r="X9" s="1646"/>
      <c r="Y9" s="1646"/>
      <c r="Z9" s="1646"/>
      <c r="AA9" s="1646"/>
      <c r="AB9" s="1646"/>
      <c r="AC9" s="1646"/>
      <c r="AD9" s="1646"/>
      <c r="AE9" s="1646"/>
      <c r="AF9" s="1646"/>
      <c r="AG9" s="1646"/>
      <c r="AH9" s="1646"/>
      <c r="AI9" s="1646"/>
      <c r="AJ9" s="1646"/>
      <c r="AK9" s="1646"/>
      <c r="AL9" s="1646"/>
      <c r="AM9" s="164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46"/>
      <c r="U10" s="1646"/>
      <c r="V10" s="1646"/>
      <c r="W10" s="1646"/>
      <c r="X10" s="1646"/>
      <c r="Y10" s="1646"/>
      <c r="Z10" s="1646"/>
      <c r="AA10" s="1646"/>
      <c r="AB10" s="1646"/>
      <c r="AC10" s="1646"/>
      <c r="AD10" s="1646"/>
      <c r="AE10" s="1646"/>
      <c r="AF10" s="1646"/>
      <c r="AG10" s="1646"/>
      <c r="AH10" s="1646"/>
      <c r="AI10" s="1646"/>
      <c r="AJ10" s="1646"/>
      <c r="AK10" s="1646"/>
      <c r="AL10" s="1646"/>
      <c r="AM10" s="164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71">
        <f>IF('Sources and Basis Breakdown'!F107=0,'Sources and Basis Breakdown'!E107,'Sources and Basis Breakdown'!F107)</f>
        <v>26819731</v>
      </c>
      <c r="U11" s="1672"/>
      <c r="V11" s="1672"/>
      <c r="W11" s="1672"/>
      <c r="X11" s="1672"/>
      <c r="Y11" s="1671">
        <f>IF(Y7=" ",0,IF('Sources and Basis Breakdown'!G107+'Sources and Basis Breakdown'!F107='Sources and Basis Breakdown'!E107,'Sources and Basis Breakdown'!G107,0))</f>
        <v>0</v>
      </c>
      <c r="Z11" s="1672"/>
      <c r="AA11" s="1672"/>
      <c r="AB11" s="1672"/>
      <c r="AC11" s="1672"/>
      <c r="AD11" s="1672">
        <f>IF('Sources and Basis Breakdown'!I107=0,'Sources and Basis Breakdown'!H107,'Sources and Basis Breakdown'!I107)</f>
        <v>0</v>
      </c>
      <c r="AE11" s="1672"/>
      <c r="AF11" s="1672"/>
      <c r="AG11" s="1672"/>
      <c r="AH11" s="1672"/>
      <c r="AI11" s="1672">
        <f>IF(Y7=" ",0,IF('Sources and Basis Breakdown'!I107+'Sources and Basis Breakdown'!J107='Sources and Basis Breakdown'!H107,'Sources and Basis Breakdown'!J107,0))</f>
        <v>0</v>
      </c>
      <c r="AJ11" s="1672"/>
      <c r="AK11" s="1672"/>
      <c r="AL11" s="1672"/>
      <c r="AM11" s="167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5" t="s">
        <v>544</v>
      </c>
      <c r="C12" s="1676"/>
      <c r="D12" s="1676"/>
      <c r="E12" s="1676"/>
      <c r="F12" s="1676"/>
      <c r="G12" s="1676"/>
      <c r="H12" s="1676"/>
      <c r="I12" s="1676"/>
      <c r="J12" s="1676"/>
      <c r="K12" s="1676"/>
      <c r="L12" s="1676"/>
      <c r="M12" s="1676"/>
      <c r="N12" s="1676"/>
      <c r="O12" s="1676"/>
      <c r="P12" s="1676"/>
      <c r="Q12" s="1676"/>
      <c r="R12" s="1676"/>
      <c r="S12" s="1677"/>
      <c r="T12" s="1651"/>
      <c r="U12" s="1652"/>
      <c r="V12" s="1652"/>
      <c r="W12" s="1652"/>
      <c r="X12" s="1653"/>
      <c r="Y12" s="1651"/>
      <c r="Z12" s="1652"/>
      <c r="AA12" s="1652"/>
      <c r="AB12" s="1652"/>
      <c r="AC12" s="1653"/>
      <c r="AD12" s="1651"/>
      <c r="AE12" s="1652"/>
      <c r="AF12" s="1652"/>
      <c r="AG12" s="1652"/>
      <c r="AH12" s="1653"/>
      <c r="AI12" s="1651"/>
      <c r="AJ12" s="1652"/>
      <c r="AK12" s="1652"/>
      <c r="AL12" s="1652"/>
      <c r="AM12" s="165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8" t="s">
        <v>545</v>
      </c>
      <c r="D13" s="1678"/>
      <c r="E13" s="1678"/>
      <c r="F13" s="1678"/>
      <c r="G13" s="1678"/>
      <c r="H13" s="1678"/>
      <c r="I13" s="1678"/>
      <c r="J13" s="1678"/>
      <c r="K13" s="1678"/>
      <c r="L13" s="1678"/>
      <c r="M13" s="1678"/>
      <c r="N13" s="1678"/>
      <c r="O13" s="1678"/>
      <c r="P13" s="1678"/>
      <c r="Q13" s="1678"/>
      <c r="R13" s="1678"/>
      <c r="S13" s="1679"/>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8" t="s">
        <v>546</v>
      </c>
      <c r="D14" s="1678"/>
      <c r="E14" s="1678"/>
      <c r="F14" s="1678"/>
      <c r="G14" s="1678"/>
      <c r="H14" s="1678"/>
      <c r="I14" s="1678"/>
      <c r="J14" s="1678"/>
      <c r="K14" s="1678"/>
      <c r="L14" s="1678"/>
      <c r="M14" s="1678"/>
      <c r="N14" s="1678"/>
      <c r="O14" s="1678"/>
      <c r="P14" s="1678"/>
      <c r="Q14" s="1678"/>
      <c r="R14" s="1678"/>
      <c r="S14" s="1679"/>
      <c r="T14" s="1665"/>
      <c r="U14" s="1666"/>
      <c r="V14" s="1666"/>
      <c r="W14" s="1666"/>
      <c r="X14" s="1666"/>
      <c r="Y14" s="1665"/>
      <c r="Z14" s="1666"/>
      <c r="AA14" s="1666"/>
      <c r="AB14" s="1666"/>
      <c r="AC14" s="1666"/>
      <c r="AD14" s="1666"/>
      <c r="AE14" s="1666"/>
      <c r="AF14" s="1666"/>
      <c r="AG14" s="1666"/>
      <c r="AH14" s="1666"/>
      <c r="AI14" s="1666"/>
      <c r="AJ14" s="1666"/>
      <c r="AK14" s="1666"/>
      <c r="AL14" s="1666"/>
      <c r="AM14" s="166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8" t="s">
        <v>547</v>
      </c>
      <c r="D15" s="1678"/>
      <c r="E15" s="1678"/>
      <c r="F15" s="1678"/>
      <c r="G15" s="1678"/>
      <c r="H15" s="1678"/>
      <c r="I15" s="1678"/>
      <c r="J15" s="1678"/>
      <c r="K15" s="1678"/>
      <c r="L15" s="1678"/>
      <c r="M15" s="1678"/>
      <c r="N15" s="1678"/>
      <c r="O15" s="1678"/>
      <c r="P15" s="1678"/>
      <c r="Q15" s="1678"/>
      <c r="R15" s="1678"/>
      <c r="S15" s="1679"/>
      <c r="T15" s="1665"/>
      <c r="U15" s="1666"/>
      <c r="V15" s="1666"/>
      <c r="W15" s="1666"/>
      <c r="X15" s="1666"/>
      <c r="Y15" s="1665"/>
      <c r="Z15" s="1666"/>
      <c r="AA15" s="1666"/>
      <c r="AB15" s="1666"/>
      <c r="AC15" s="1666"/>
      <c r="AD15" s="1666"/>
      <c r="AE15" s="1666"/>
      <c r="AF15" s="1666"/>
      <c r="AG15" s="1666"/>
      <c r="AH15" s="1666"/>
      <c r="AI15" s="1666"/>
      <c r="AJ15" s="1666"/>
      <c r="AK15" s="1666"/>
      <c r="AL15" s="1666"/>
      <c r="AM15" s="166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8" t="s">
        <v>888</v>
      </c>
      <c r="D16" s="1678"/>
      <c r="E16" s="1678"/>
      <c r="F16" s="1678"/>
      <c r="G16" s="1678"/>
      <c r="H16" s="1678"/>
      <c r="I16" s="1678"/>
      <c r="J16" s="1678"/>
      <c r="K16" s="1678"/>
      <c r="L16" s="1678"/>
      <c r="M16" s="1678"/>
      <c r="N16" s="1678"/>
      <c r="O16" s="1678"/>
      <c r="P16" s="1678"/>
      <c r="Q16" s="1678"/>
      <c r="R16" s="1678"/>
      <c r="S16" s="1679"/>
      <c r="T16" s="1665"/>
      <c r="U16" s="1666"/>
      <c r="V16" s="1666"/>
      <c r="W16" s="1666"/>
      <c r="X16" s="1666"/>
      <c r="Y16" s="1665"/>
      <c r="Z16" s="1666"/>
      <c r="AA16" s="1666"/>
      <c r="AB16" s="1666"/>
      <c r="AC16" s="1666"/>
      <c r="AD16" s="1666"/>
      <c r="AE16" s="1666"/>
      <c r="AF16" s="1666"/>
      <c r="AG16" s="1666"/>
      <c r="AH16" s="1666"/>
      <c r="AI16" s="1666"/>
      <c r="AJ16" s="1666"/>
      <c r="AK16" s="1666"/>
      <c r="AL16" s="1666"/>
      <c r="AM16" s="166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8" t="s">
        <v>548</v>
      </c>
      <c r="D17" s="1678"/>
      <c r="E17" s="1678"/>
      <c r="F17" s="1678"/>
      <c r="G17" s="1678"/>
      <c r="H17" s="1678"/>
      <c r="I17" s="1678"/>
      <c r="J17" s="1678"/>
      <c r="K17" s="1678"/>
      <c r="L17" s="1678"/>
      <c r="M17" s="1678"/>
      <c r="N17" s="1678"/>
      <c r="O17" s="1678"/>
      <c r="P17" s="1678"/>
      <c r="Q17" s="1678"/>
      <c r="R17" s="1678"/>
      <c r="S17" s="1679"/>
      <c r="T17" s="1665"/>
      <c r="U17" s="1666"/>
      <c r="V17" s="1666"/>
      <c r="W17" s="1666"/>
      <c r="X17" s="1666"/>
      <c r="Y17" s="1665"/>
      <c r="Z17" s="1666"/>
      <c r="AA17" s="1666"/>
      <c r="AB17" s="1666"/>
      <c r="AC17" s="1666"/>
      <c r="AD17" s="1666"/>
      <c r="AE17" s="1666"/>
      <c r="AF17" s="1666"/>
      <c r="AG17" s="1666"/>
      <c r="AH17" s="1666"/>
      <c r="AI17" s="1666"/>
      <c r="AJ17" s="1666"/>
      <c r="AK17" s="1666"/>
      <c r="AL17" s="1666"/>
      <c r="AM17" s="166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3" t="s">
        <v>1070</v>
      </c>
      <c r="D18" s="1673"/>
      <c r="E18" s="1673"/>
      <c r="F18" s="1673"/>
      <c r="G18" s="1673"/>
      <c r="H18" s="1673"/>
      <c r="I18" s="1673"/>
      <c r="J18" s="1673"/>
      <c r="K18" s="1673"/>
      <c r="L18" s="1673"/>
      <c r="M18" s="1673"/>
      <c r="N18" s="1673"/>
      <c r="O18" s="1673"/>
      <c r="P18" s="1673"/>
      <c r="Q18" s="1673"/>
      <c r="R18" s="1673"/>
      <c r="S18" s="1674"/>
      <c r="T18" s="1665"/>
      <c r="U18" s="1666"/>
      <c r="V18" s="1666"/>
      <c r="W18" s="1666"/>
      <c r="X18" s="1666"/>
      <c r="Y18" s="1665"/>
      <c r="Z18" s="1666"/>
      <c r="AA18" s="1666"/>
      <c r="AB18" s="1666"/>
      <c r="AC18" s="1666"/>
      <c r="AD18" s="1666"/>
      <c r="AE18" s="1666"/>
      <c r="AF18" s="1666"/>
      <c r="AG18" s="1666"/>
      <c r="AH18" s="1666"/>
      <c r="AI18" s="1666"/>
      <c r="AJ18" s="1666"/>
      <c r="AK18" s="1666"/>
      <c r="AL18" s="1666"/>
      <c r="AM18" s="166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3" t="s">
        <v>1070</v>
      </c>
      <c r="D19" s="1673"/>
      <c r="E19" s="1673"/>
      <c r="F19" s="1673"/>
      <c r="G19" s="1673"/>
      <c r="H19" s="1673"/>
      <c r="I19" s="1673"/>
      <c r="J19" s="1673"/>
      <c r="K19" s="1673"/>
      <c r="L19" s="1673"/>
      <c r="M19" s="1673"/>
      <c r="N19" s="1673"/>
      <c r="O19" s="1673"/>
      <c r="P19" s="1673"/>
      <c r="Q19" s="1673"/>
      <c r="R19" s="1673"/>
      <c r="S19" s="1674"/>
      <c r="T19" s="1665"/>
      <c r="U19" s="1666"/>
      <c r="V19" s="1666"/>
      <c r="W19" s="1666"/>
      <c r="X19" s="1666"/>
      <c r="Y19" s="1665"/>
      <c r="Z19" s="1666"/>
      <c r="AA19" s="1666"/>
      <c r="AB19" s="1666"/>
      <c r="AC19" s="1666"/>
      <c r="AD19" s="1666"/>
      <c r="AE19" s="1666"/>
      <c r="AF19" s="1666"/>
      <c r="AG19" s="1666"/>
      <c r="AH19" s="1666"/>
      <c r="AI19" s="1666"/>
      <c r="AJ19" s="1666"/>
      <c r="AK19" s="1666"/>
      <c r="AL19" s="1666"/>
      <c r="AM19" s="166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45">
        <f>SUM(T13:X19)</f>
        <v>0</v>
      </c>
      <c r="U20" s="1648"/>
      <c r="V20" s="1648"/>
      <c r="W20" s="1648"/>
      <c r="X20" s="1648"/>
      <c r="Y20" s="1645">
        <f>SUM(Y13:AC19)</f>
        <v>0</v>
      </c>
      <c r="Z20" s="1648"/>
      <c r="AA20" s="1648"/>
      <c r="AB20" s="1648"/>
      <c r="AC20" s="1648"/>
      <c r="AD20" s="1643">
        <f>SUM(AD13:AH19)</f>
        <v>0</v>
      </c>
      <c r="AE20" s="1644"/>
      <c r="AF20" s="1644"/>
      <c r="AG20" s="1644"/>
      <c r="AH20" s="1645"/>
      <c r="AI20" s="1643">
        <f>SUM(AI13:AM19)</f>
        <v>0</v>
      </c>
      <c r="AJ20" s="1644"/>
      <c r="AK20" s="1644"/>
      <c r="AL20" s="1644"/>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65"/>
      <c r="U21" s="1666"/>
      <c r="V21" s="1666"/>
      <c r="W21" s="1666"/>
      <c r="X21" s="1666"/>
      <c r="Y21" s="1665"/>
      <c r="Z21" s="1666"/>
      <c r="AA21" s="1666"/>
      <c r="AB21" s="1666"/>
      <c r="AC21" s="1666"/>
      <c r="AD21" s="1651"/>
      <c r="AE21" s="1652"/>
      <c r="AF21" s="1652"/>
      <c r="AG21" s="1652"/>
      <c r="AH21" s="1653"/>
      <c r="AI21" s="1651"/>
      <c r="AJ21" s="1652"/>
      <c r="AK21" s="1652"/>
      <c r="AL21" s="1652"/>
      <c r="AM21" s="165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61">
        <f>(T20+T21)*-1</f>
        <v>0</v>
      </c>
      <c r="U22" s="1662"/>
      <c r="V22" s="1662"/>
      <c r="W22" s="1662"/>
      <c r="X22" s="1662"/>
      <c r="Y22" s="1661">
        <f>(Y20+Y21)*-1</f>
        <v>0</v>
      </c>
      <c r="Z22" s="1662"/>
      <c r="AA22" s="1662"/>
      <c r="AB22" s="1662"/>
      <c r="AC22" s="1662"/>
      <c r="AD22" s="1663">
        <f>(AD20)*-1</f>
        <v>0</v>
      </c>
      <c r="AE22" s="1664"/>
      <c r="AF22" s="1664"/>
      <c r="AG22" s="1664"/>
      <c r="AH22" s="1661"/>
      <c r="AI22" s="1663">
        <f>(AI20)*-1</f>
        <v>0</v>
      </c>
      <c r="AJ22" s="1664"/>
      <c r="AK22" s="1664"/>
      <c r="AL22" s="1664"/>
      <c r="AM22" s="166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2" t="s">
        <v>551</v>
      </c>
      <c r="C23" s="1683"/>
      <c r="D23" s="1683"/>
      <c r="E23" s="1683"/>
      <c r="F23" s="1683"/>
      <c r="G23" s="1683"/>
      <c r="H23" s="1683"/>
      <c r="I23" s="1683"/>
      <c r="J23" s="1683"/>
      <c r="K23" s="1683"/>
      <c r="L23" s="1683"/>
      <c r="M23" s="1683"/>
      <c r="N23" s="1683"/>
      <c r="O23" s="1683"/>
      <c r="P23" s="1683"/>
      <c r="Q23" s="1683"/>
      <c r="R23" s="1683"/>
      <c r="S23" s="1684"/>
      <c r="T23" s="1645">
        <f>T11+T22</f>
        <v>26819731</v>
      </c>
      <c r="U23" s="1648"/>
      <c r="V23" s="1648"/>
      <c r="W23" s="1648"/>
      <c r="X23" s="1648"/>
      <c r="Y23" s="1645">
        <f>Y11+Y22</f>
        <v>0</v>
      </c>
      <c r="Z23" s="1648"/>
      <c r="AA23" s="1648"/>
      <c r="AB23" s="1648"/>
      <c r="AC23" s="1648"/>
      <c r="AD23" s="1645">
        <f>AD11+AD22</f>
        <v>0</v>
      </c>
      <c r="AE23" s="1648"/>
      <c r="AF23" s="1648"/>
      <c r="AG23" s="1648"/>
      <c r="AH23" s="1648"/>
      <c r="AI23" s="1645">
        <f>AI11+AI22</f>
        <v>0</v>
      </c>
      <c r="AJ23" s="1648"/>
      <c r="AK23" s="1648"/>
      <c r="AL23" s="1648"/>
      <c r="AM23" s="164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43">
        <f>Application!AD1004</f>
        <v>57862793.239999995</v>
      </c>
      <c r="U24" s="1644"/>
      <c r="V24" s="1644"/>
      <c r="W24" s="1644"/>
      <c r="X24" s="1644"/>
      <c r="Y24" s="1644"/>
      <c r="Z24" s="1644"/>
      <c r="AA24" s="1644"/>
      <c r="AB24" s="1644"/>
      <c r="AC24" s="1644"/>
      <c r="AD24" s="1644"/>
      <c r="AE24" s="1644"/>
      <c r="AF24" s="1644"/>
      <c r="AG24" s="1644"/>
      <c r="AH24" s="1644"/>
      <c r="AI24" s="1644"/>
      <c r="AJ24" s="1644"/>
      <c r="AK24" s="1644"/>
      <c r="AL24" s="1644"/>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6" t="s">
        <v>1552</v>
      </c>
      <c r="C25" s="1687"/>
      <c r="D25" s="1687"/>
      <c r="E25" s="1687"/>
      <c r="F25" s="1687"/>
      <c r="G25" s="1687"/>
      <c r="H25" s="1687"/>
      <c r="I25" s="1687"/>
      <c r="J25" s="1687"/>
      <c r="K25" s="1687"/>
      <c r="L25" s="1687"/>
      <c r="M25" s="1687"/>
      <c r="N25" s="1687"/>
      <c r="O25" s="1687"/>
      <c r="P25" s="1687"/>
      <c r="Q25" s="1687"/>
      <c r="R25" s="1687"/>
      <c r="S25" s="1688"/>
      <c r="T25" s="1656">
        <f>IF(OR(Application!T196="yes",Application!T195="yes"),1.3,1)</f>
        <v>1.3</v>
      </c>
      <c r="U25" s="1657"/>
      <c r="V25" s="1657"/>
      <c r="W25" s="1657"/>
      <c r="X25" s="1657"/>
      <c r="Y25" s="1656">
        <v>1</v>
      </c>
      <c r="Z25" s="1657"/>
      <c r="AA25" s="1657"/>
      <c r="AB25" s="1657"/>
      <c r="AC25" s="1657"/>
      <c r="AD25" s="1656">
        <v>1</v>
      </c>
      <c r="AE25" s="1657"/>
      <c r="AF25" s="1657"/>
      <c r="AG25" s="1657"/>
      <c r="AH25" s="1658"/>
      <c r="AI25" s="1656">
        <v>1</v>
      </c>
      <c r="AJ25" s="1657"/>
      <c r="AK25" s="1657"/>
      <c r="AL25" s="1657"/>
      <c r="AM25" s="165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59">
        <f>T23*T25</f>
        <v>34865650.300000004</v>
      </c>
      <c r="U26" s="1660"/>
      <c r="V26" s="1660"/>
      <c r="W26" s="1660"/>
      <c r="X26" s="1660"/>
      <c r="Y26" s="1659">
        <f>Y23*Y25</f>
        <v>0</v>
      </c>
      <c r="Z26" s="1660"/>
      <c r="AA26" s="1660"/>
      <c r="AB26" s="1660"/>
      <c r="AC26" s="1660"/>
      <c r="AD26" s="1659">
        <f>AD23*AD25</f>
        <v>0</v>
      </c>
      <c r="AE26" s="1660"/>
      <c r="AF26" s="1660"/>
      <c r="AG26" s="1660"/>
      <c r="AH26" s="1660"/>
      <c r="AI26" s="1659">
        <f>AI23*AI25</f>
        <v>0</v>
      </c>
      <c r="AJ26" s="1660"/>
      <c r="AK26" s="1660"/>
      <c r="AL26" s="1660"/>
      <c r="AM26" s="166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9" t="s">
        <v>461</v>
      </c>
      <c r="C27" s="1690"/>
      <c r="D27" s="1690"/>
      <c r="E27" s="1690"/>
      <c r="F27" s="1690"/>
      <c r="G27" s="1690"/>
      <c r="H27" s="1690"/>
      <c r="I27" s="1690"/>
      <c r="J27" s="1690"/>
      <c r="K27" s="1690"/>
      <c r="L27" s="1690"/>
      <c r="M27" s="1690"/>
      <c r="N27" s="1690"/>
      <c r="O27" s="1690"/>
      <c r="P27" s="1690"/>
      <c r="Q27" s="1690"/>
      <c r="R27" s="1690"/>
      <c r="S27" s="1691"/>
      <c r="T27" s="1654">
        <f>Application!$AG$432</f>
        <v>1</v>
      </c>
      <c r="U27" s="1655"/>
      <c r="V27" s="1655"/>
      <c r="W27" s="1655"/>
      <c r="X27" s="1655"/>
      <c r="Y27" s="1654">
        <f>Application!$AG$432</f>
        <v>1</v>
      </c>
      <c r="Z27" s="1655"/>
      <c r="AA27" s="1655"/>
      <c r="AB27" s="1655"/>
      <c r="AC27" s="1655"/>
      <c r="AD27" s="1654">
        <f>Application!$AG$432</f>
        <v>1</v>
      </c>
      <c r="AE27" s="1655"/>
      <c r="AF27" s="1655"/>
      <c r="AG27" s="1655"/>
      <c r="AH27" s="1655"/>
      <c r="AI27" s="1654">
        <f>Application!$AG$432</f>
        <v>1</v>
      </c>
      <c r="AJ27" s="1655"/>
      <c r="AK27" s="1655"/>
      <c r="AL27" s="1655"/>
      <c r="AM27" s="165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25">
        <f>IF(ISERROR((T26*T27)),0,(T26*T27))</f>
        <v>34865650.300000004</v>
      </c>
      <c r="U28" s="1626"/>
      <c r="V28" s="1626"/>
      <c r="W28" s="1626"/>
      <c r="X28" s="1626"/>
      <c r="Y28" s="1625">
        <f>IF(ISERROR((Y26*Y27)),0,(Y26*Y27))</f>
        <v>0</v>
      </c>
      <c r="Z28" s="1626"/>
      <c r="AA28" s="1626"/>
      <c r="AB28" s="1626"/>
      <c r="AC28" s="1626"/>
      <c r="AD28" s="1625">
        <f>IF(ISERROR((AD26*AD27)),0,(AD26*AD27))</f>
        <v>0</v>
      </c>
      <c r="AE28" s="1626"/>
      <c r="AF28" s="1626"/>
      <c r="AG28" s="1626"/>
      <c r="AH28" s="1626"/>
      <c r="AI28" s="1625">
        <f>IF(ISERROR((AI26*AI27)),0,(AI26*AI27))</f>
        <v>0</v>
      </c>
      <c r="AJ28" s="1626"/>
      <c r="AK28" s="1626"/>
      <c r="AL28" s="1626"/>
      <c r="AM28" s="162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43">
        <f>T28+Y28+AD28+AI28</f>
        <v>34865650.300000004</v>
      </c>
      <c r="U29" s="1644"/>
      <c r="V29" s="1644"/>
      <c r="W29" s="1644"/>
      <c r="X29" s="1644"/>
      <c r="Y29" s="1644"/>
      <c r="Z29" s="1644"/>
      <c r="AA29" s="1644"/>
      <c r="AB29" s="1644"/>
      <c r="AC29" s="1644"/>
      <c r="AD29" s="1644"/>
      <c r="AE29" s="1644"/>
      <c r="AF29" s="1644"/>
      <c r="AG29" s="1644"/>
      <c r="AH29" s="1644"/>
      <c r="AI29" s="1644"/>
      <c r="AJ29" s="1644"/>
      <c r="AK29" s="1644"/>
      <c r="AL29" s="1644"/>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1556</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1553</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6" t="s">
        <v>1386</v>
      </c>
      <c r="Z35" s="1646"/>
      <c r="AA35" s="1646"/>
      <c r="AB35" s="1646"/>
      <c r="AC35" s="1646"/>
      <c r="AD35" s="1647" t="s">
        <v>394</v>
      </c>
      <c r="AE35" s="1647"/>
      <c r="AF35" s="1647"/>
      <c r="AG35" s="1647"/>
      <c r="AH35" s="164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6"/>
      <c r="Z36" s="1646"/>
      <c r="AA36" s="1646"/>
      <c r="AB36" s="1646"/>
      <c r="AC36" s="1646"/>
      <c r="AD36" s="1647"/>
      <c r="AE36" s="1647"/>
      <c r="AF36" s="1647"/>
      <c r="AG36" s="1647"/>
      <c r="AH36" s="164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6"/>
      <c r="Z37" s="1646"/>
      <c r="AA37" s="1646"/>
      <c r="AB37" s="1646"/>
      <c r="AC37" s="1646"/>
      <c r="AD37" s="1647"/>
      <c r="AE37" s="1647"/>
      <c r="AF37" s="1647"/>
      <c r="AG37" s="1647"/>
      <c r="AH37" s="164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48">
        <f>IF(T24&gt;=(T23+Y23+AD23+AI23),T28+Y28,0)</f>
        <v>34865650.300000004</v>
      </c>
      <c r="Z38" s="1648"/>
      <c r="AA38" s="1648"/>
      <c r="AB38" s="1648"/>
      <c r="AC38" s="1648"/>
      <c r="AD38" s="1648">
        <f>IF(T24&gt;=(T23+Y23+AD23+AI23),AD28+AI28,0)</f>
        <v>0</v>
      </c>
      <c r="AE38" s="1648"/>
      <c r="AF38" s="1648"/>
      <c r="AG38" s="1648"/>
      <c r="AH38" s="164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49">
        <v>3.2399999999999998E-2</v>
      </c>
      <c r="Z39" s="1649"/>
      <c r="AA39" s="1649"/>
      <c r="AB39" s="1649"/>
      <c r="AC39" s="1649"/>
      <c r="AD39" s="1649">
        <v>3.2399999999999998E-2</v>
      </c>
      <c r="AE39" s="1649"/>
      <c r="AF39" s="1649"/>
      <c r="AG39" s="1649"/>
      <c r="AH39" s="164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48">
        <f>ROUND(Y38*Y39,0)</f>
        <v>1129647</v>
      </c>
      <c r="Z40" s="1648"/>
      <c r="AA40" s="1648"/>
      <c r="AB40" s="1648"/>
      <c r="AC40" s="1648"/>
      <c r="AD40" s="1645">
        <f>ROUND(AD38*AD39,0)</f>
        <v>0</v>
      </c>
      <c r="AE40" s="1648"/>
      <c r="AF40" s="1648"/>
      <c r="AG40" s="1648"/>
      <c r="AH40" s="164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92">
        <f>Y40+AD40</f>
        <v>1129647</v>
      </c>
      <c r="Z41" s="1693"/>
      <c r="AA41" s="1693"/>
      <c r="AB41" s="1693"/>
      <c r="AC41" s="1693"/>
      <c r="AD41" s="1693"/>
      <c r="AE41" s="1693"/>
      <c r="AF41" s="1693"/>
      <c r="AG41" s="1693"/>
      <c r="AH41" s="169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5" t="s">
        <v>1555</v>
      </c>
      <c r="C42" s="1685"/>
      <c r="D42" s="1685"/>
      <c r="E42" s="1685"/>
      <c r="F42" s="1685"/>
      <c r="G42" s="1685"/>
      <c r="H42" s="1685"/>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2" t="s">
        <v>1586</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6">
        <f>'Sources and Uses Budget'!B105-'Sources and Uses Budget'!B15</f>
        <v>29994100</v>
      </c>
      <c r="AC47" s="1637"/>
      <c r="AD47" s="1637"/>
      <c r="AE47" s="1637"/>
      <c r="AF47" s="163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6">
        <f>Application!AG630-MIN('Sources and Uses Budget'!B15,Application!AG390)</f>
        <v>19902885</v>
      </c>
      <c r="AC48" s="1637"/>
      <c r="AD48" s="1637"/>
      <c r="AE48" s="1637"/>
      <c r="AF48" s="163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6">
        <f>AB47-AB48</f>
        <v>10091215</v>
      </c>
      <c r="AC49" s="1637"/>
      <c r="AD49" s="1637"/>
      <c r="AE49" s="1637"/>
      <c r="AF49" s="163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1">
        <f>AB49/(Y41*10)</f>
        <v>0.89330693570646402</v>
      </c>
      <c r="AC50" s="1622"/>
      <c r="AD50" s="1622"/>
      <c r="AE50" s="1622"/>
      <c r="AF50" s="162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5" t="s">
        <v>1182</v>
      </c>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6">
        <f>ROUND(IF(ISERROR((AB49/AB50)),0,(AB49/AB50)),0)</f>
        <v>11296470</v>
      </c>
      <c r="AC54" s="1637"/>
      <c r="AD54" s="1637"/>
      <c r="AE54" s="1637"/>
      <c r="AF54" s="163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6">
        <f>(AB54/10)</f>
        <v>1129647</v>
      </c>
      <c r="AC55" s="1637"/>
      <c r="AD55" s="1637"/>
      <c r="AE55" s="1637"/>
      <c r="AF55" s="163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9">
        <f>(IF((Y41&lt;AB55),Y41,AB55))</f>
        <v>1129647</v>
      </c>
      <c r="AC56" s="1640"/>
      <c r="AD56" s="1640"/>
      <c r="AE56" s="1640"/>
      <c r="AF56" s="164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6">
        <f>ROUND((10*AB56*AB50),0)</f>
        <v>10091215</v>
      </c>
      <c r="AC57" s="1637"/>
      <c r="AD57" s="1637"/>
      <c r="AE57" s="1637"/>
      <c r="AF57" s="163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7">
        <f>AB49-AB57</f>
        <v>0</v>
      </c>
      <c r="AC59" s="1617"/>
      <c r="AD59" s="1617"/>
      <c r="AE59" s="1617"/>
      <c r="AF59" s="161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0" t="s">
        <v>1101</v>
      </c>
      <c r="Z63" s="1630"/>
      <c r="AA63" s="1630"/>
      <c r="AB63" s="1630"/>
      <c r="AC63" s="1630"/>
      <c r="AD63" s="1630" t="s">
        <v>394</v>
      </c>
      <c r="AE63" s="1630"/>
      <c r="AF63" s="1630"/>
      <c r="AG63" s="1630"/>
      <c r="AH63" s="163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1">
        <f>IF(OR(Application!M350="yes",Application!AF204="yes"),(T23*T27)+Y28,0)</f>
        <v>26819731</v>
      </c>
      <c r="Z64" s="1632"/>
      <c r="AA64" s="1632"/>
      <c r="AB64" s="1632"/>
      <c r="AC64" s="1633"/>
      <c r="AD64" s="1631">
        <f>IF(AND(Application!AF204="yes",Application!M353="yes"),AD28+AI28,0)</f>
        <v>0</v>
      </c>
      <c r="AE64" s="1632"/>
      <c r="AF64" s="1632"/>
      <c r="AG64" s="1632"/>
      <c r="AH64" s="163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4" t="s">
        <v>1536</v>
      </c>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4"/>
      <c r="F66" s="1634"/>
      <c r="G66" s="1634"/>
      <c r="H66" s="1634"/>
      <c r="I66" s="1634"/>
      <c r="J66" s="1634"/>
      <c r="K66" s="1634"/>
      <c r="L66" s="1634"/>
      <c r="M66" s="1634"/>
      <c r="N66" s="1634"/>
      <c r="O66" s="1634"/>
      <c r="P66" s="1634"/>
      <c r="Q66" s="1634"/>
      <c r="R66" s="1634"/>
      <c r="S66" s="1634"/>
      <c r="T66" s="1634"/>
      <c r="U66" s="1634"/>
      <c r="V66" s="1634"/>
      <c r="W66" s="1634"/>
      <c r="X66" s="1634"/>
      <c r="Y66" s="1634"/>
      <c r="Z66" s="1634"/>
      <c r="AA66" s="1634"/>
      <c r="AB66" s="1634"/>
      <c r="AC66" s="1634"/>
      <c r="AD66" s="1634"/>
      <c r="AE66" s="1634"/>
      <c r="AF66" s="1634"/>
      <c r="AG66" s="1634"/>
      <c r="AH66" s="163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8">
        <f>IF(Application!AF204="yes",0.75,0.3)</f>
        <v>0.3</v>
      </c>
      <c r="Z67" s="1618"/>
      <c r="AA67" s="1618"/>
      <c r="AB67" s="1618"/>
      <c r="AC67" s="1618"/>
      <c r="AD67" s="1618">
        <f>IF(Application!AF204="yes",0.75,0.3)</f>
        <v>0.3</v>
      </c>
      <c r="AE67" s="1618"/>
      <c r="AF67" s="1618"/>
      <c r="AG67" s="1618"/>
      <c r="AH67" s="161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19">
        <f>ROUND(Y64*Y67,0)</f>
        <v>8045919</v>
      </c>
      <c r="Z68" s="1620"/>
      <c r="AA68" s="1620"/>
      <c r="AB68" s="1620"/>
      <c r="AC68" s="1620"/>
      <c r="AD68" s="1619" t="str">
        <f>IF(Application!D210="At-Risk",AD64*AD67,"$0")</f>
        <v>$0</v>
      </c>
      <c r="AE68" s="1620"/>
      <c r="AF68" s="1620"/>
      <c r="AG68" s="1620"/>
      <c r="AH68" s="162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1"/>
      <c r="AC71" s="1622"/>
      <c r="AD71" s="1622"/>
      <c r="AE71" s="1622"/>
      <c r="AF71" s="162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4" t="s">
        <v>1539</v>
      </c>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162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162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4"/>
      <c r="F74" s="1624"/>
      <c r="G74" s="1624"/>
      <c r="H74" s="1624"/>
      <c r="I74" s="1624"/>
      <c r="J74" s="1624"/>
      <c r="K74" s="1624"/>
      <c r="L74" s="1624"/>
      <c r="M74" s="1624"/>
      <c r="N74" s="1624"/>
      <c r="O74" s="1624"/>
      <c r="P74" s="1624"/>
      <c r="Q74" s="1624"/>
      <c r="R74" s="1624"/>
      <c r="S74" s="1624"/>
      <c r="T74" s="1624"/>
      <c r="U74" s="1624"/>
      <c r="V74" s="1624"/>
      <c r="W74" s="1624"/>
      <c r="X74" s="1624"/>
      <c r="Y74" s="1624"/>
      <c r="Z74" s="1624"/>
      <c r="AA74" s="162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2">
        <f>ROUND(IF(ISERROR((AB59/AB71)),0,(AB59/AB71)),0)</f>
        <v>0</v>
      </c>
      <c r="AC76" s="1612"/>
      <c r="AD76" s="1612"/>
      <c r="AE76" s="1612"/>
      <c r="AF76" s="16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3">
        <f>IF((Y68+AD68&lt;AB76),Y68+AD68,AB76)</f>
        <v>0</v>
      </c>
      <c r="AC77" s="1614"/>
      <c r="AD77" s="1614"/>
      <c r="AE77" s="1614"/>
      <c r="AF77" s="16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6">
        <f>AB77*AB71</f>
        <v>0</v>
      </c>
      <c r="AC78" s="1616"/>
      <c r="AD78" s="1616"/>
      <c r="AE78" s="1616"/>
      <c r="AF78" s="16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7">
        <f>AB49-(AB57+AB78)</f>
        <v>0</v>
      </c>
      <c r="AC80" s="1617"/>
      <c r="AD80" s="1617"/>
      <c r="AE80" s="1617"/>
      <c r="AF80" s="161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2" t="s">
        <v>1587</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3.5" thickTop="1"/>
    <row r="85" spans="1:98" ht="12.75">
      <c r="A85" s="819" t="s">
        <v>643</v>
      </c>
      <c r="C85" s="344" t="s">
        <v>1585</v>
      </c>
    </row>
    <row r="86" spans="1:98" ht="12.75">
      <c r="D86" s="344" t="s">
        <v>1641</v>
      </c>
      <c r="AB86" s="1681">
        <f>IF(A61="$500M State Credit",AB77/(Application!AG424-Application!AG425),"N/A")</f>
        <v>0</v>
      </c>
      <c r="AC86" s="1681"/>
      <c r="AD86" s="1681"/>
      <c r="AE86" s="1681"/>
      <c r="AF86" s="1681"/>
    </row>
    <row r="87" spans="1:98" ht="13.5" thickBot="1">
      <c r="D87" s="344" t="s">
        <v>1642</v>
      </c>
      <c r="AB87" s="1680" t="e">
        <f>IF(A61="$500M State Credit",(Application!AG424-Application!AG425)/AB77,"N/A")</f>
        <v>#DIV/0!</v>
      </c>
      <c r="AC87" s="1680"/>
      <c r="AD87" s="1680"/>
      <c r="AE87" s="1680"/>
      <c r="AF87" s="168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31" sqref="E3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392568</v>
      </c>
      <c r="G4" s="366">
        <f>E4*$C$4</f>
        <v>402382.19999999995</v>
      </c>
      <c r="I4" s="366">
        <f>G4*$C$4</f>
        <v>412441.75499999989</v>
      </c>
      <c r="K4" s="366">
        <f>I4*$C$4</f>
        <v>422752.79887499986</v>
      </c>
      <c r="M4" s="366">
        <f>K4*$C$4</f>
        <v>433321.6188468748</v>
      </c>
      <c r="O4" s="366">
        <f>M4*$C$4</f>
        <v>444154.65931804664</v>
      </c>
      <c r="Q4" s="366">
        <f>O4*$C$4</f>
        <v>455258.5258009978</v>
      </c>
      <c r="S4" s="366">
        <f>Q4*$C$4</f>
        <v>466639.9889460227</v>
      </c>
      <c r="U4" s="366">
        <f>S4*$C$4</f>
        <v>478305.98866967321</v>
      </c>
      <c r="W4" s="366">
        <f>U4*$C$4</f>
        <v>490263.63838641503</v>
      </c>
      <c r="Y4" s="366">
        <f>W4*$C$4</f>
        <v>502520.22934607539</v>
      </c>
      <c r="AA4" s="366">
        <f>Y4*$C$4</f>
        <v>515083.23507972725</v>
      </c>
      <c r="AC4" s="366">
        <f>AA4*$C$4</f>
        <v>527960.31595672038</v>
      </c>
      <c r="AE4" s="366">
        <f>AC4*$C$4</f>
        <v>541159.32385563839</v>
      </c>
      <c r="AG4" s="366">
        <f>AE4*$C$4</f>
        <v>554688.30695202935</v>
      </c>
    </row>
    <row r="5" spans="1:34" s="350" customFormat="1" ht="14.25">
      <c r="B5" s="350" t="s">
        <v>925</v>
      </c>
      <c r="C5" s="391">
        <f>IF(Application!$D$210="Special Needs",0.1,0.05)</f>
        <v>0.05</v>
      </c>
      <c r="E5" s="368">
        <f>-E4*$C$5</f>
        <v>-19628.400000000001</v>
      </c>
      <c r="F5" s="368"/>
      <c r="G5" s="368">
        <f>-G4*$C$5</f>
        <v>-20119.11</v>
      </c>
      <c r="H5" s="368"/>
      <c r="I5" s="368">
        <f>-I4*$C$5</f>
        <v>-20622.087749999995</v>
      </c>
      <c r="J5" s="368"/>
      <c r="K5" s="368">
        <f>-K4*$C$5</f>
        <v>-21137.639943749993</v>
      </c>
      <c r="L5" s="368"/>
      <c r="M5" s="368">
        <f>-M4*$C$5</f>
        <v>-21666.080942343742</v>
      </c>
      <c r="N5" s="368"/>
      <c r="O5" s="368">
        <f>-O4*$C$5</f>
        <v>-22207.732965902334</v>
      </c>
      <c r="P5" s="368"/>
      <c r="Q5" s="368">
        <f>-Q4*$C$5</f>
        <v>-22762.926290049891</v>
      </c>
      <c r="R5" s="368"/>
      <c r="S5" s="368">
        <f>-S4*$C$5</f>
        <v>-23331.999447301136</v>
      </c>
      <c r="T5" s="368"/>
      <c r="U5" s="368">
        <f>-U4*$C$5</f>
        <v>-23915.299433483662</v>
      </c>
      <c r="V5" s="368"/>
      <c r="W5" s="368">
        <f>-W4*$C$5</f>
        <v>-24513.181919320752</v>
      </c>
      <c r="X5" s="368"/>
      <c r="Y5" s="368">
        <f>-Y4*$C$5</f>
        <v>-25126.011467303771</v>
      </c>
      <c r="Z5" s="368"/>
      <c r="AA5" s="368">
        <f>-AA4*$C$5</f>
        <v>-25754.161753986366</v>
      </c>
      <c r="AB5" s="368"/>
      <c r="AC5" s="368">
        <f>-AC4*$C$5</f>
        <v>-26398.015797836022</v>
      </c>
      <c r="AD5" s="368"/>
      <c r="AE5" s="368">
        <f>-AE4*$C$5</f>
        <v>-27057.966192781922</v>
      </c>
      <c r="AF5" s="368"/>
      <c r="AG5" s="368">
        <f>-AG4*$C$5</f>
        <v>-27734.415347601469</v>
      </c>
    </row>
    <row r="6" spans="1:34" s="350" customFormat="1" ht="14.25">
      <c r="A6" s="350" t="s">
        <v>923</v>
      </c>
      <c r="C6" s="390">
        <v>1.0249999999999999</v>
      </c>
      <c r="E6" s="369">
        <f>Application!Z789</f>
        <v>595092</v>
      </c>
      <c r="F6" s="369"/>
      <c r="G6" s="369">
        <f>E6*$C$6</f>
        <v>609969.29999999993</v>
      </c>
      <c r="H6" s="369"/>
      <c r="I6" s="369">
        <f>G6*$C$6</f>
        <v>625218.53249999986</v>
      </c>
      <c r="J6" s="369"/>
      <c r="K6" s="369">
        <f>I6*$C$6</f>
        <v>640848.99581249978</v>
      </c>
      <c r="L6" s="369"/>
      <c r="M6" s="369">
        <f>K6*$C$6</f>
        <v>656870.22070781223</v>
      </c>
      <c r="N6" s="369"/>
      <c r="O6" s="369">
        <f>M6*$C$6</f>
        <v>673291.97622550745</v>
      </c>
      <c r="P6" s="369"/>
      <c r="Q6" s="369">
        <f>O6*$C$6</f>
        <v>690124.27563114511</v>
      </c>
      <c r="R6" s="369"/>
      <c r="S6" s="369">
        <f>Q6*$C$6</f>
        <v>707377.38252192363</v>
      </c>
      <c r="T6" s="369"/>
      <c r="U6" s="369">
        <f>S6*$C$6</f>
        <v>725061.8170849717</v>
      </c>
      <c r="V6" s="369"/>
      <c r="W6" s="369">
        <f>U6*$C$6</f>
        <v>743188.36251209595</v>
      </c>
      <c r="X6" s="369"/>
      <c r="Y6" s="369">
        <f>W6*$C$6</f>
        <v>761768.07157489832</v>
      </c>
      <c r="Z6" s="369"/>
      <c r="AA6" s="369">
        <f>Y6*$C$6</f>
        <v>780812.27336427069</v>
      </c>
      <c r="AB6" s="369"/>
      <c r="AC6" s="369">
        <f>AA6*$C$6</f>
        <v>800332.58019837737</v>
      </c>
      <c r="AD6" s="369"/>
      <c r="AE6" s="369">
        <f>AC6*$C$6</f>
        <v>820340.89470333676</v>
      </c>
      <c r="AF6" s="369"/>
      <c r="AG6" s="369">
        <f>AE6*$C$6</f>
        <v>840849.41707092011</v>
      </c>
    </row>
    <row r="7" spans="1:34" s="350" customFormat="1" ht="14.25">
      <c r="B7" s="350" t="s">
        <v>925</v>
      </c>
      <c r="C7" s="391">
        <f>IF(Application!$D$210="Special Needs",0.1,0.05)</f>
        <v>0.05</v>
      </c>
      <c r="E7" s="368">
        <f>-E6*$C$7</f>
        <v>-29754.600000000002</v>
      </c>
      <c r="F7" s="368"/>
      <c r="G7" s="368">
        <f>-G6*$C$7</f>
        <v>-30498.464999999997</v>
      </c>
      <c r="H7" s="368"/>
      <c r="I7" s="368">
        <f>-I6*$C$7</f>
        <v>-31260.926624999993</v>
      </c>
      <c r="J7" s="368"/>
      <c r="K7" s="368">
        <f>-K6*$C$7</f>
        <v>-32042.449790624989</v>
      </c>
      <c r="L7" s="368"/>
      <c r="M7" s="368">
        <f>-M6*$C$7</f>
        <v>-32843.511035390613</v>
      </c>
      <c r="N7" s="368"/>
      <c r="O7" s="368">
        <f>-O6*$C$7</f>
        <v>-33664.598811275377</v>
      </c>
      <c r="P7" s="368"/>
      <c r="Q7" s="368">
        <f>-Q6*$C$7</f>
        <v>-34506.213781557257</v>
      </c>
      <c r="R7" s="368"/>
      <c r="S7" s="368">
        <f>-S6*$C$7</f>
        <v>-35368.869126096186</v>
      </c>
      <c r="T7" s="368"/>
      <c r="U7" s="368">
        <f>-U6*$C$7</f>
        <v>-36253.090854248585</v>
      </c>
      <c r="V7" s="368"/>
      <c r="W7" s="368">
        <f>-W6*$C$7</f>
        <v>-37159.418125604796</v>
      </c>
      <c r="X7" s="368"/>
      <c r="Y7" s="368">
        <f>-Y6*$C$7</f>
        <v>-38088.403578744917</v>
      </c>
      <c r="Z7" s="368"/>
      <c r="AA7" s="368">
        <f>-AA6*$C$7</f>
        <v>-39040.613668213533</v>
      </c>
      <c r="AB7" s="368"/>
      <c r="AC7" s="368">
        <f>-AC6*$C$7</f>
        <v>-40016.62900991887</v>
      </c>
      <c r="AD7" s="368"/>
      <c r="AE7" s="368">
        <f>-AE6*$C$7</f>
        <v>-41017.044735166841</v>
      </c>
      <c r="AF7" s="368"/>
      <c r="AG7" s="368">
        <f>-AG6*$C$7</f>
        <v>-42042.470853546009</v>
      </c>
    </row>
    <row r="8" spans="1:34" s="350" customFormat="1" ht="14.25">
      <c r="A8" s="350" t="s">
        <v>307</v>
      </c>
      <c r="C8" s="390">
        <v>1.0249999999999999</v>
      </c>
      <c r="E8" s="369">
        <f>Application!Z797</f>
        <v>1000</v>
      </c>
      <c r="F8" s="369"/>
      <c r="G8" s="369">
        <f>E8*$C$8</f>
        <v>1025</v>
      </c>
      <c r="H8" s="369"/>
      <c r="I8" s="369">
        <f>G8*$C$8</f>
        <v>1050.625</v>
      </c>
      <c r="J8" s="369"/>
      <c r="K8" s="369">
        <f>I8*$C$8</f>
        <v>1076.890625</v>
      </c>
      <c r="L8" s="369"/>
      <c r="M8" s="369">
        <f>K8*$C$8</f>
        <v>1103.8128906249999</v>
      </c>
      <c r="N8" s="369"/>
      <c r="O8" s="369">
        <f>M8*$C$8</f>
        <v>1131.4082128906248</v>
      </c>
      <c r="P8" s="369"/>
      <c r="Q8" s="369">
        <f>O8*$C$8</f>
        <v>1159.6934182128903</v>
      </c>
      <c r="R8" s="369"/>
      <c r="S8" s="369">
        <f>Q8*$C$8</f>
        <v>1188.6857536682123</v>
      </c>
      <c r="T8" s="369"/>
      <c r="U8" s="369">
        <f>S8*$C$8</f>
        <v>1218.4028975099175</v>
      </c>
      <c r="V8" s="369"/>
      <c r="W8" s="369">
        <f>U8*$C$8</f>
        <v>1248.8629699476653</v>
      </c>
      <c r="X8" s="369"/>
      <c r="Y8" s="369">
        <f>W8*$C$8</f>
        <v>1280.0845441963568</v>
      </c>
      <c r="Z8" s="369"/>
      <c r="AA8" s="369">
        <f>Y8*$C$8</f>
        <v>1312.0866578012656</v>
      </c>
      <c r="AB8" s="369"/>
      <c r="AC8" s="369">
        <f>AA8*$C$8</f>
        <v>1344.8888242462972</v>
      </c>
      <c r="AD8" s="369"/>
      <c r="AE8" s="369">
        <f>AC8*$C$8</f>
        <v>1378.5110448524545</v>
      </c>
      <c r="AF8" s="369"/>
      <c r="AG8" s="369">
        <f>AE8*$C$8</f>
        <v>1412.9738209737657</v>
      </c>
    </row>
    <row r="9" spans="1:34" s="350" customFormat="1" ht="14.25">
      <c r="B9" s="350" t="s">
        <v>925</v>
      </c>
      <c r="C9" s="391">
        <f>IF(Application!$D$210="Special Needs",0.1,0.05)</f>
        <v>0.05</v>
      </c>
      <c r="E9" s="388">
        <f>-E8*$C$9</f>
        <v>-50</v>
      </c>
      <c r="F9" s="368"/>
      <c r="G9" s="388">
        <f>-G8*$C$9</f>
        <v>-51.25</v>
      </c>
      <c r="H9" s="368"/>
      <c r="I9" s="388">
        <f>-I8*$C$9</f>
        <v>-52.53125</v>
      </c>
      <c r="J9" s="368"/>
      <c r="K9" s="388">
        <f>-K8*$C$9</f>
        <v>-53.844531250000003</v>
      </c>
      <c r="L9" s="368"/>
      <c r="M9" s="388">
        <f>-M8*$C$9</f>
        <v>-55.190644531250001</v>
      </c>
      <c r="N9" s="368"/>
      <c r="O9" s="388">
        <f>-O8*$C$9</f>
        <v>-56.570410644531243</v>
      </c>
      <c r="P9" s="368"/>
      <c r="Q9" s="388">
        <f>-Q8*$C$9</f>
        <v>-57.984670910644518</v>
      </c>
      <c r="R9" s="368"/>
      <c r="S9" s="388">
        <f>-S8*$C$9</f>
        <v>-59.434287683410616</v>
      </c>
      <c r="T9" s="368"/>
      <c r="U9" s="388">
        <f>-U8*$C$9</f>
        <v>-60.920144875495879</v>
      </c>
      <c r="V9" s="368"/>
      <c r="W9" s="388">
        <f>-W8*$C$9</f>
        <v>-62.44314849738327</v>
      </c>
      <c r="X9" s="368"/>
      <c r="Y9" s="388">
        <f>-Y8*$C$9</f>
        <v>-64.004227209817842</v>
      </c>
      <c r="Z9" s="368"/>
      <c r="AA9" s="388">
        <f>-AA8*$C$9</f>
        <v>-65.604332890063276</v>
      </c>
      <c r="AB9" s="368"/>
      <c r="AC9" s="388">
        <f>-AC8*$C$9</f>
        <v>-67.244441212314868</v>
      </c>
      <c r="AD9" s="368"/>
      <c r="AE9" s="388">
        <f>-AE8*$C$9</f>
        <v>-68.925552242622729</v>
      </c>
      <c r="AF9" s="368"/>
      <c r="AG9" s="388">
        <f>-AG8*$C$9</f>
        <v>-70.648691048688292</v>
      </c>
    </row>
    <row r="10" spans="1:34" s="370" customFormat="1" ht="15">
      <c r="A10" s="370" t="s">
        <v>947</v>
      </c>
      <c r="C10" s="361"/>
      <c r="E10" s="370">
        <f>SUM(E4:E9)</f>
        <v>939227</v>
      </c>
      <c r="G10" s="370">
        <f>SUM(G4:G9)</f>
        <v>962707.67499999993</v>
      </c>
      <c r="I10" s="370">
        <f>SUM(I4:I9)</f>
        <v>986775.36687499972</v>
      </c>
      <c r="K10" s="370">
        <f>SUM(K4:K9)</f>
        <v>1011444.7510468747</v>
      </c>
      <c r="M10" s="370">
        <f>SUM(M4:M9)</f>
        <v>1036730.8698230464</v>
      </c>
      <c r="O10" s="370">
        <f>SUM(O4:O9)</f>
        <v>1062649.1415686223</v>
      </c>
      <c r="Q10" s="370">
        <f>SUM(Q4:Q9)</f>
        <v>1089215.370107838</v>
      </c>
      <c r="S10" s="370">
        <f>SUM(S4:S9)</f>
        <v>1116445.7543605338</v>
      </c>
      <c r="U10" s="370">
        <f>SUM(U4:U9)</f>
        <v>1144356.8982195472</v>
      </c>
      <c r="W10" s="370">
        <f>SUM(W4:W9)</f>
        <v>1172965.8206750357</v>
      </c>
      <c r="Y10" s="370">
        <f>SUM(Y4:Y9)</f>
        <v>1202289.9661919114</v>
      </c>
      <c r="AA10" s="370">
        <f>SUM(AA4:AA9)</f>
        <v>1232347.2153467091</v>
      </c>
      <c r="AC10" s="370">
        <f>SUM(AC4:AC9)</f>
        <v>1263155.8957303769</v>
      </c>
      <c r="AE10" s="370">
        <f>SUM(AE4:AE9)</f>
        <v>1294734.7931236359</v>
      </c>
      <c r="AG10" s="370">
        <f>SUM(AG4:AG9)</f>
        <v>1327103.1629517269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52440</v>
      </c>
      <c r="G14" s="366">
        <f>E14*$C$13</f>
        <v>54275.399999999994</v>
      </c>
      <c r="I14" s="366">
        <f>G14*$C$13</f>
        <v>56175.03899999999</v>
      </c>
      <c r="K14" s="366">
        <f>I14*$C$13</f>
        <v>58141.165364999986</v>
      </c>
      <c r="M14" s="366">
        <f>K14*$C$13</f>
        <v>60176.106152774984</v>
      </c>
      <c r="O14" s="366">
        <f>M14*$C$13</f>
        <v>62282.269868122101</v>
      </c>
      <c r="Q14" s="366">
        <f>O14*$C$13</f>
        <v>64462.149313506372</v>
      </c>
      <c r="S14" s="366">
        <f>Q14*$C$13</f>
        <v>66718.324539479087</v>
      </c>
      <c r="U14" s="366">
        <f>S14*$C$13</f>
        <v>69053.465898360853</v>
      </c>
      <c r="W14" s="366">
        <f>U14*$C$13</f>
        <v>71470.33720480348</v>
      </c>
      <c r="Y14" s="366">
        <f>W14*$C$13</f>
        <v>73971.799006971589</v>
      </c>
      <c r="AA14" s="366">
        <f>Y14*$C$13</f>
        <v>76560.811972215583</v>
      </c>
      <c r="AC14" s="366">
        <f>AA14*$C$13</f>
        <v>79240.440391243115</v>
      </c>
      <c r="AE14" s="366">
        <f>AC14*$C$13</f>
        <v>82013.855804936611</v>
      </c>
      <c r="AG14" s="366">
        <f>AE14*$C$13</f>
        <v>84884.340758109392</v>
      </c>
    </row>
    <row r="15" spans="1:34" s="350" customFormat="1" ht="14.25">
      <c r="A15" s="350" t="s">
        <v>368</v>
      </c>
      <c r="C15" s="380"/>
      <c r="E15" s="369">
        <f>Application!W829</f>
        <v>51840</v>
      </c>
      <c r="F15" s="369"/>
      <c r="G15" s="369">
        <f t="shared" ref="G15:AG20" si="0">E15*$C$13</f>
        <v>53654.399999999994</v>
      </c>
      <c r="H15" s="369"/>
      <c r="I15" s="369">
        <f t="shared" si="0"/>
        <v>55532.303999999989</v>
      </c>
      <c r="J15" s="369"/>
      <c r="K15" s="369">
        <f t="shared" si="0"/>
        <v>57475.934639999985</v>
      </c>
      <c r="L15" s="369"/>
      <c r="M15" s="369">
        <f t="shared" si="0"/>
        <v>59487.592352399981</v>
      </c>
      <c r="N15" s="369"/>
      <c r="O15" s="369">
        <f t="shared" si="0"/>
        <v>61569.658084733972</v>
      </c>
      <c r="P15" s="369"/>
      <c r="Q15" s="369">
        <f t="shared" si="0"/>
        <v>63724.596117699657</v>
      </c>
      <c r="R15" s="369"/>
      <c r="S15" s="369">
        <f t="shared" si="0"/>
        <v>65954.956981819138</v>
      </c>
      <c r="T15" s="369"/>
      <c r="U15" s="369">
        <f t="shared" si="0"/>
        <v>68263.380476182807</v>
      </c>
      <c r="V15" s="369"/>
      <c r="W15" s="369">
        <f t="shared" si="0"/>
        <v>70652.598792849196</v>
      </c>
      <c r="X15" s="369"/>
      <c r="Y15" s="369">
        <f t="shared" si="0"/>
        <v>73125.439750598918</v>
      </c>
      <c r="Z15" s="369"/>
      <c r="AA15" s="369">
        <f t="shared" si="0"/>
        <v>75684.830141869868</v>
      </c>
      <c r="AB15" s="369"/>
      <c r="AC15" s="369">
        <f t="shared" si="0"/>
        <v>78333.799196835302</v>
      </c>
      <c r="AD15" s="369"/>
      <c r="AE15" s="369">
        <f t="shared" si="0"/>
        <v>81075.482168724528</v>
      </c>
      <c r="AF15" s="369"/>
      <c r="AG15" s="369">
        <f t="shared" si="0"/>
        <v>83913.124044629876</v>
      </c>
    </row>
    <row r="16" spans="1:34" s="350" customFormat="1" ht="14.25">
      <c r="A16" s="350" t="s">
        <v>610</v>
      </c>
      <c r="C16" s="380"/>
      <c r="E16" s="369">
        <f>Application!W835</f>
        <v>51000</v>
      </c>
      <c r="F16" s="369"/>
      <c r="G16" s="369">
        <f t="shared" si="0"/>
        <v>52784.999999999993</v>
      </c>
      <c r="H16" s="369"/>
      <c r="I16" s="369">
        <f t="shared" si="0"/>
        <v>54632.474999999991</v>
      </c>
      <c r="J16" s="369"/>
      <c r="K16" s="369">
        <f t="shared" si="0"/>
        <v>56544.611624999983</v>
      </c>
      <c r="L16" s="369"/>
      <c r="M16" s="369">
        <f t="shared" si="0"/>
        <v>58523.673031874976</v>
      </c>
      <c r="N16" s="369"/>
      <c r="O16" s="369">
        <f t="shared" si="0"/>
        <v>60572.001587990599</v>
      </c>
      <c r="P16" s="369"/>
      <c r="Q16" s="369">
        <f t="shared" si="0"/>
        <v>62692.021643570268</v>
      </c>
      <c r="R16" s="369"/>
      <c r="S16" s="369">
        <f t="shared" si="0"/>
        <v>64886.242401095224</v>
      </c>
      <c r="T16" s="369"/>
      <c r="U16" s="369">
        <f t="shared" si="0"/>
        <v>67157.260885133554</v>
      </c>
      <c r="V16" s="369"/>
      <c r="W16" s="369">
        <f t="shared" si="0"/>
        <v>69507.765016113219</v>
      </c>
      <c r="X16" s="369"/>
      <c r="Y16" s="369">
        <f t="shared" si="0"/>
        <v>71940.536791677179</v>
      </c>
      <c r="Z16" s="369"/>
      <c r="AA16" s="369">
        <f t="shared" si="0"/>
        <v>74458.455579385874</v>
      </c>
      <c r="AB16" s="369"/>
      <c r="AC16" s="369">
        <f t="shared" si="0"/>
        <v>77064.501524664374</v>
      </c>
      <c r="AD16" s="369"/>
      <c r="AE16" s="369">
        <f t="shared" si="0"/>
        <v>79761.759078027622</v>
      </c>
      <c r="AF16" s="369"/>
      <c r="AG16" s="369">
        <f t="shared" si="0"/>
        <v>82553.420645758582</v>
      </c>
    </row>
    <row r="17" spans="1:33" s="350" customFormat="1" ht="14.25">
      <c r="A17" s="350" t="s">
        <v>929</v>
      </c>
      <c r="C17" s="380"/>
      <c r="E17" s="369">
        <f>Application!W840</f>
        <v>129875</v>
      </c>
      <c r="F17" s="369"/>
      <c r="G17" s="369">
        <f t="shared" si="0"/>
        <v>134420.625</v>
      </c>
      <c r="H17" s="369"/>
      <c r="I17" s="369">
        <f t="shared" si="0"/>
        <v>139125.34687499999</v>
      </c>
      <c r="J17" s="369"/>
      <c r="K17" s="369">
        <f t="shared" si="0"/>
        <v>143994.73401562497</v>
      </c>
      <c r="L17" s="369"/>
      <c r="M17" s="369">
        <f t="shared" si="0"/>
        <v>149034.54970617182</v>
      </c>
      <c r="N17" s="369"/>
      <c r="O17" s="369">
        <f t="shared" si="0"/>
        <v>154250.75894588782</v>
      </c>
      <c r="P17" s="369"/>
      <c r="Q17" s="369">
        <f t="shared" si="0"/>
        <v>159649.5355089939</v>
      </c>
      <c r="R17" s="369"/>
      <c r="S17" s="369">
        <f t="shared" si="0"/>
        <v>165237.26925180867</v>
      </c>
      <c r="T17" s="369"/>
      <c r="U17" s="369">
        <f t="shared" si="0"/>
        <v>171020.57367562197</v>
      </c>
      <c r="V17" s="369"/>
      <c r="W17" s="369">
        <f t="shared" si="0"/>
        <v>177006.29375426873</v>
      </c>
      <c r="X17" s="369"/>
      <c r="Y17" s="369">
        <f t="shared" si="0"/>
        <v>183201.51403566811</v>
      </c>
      <c r="Z17" s="369"/>
      <c r="AA17" s="369">
        <f t="shared" si="0"/>
        <v>189613.56702691648</v>
      </c>
      <c r="AB17" s="369"/>
      <c r="AC17" s="369">
        <f t="shared" si="0"/>
        <v>196250.04187285854</v>
      </c>
      <c r="AD17" s="369"/>
      <c r="AE17" s="369">
        <f t="shared" si="0"/>
        <v>203118.79333840858</v>
      </c>
      <c r="AF17" s="369"/>
      <c r="AG17" s="369">
        <f t="shared" si="0"/>
        <v>210227.95110525287</v>
      </c>
    </row>
    <row r="18" spans="1:33" s="350" customFormat="1" ht="14.25">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25">
      <c r="A19" s="350" t="s">
        <v>423</v>
      </c>
      <c r="C19" s="380"/>
      <c r="E19" s="369">
        <f>Application!W850</f>
        <v>68700</v>
      </c>
      <c r="F19" s="369"/>
      <c r="G19" s="369">
        <f t="shared" si="0"/>
        <v>71104.5</v>
      </c>
      <c r="H19" s="369"/>
      <c r="I19" s="369">
        <f t="shared" si="0"/>
        <v>73593.157500000001</v>
      </c>
      <c r="J19" s="369"/>
      <c r="K19" s="369">
        <f t="shared" si="0"/>
        <v>76168.918012499998</v>
      </c>
      <c r="L19" s="369"/>
      <c r="M19" s="369">
        <f t="shared" si="0"/>
        <v>78834.830142937499</v>
      </c>
      <c r="N19" s="369"/>
      <c r="O19" s="369">
        <f t="shared" si="0"/>
        <v>81594.049197940301</v>
      </c>
      <c r="P19" s="369"/>
      <c r="Q19" s="369">
        <f t="shared" si="0"/>
        <v>84449.840919868206</v>
      </c>
      <c r="R19" s="369"/>
      <c r="S19" s="369">
        <f t="shared" si="0"/>
        <v>87405.585352063586</v>
      </c>
      <c r="T19" s="369"/>
      <c r="U19" s="369">
        <f t="shared" si="0"/>
        <v>90464.780839385799</v>
      </c>
      <c r="V19" s="369"/>
      <c r="W19" s="369">
        <f t="shared" si="0"/>
        <v>93631.04816876429</v>
      </c>
      <c r="X19" s="369"/>
      <c r="Y19" s="369">
        <f t="shared" si="0"/>
        <v>96908.134854671036</v>
      </c>
      <c r="Z19" s="369"/>
      <c r="AA19" s="369">
        <f t="shared" si="0"/>
        <v>100299.91957458452</v>
      </c>
      <c r="AB19" s="369"/>
      <c r="AC19" s="369">
        <f t="shared" si="0"/>
        <v>103810.41675969497</v>
      </c>
      <c r="AD19" s="369"/>
      <c r="AE19" s="369">
        <f t="shared" si="0"/>
        <v>107443.78134628429</v>
      </c>
      <c r="AF19" s="369"/>
      <c r="AG19" s="369">
        <f t="shared" si="0"/>
        <v>111204.31369340423</v>
      </c>
    </row>
    <row r="20" spans="1:33" s="350" customFormat="1" ht="14.25">
      <c r="A20" s="373" t="s">
        <v>1779</v>
      </c>
      <c r="B20" s="373"/>
      <c r="C20" s="380"/>
      <c r="E20" s="379">
        <f>Application!W857</f>
        <v>9800</v>
      </c>
      <c r="F20" s="369"/>
      <c r="G20" s="379">
        <f t="shared" si="0"/>
        <v>10143</v>
      </c>
      <c r="H20" s="369"/>
      <c r="I20" s="379">
        <f t="shared" si="0"/>
        <v>10498.004999999999</v>
      </c>
      <c r="J20" s="369"/>
      <c r="K20" s="379">
        <f t="shared" si="0"/>
        <v>10865.435174999999</v>
      </c>
      <c r="L20" s="369"/>
      <c r="M20" s="379">
        <f t="shared" si="0"/>
        <v>11245.725406124999</v>
      </c>
      <c r="N20" s="369"/>
      <c r="O20" s="379">
        <f t="shared" si="0"/>
        <v>11639.325795339373</v>
      </c>
      <c r="P20" s="369"/>
      <c r="Q20" s="379">
        <f t="shared" si="0"/>
        <v>12046.70219817625</v>
      </c>
      <c r="R20" s="369"/>
      <c r="S20" s="379">
        <f t="shared" si="0"/>
        <v>12468.336775112417</v>
      </c>
      <c r="T20" s="369"/>
      <c r="U20" s="379">
        <f t="shared" si="0"/>
        <v>12904.728562241351</v>
      </c>
      <c r="V20" s="369"/>
      <c r="W20" s="379">
        <f t="shared" si="0"/>
        <v>13356.394061919797</v>
      </c>
      <c r="X20" s="369"/>
      <c r="Y20" s="379">
        <f t="shared" si="0"/>
        <v>13823.867854086988</v>
      </c>
      <c r="Z20" s="369"/>
      <c r="AA20" s="379">
        <f t="shared" si="0"/>
        <v>14307.703228980032</v>
      </c>
      <c r="AB20" s="369"/>
      <c r="AC20" s="379">
        <f t="shared" si="0"/>
        <v>14808.472841994331</v>
      </c>
      <c r="AD20" s="369"/>
      <c r="AE20" s="379">
        <f t="shared" si="0"/>
        <v>15326.769391464131</v>
      </c>
      <c r="AF20" s="369"/>
      <c r="AG20" s="379">
        <f t="shared" si="0"/>
        <v>15863.206320165375</v>
      </c>
    </row>
    <row r="21" spans="1:33" s="370" customFormat="1" ht="15">
      <c r="A21" s="370" t="s">
        <v>930</v>
      </c>
      <c r="C21" s="380"/>
      <c r="E21" s="370">
        <f>SUM(E14:E20)</f>
        <v>393655</v>
      </c>
      <c r="G21" s="370">
        <f>SUM(G14:G20)</f>
        <v>407432.92499999999</v>
      </c>
      <c r="I21" s="370">
        <f>SUM(I14:I20)</f>
        <v>421693.07737499999</v>
      </c>
      <c r="K21" s="370">
        <f>SUM(K14:K20)</f>
        <v>436452.33508312487</v>
      </c>
      <c r="M21" s="370">
        <f>SUM(M14:M20)</f>
        <v>451728.1668110342</v>
      </c>
      <c r="O21" s="370">
        <f>SUM(O14:O20)</f>
        <v>467538.65264942037</v>
      </c>
      <c r="Q21" s="370">
        <f>SUM(Q14:Q20)</f>
        <v>483902.50549215009</v>
      </c>
      <c r="S21" s="370">
        <f>SUM(S14:S20)</f>
        <v>500839.09318437526</v>
      </c>
      <c r="U21" s="370">
        <f>SUM(U14:U20)</f>
        <v>518368.46144582843</v>
      </c>
      <c r="W21" s="370">
        <f>SUM(W14:W20)</f>
        <v>536511.35759643232</v>
      </c>
      <c r="Y21" s="370">
        <f>SUM(Y14:Y20)</f>
        <v>555289.2551123075</v>
      </c>
      <c r="AA21" s="370">
        <f>SUM(AA14:AA20)</f>
        <v>574724.37904123822</v>
      </c>
      <c r="AC21" s="370">
        <f>SUM(AC14:AC20)</f>
        <v>594839.73230768146</v>
      </c>
      <c r="AE21" s="370">
        <f>SUM(AE14:AE20)</f>
        <v>615659.12293845031</v>
      </c>
      <c r="AG21" s="370">
        <f>SUM(AG14:AG20)</f>
        <v>637207.19224129594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61261</v>
      </c>
      <c r="F24" s="369"/>
      <c r="G24" s="369">
        <f>E24*$C$24</f>
        <v>63405.134999999995</v>
      </c>
      <c r="H24" s="369"/>
      <c r="I24" s="369">
        <f>G24*$C$24</f>
        <v>65624.314724999989</v>
      </c>
      <c r="J24" s="369"/>
      <c r="K24" s="369">
        <f>I24*$C$24</f>
        <v>67921.165740374985</v>
      </c>
      <c r="L24" s="369"/>
      <c r="M24" s="369">
        <f>K24*$C$24</f>
        <v>70298.406541288103</v>
      </c>
      <c r="N24" s="369"/>
      <c r="O24" s="369">
        <f>M24*$C$24</f>
        <v>72758.850770233184</v>
      </c>
      <c r="P24" s="369"/>
      <c r="Q24" s="369">
        <f>O24*$C$24</f>
        <v>75305.410547191335</v>
      </c>
      <c r="R24" s="369"/>
      <c r="S24" s="369">
        <f>Q24*$C$24</f>
        <v>77941.099916343024</v>
      </c>
      <c r="T24" s="369"/>
      <c r="U24" s="369">
        <f>S24*$C$24</f>
        <v>80669.038413415023</v>
      </c>
      <c r="V24" s="369"/>
      <c r="W24" s="369">
        <f>U24*$C$24</f>
        <v>83492.454757884538</v>
      </c>
      <c r="X24" s="369"/>
      <c r="Y24" s="369">
        <f>W24*$C$24</f>
        <v>86414.690674410493</v>
      </c>
      <c r="Z24" s="369"/>
      <c r="AA24" s="369">
        <f>Y24*$C$24</f>
        <v>89439.204848014851</v>
      </c>
      <c r="AB24" s="369"/>
      <c r="AC24" s="369">
        <f>AA24*$C$24</f>
        <v>92569.577017695367</v>
      </c>
      <c r="AD24" s="369"/>
      <c r="AE24" s="369">
        <f>AC24*$C$24</f>
        <v>95809.512213314694</v>
      </c>
      <c r="AF24" s="369"/>
      <c r="AG24" s="369">
        <f>AE24*$C$24</f>
        <v>99162.845140780701</v>
      </c>
    </row>
    <row r="25" spans="1:33" s="350" customFormat="1" ht="14.25">
      <c r="A25" s="350" t="s">
        <v>933</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931</v>
      </c>
      <c r="C26" s="390">
        <v>1.02</v>
      </c>
      <c r="E26" s="369">
        <f>Application!AC868</f>
        <v>1000</v>
      </c>
      <c r="F26" s="369"/>
      <c r="G26" s="369">
        <f>E26*$C$26</f>
        <v>1020</v>
      </c>
      <c r="H26" s="369"/>
      <c r="I26" s="369">
        <f>G26*$C$26</f>
        <v>1040.4000000000001</v>
      </c>
      <c r="J26" s="369"/>
      <c r="K26" s="369">
        <f>I26*$C$26</f>
        <v>1061.2080000000001</v>
      </c>
      <c r="L26" s="369"/>
      <c r="M26" s="369">
        <f>K26*$C$26</f>
        <v>1082.4321600000001</v>
      </c>
      <c r="N26" s="369"/>
      <c r="O26" s="369">
        <f>M26*$C$26</f>
        <v>1104.0808032</v>
      </c>
      <c r="P26" s="369"/>
      <c r="Q26" s="369">
        <f>O26*$C$26</f>
        <v>1126.1624192639999</v>
      </c>
      <c r="R26" s="369"/>
      <c r="S26" s="369">
        <f>Q26*$C$26</f>
        <v>1148.68566764928</v>
      </c>
      <c r="T26" s="369"/>
      <c r="U26" s="369">
        <f>S26*$C$26</f>
        <v>1171.6593810022657</v>
      </c>
      <c r="V26" s="369"/>
      <c r="W26" s="369">
        <f>U26*$C$26</f>
        <v>1195.0925686223111</v>
      </c>
      <c r="X26" s="369"/>
      <c r="Y26" s="369">
        <f>W26*$C$26</f>
        <v>1218.9944199947574</v>
      </c>
      <c r="Z26" s="369"/>
      <c r="AA26" s="369">
        <f>Y26*$C$26</f>
        <v>1243.3743083946526</v>
      </c>
      <c r="AB26" s="369"/>
      <c r="AC26" s="369">
        <f>AA26*$C$26</f>
        <v>1268.2417945625457</v>
      </c>
      <c r="AD26" s="369"/>
      <c r="AE26" s="369">
        <f>AC26*$C$26</f>
        <v>1293.6066304537967</v>
      </c>
      <c r="AF26" s="369"/>
      <c r="AG26" s="369">
        <f>AE26*$C$26</f>
        <v>1319.4787630628728</v>
      </c>
    </row>
    <row r="27" spans="1:33" s="350" customFormat="1" ht="14.25">
      <c r="A27" s="373" t="str">
        <f>Application!E869</f>
        <v>Other: Below the line Resident Services expense</v>
      </c>
      <c r="B27" s="373"/>
      <c r="C27" s="509">
        <v>1.0349999999999999</v>
      </c>
      <c r="E27" s="369">
        <f>Application!AC869</f>
        <v>18739</v>
      </c>
      <c r="F27" s="369"/>
      <c r="G27" s="369">
        <f>E27*$C$27</f>
        <v>19394.864999999998</v>
      </c>
      <c r="H27" s="369"/>
      <c r="I27" s="369">
        <f>G27*$C$27</f>
        <v>20073.685274999996</v>
      </c>
      <c r="J27" s="369"/>
      <c r="K27" s="369">
        <f>I27*$C$27</f>
        <v>20776.264259624993</v>
      </c>
      <c r="L27" s="369"/>
      <c r="M27" s="369">
        <f>K27*$C$27</f>
        <v>21503.433508711867</v>
      </c>
      <c r="N27" s="369"/>
      <c r="O27" s="369">
        <f>M27*$C$27</f>
        <v>22256.05368151678</v>
      </c>
      <c r="P27" s="369"/>
      <c r="Q27" s="369">
        <f>O27*$C$27</f>
        <v>23035.015560369866</v>
      </c>
      <c r="R27" s="369"/>
      <c r="S27" s="369">
        <f>Q27*$C$27</f>
        <v>23841.241104982808</v>
      </c>
      <c r="T27" s="369"/>
      <c r="U27" s="369">
        <f>S27*$C$27</f>
        <v>24675.684543657204</v>
      </c>
      <c r="V27" s="369"/>
      <c r="W27" s="369">
        <f>U27*$C$27</f>
        <v>25539.333502685204</v>
      </c>
      <c r="X27" s="369"/>
      <c r="Y27" s="369">
        <f>W27*$C$27</f>
        <v>26433.210175279182</v>
      </c>
      <c r="Z27" s="369"/>
      <c r="AA27" s="369">
        <f>Y27*$C$27</f>
        <v>27358.372531413952</v>
      </c>
      <c r="AB27" s="369"/>
      <c r="AC27" s="369">
        <f>AA27*$C$27</f>
        <v>28315.91557001344</v>
      </c>
      <c r="AD27" s="369"/>
      <c r="AE27" s="369">
        <f>AC27*$C$27</f>
        <v>29306.972614963906</v>
      </c>
      <c r="AF27" s="369"/>
      <c r="AG27" s="369">
        <f>AE27*$C$27</f>
        <v>30332.716656487642</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504655</v>
      </c>
      <c r="G30" s="370">
        <f>SUM(G21:G28)</f>
        <v>521252.92499999999</v>
      </c>
      <c r="I30" s="370">
        <f>SUM(I21:I28)</f>
        <v>538431.47737500002</v>
      </c>
      <c r="K30" s="370">
        <f>SUM(K21:K28)</f>
        <v>556210.97308312485</v>
      </c>
      <c r="M30" s="370">
        <f>SUM(M21:M28)</f>
        <v>574612.43902103417</v>
      </c>
      <c r="O30" s="370">
        <f>SUM(O21:O28)</f>
        <v>593657.63790437032</v>
      </c>
      <c r="Q30" s="370">
        <f>SUM(Q21:Q28)</f>
        <v>613369.09401897516</v>
      </c>
      <c r="S30" s="370">
        <f>SUM(S21:S28)</f>
        <v>633770.11987335037</v>
      </c>
      <c r="U30" s="370">
        <f>SUM(U21:U28)</f>
        <v>654884.84378390294</v>
      </c>
      <c r="W30" s="370">
        <f>SUM(W21:W28)</f>
        <v>676738.23842562432</v>
      </c>
      <c r="Y30" s="370">
        <f>SUM(Y21:Y28)</f>
        <v>699356.15038199199</v>
      </c>
      <c r="AA30" s="370">
        <f>SUM(AA21:AA28)</f>
        <v>722765.33072906162</v>
      </c>
      <c r="AC30" s="370">
        <f>SUM(AC21:AC28)</f>
        <v>746993.46668995288</v>
      </c>
      <c r="AE30" s="370">
        <f>SUM(AE21:AE28)</f>
        <v>772069.21439718269</v>
      </c>
      <c r="AG30" s="370">
        <f>SUM(AG21:AG28)</f>
        <v>798022.23280162713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434572</v>
      </c>
      <c r="G32" s="370">
        <f>G10-G30</f>
        <v>441454.74999999994</v>
      </c>
      <c r="I32" s="370">
        <f>I10-I30</f>
        <v>448343.8894999997</v>
      </c>
      <c r="K32" s="370">
        <f>K10-K30</f>
        <v>455233.77796374983</v>
      </c>
      <c r="M32" s="370">
        <f>M10-M30</f>
        <v>462118.43080201221</v>
      </c>
      <c r="O32" s="370">
        <f>O10-O30</f>
        <v>468991.503664252</v>
      </c>
      <c r="Q32" s="370">
        <f>Q10-Q30</f>
        <v>475846.2760888628</v>
      </c>
      <c r="S32" s="370">
        <f>S10-S30</f>
        <v>482675.63448718342</v>
      </c>
      <c r="U32" s="370">
        <f>U10-U30</f>
        <v>489472.0544356443</v>
      </c>
      <c r="W32" s="370">
        <f>W10-W30</f>
        <v>496227.58224941138</v>
      </c>
      <c r="Y32" s="370">
        <f>Y10-Y30</f>
        <v>502933.81580991938</v>
      </c>
      <c r="AA32" s="370">
        <f>AA10-AA30</f>
        <v>509581.88461764751</v>
      </c>
      <c r="AC32" s="370">
        <f>AC10-AC30</f>
        <v>516162.42904042406</v>
      </c>
      <c r="AE32" s="370">
        <f>AE10-AE30</f>
        <v>522665.57872645324</v>
      </c>
      <c r="AG32" s="370">
        <f>AG10-AG30</f>
        <v>529080.9301500998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Perm Loan</v>
      </c>
      <c r="B35" s="373"/>
      <c r="C35" s="367"/>
      <c r="E35" s="369">
        <f>Application!AB618</f>
        <v>330221.30122736219</v>
      </c>
      <c r="F35" s="369"/>
      <c r="G35" s="369">
        <f>$E$35</f>
        <v>330221.30122736219</v>
      </c>
      <c r="H35" s="369"/>
      <c r="I35" s="369">
        <f>$E$35</f>
        <v>330221.30122736219</v>
      </c>
      <c r="J35" s="369"/>
      <c r="K35" s="369">
        <f>$E$35</f>
        <v>330221.30122736219</v>
      </c>
      <c r="L35" s="369"/>
      <c r="M35" s="369">
        <f>$E$35</f>
        <v>330221.30122736219</v>
      </c>
      <c r="N35" s="369"/>
      <c r="O35" s="369">
        <f>$E$35</f>
        <v>330221.30122736219</v>
      </c>
      <c r="P35" s="369"/>
      <c r="Q35" s="369">
        <f>$E$35</f>
        <v>330221.30122736219</v>
      </c>
      <c r="R35" s="369"/>
      <c r="S35" s="369">
        <f>$E$35</f>
        <v>330221.30122736219</v>
      </c>
      <c r="T35" s="369"/>
      <c r="U35" s="369">
        <f>$E$35</f>
        <v>330221.30122736219</v>
      </c>
      <c r="V35" s="369"/>
      <c r="W35" s="369">
        <f>$E$35</f>
        <v>330221.30122736219</v>
      </c>
      <c r="X35" s="369"/>
      <c r="Y35" s="369">
        <f>$E$35</f>
        <v>330221.30122736219</v>
      </c>
      <c r="Z35" s="369"/>
      <c r="AA35" s="369">
        <f>$E$35</f>
        <v>330221.30122736219</v>
      </c>
      <c r="AB35" s="369"/>
      <c r="AC35" s="369">
        <f>$E$35</f>
        <v>330221.30122736219</v>
      </c>
      <c r="AD35" s="369"/>
      <c r="AE35" s="369">
        <f>$E$35</f>
        <v>330221.30122736219</v>
      </c>
      <c r="AF35" s="369"/>
      <c r="AG35" s="369">
        <f>$E$35</f>
        <v>330221.30122736219</v>
      </c>
    </row>
    <row r="36" spans="1:35" s="350" customFormat="1" ht="14.25">
      <c r="A36" s="372" t="s">
        <v>1769</v>
      </c>
      <c r="B36" s="373"/>
      <c r="C36" s="367"/>
      <c r="E36" s="369">
        <f>Application!AB619</f>
        <v>47624.614799999996</v>
      </c>
      <c r="F36" s="369"/>
      <c r="G36" s="369">
        <f>$E$36</f>
        <v>47624.614799999996</v>
      </c>
      <c r="H36" s="369"/>
      <c r="I36" s="369">
        <f>$E$36</f>
        <v>47624.614799999996</v>
      </c>
      <c r="J36" s="369"/>
      <c r="K36" s="369">
        <f>$E$36</f>
        <v>47624.614799999996</v>
      </c>
      <c r="L36" s="369"/>
      <c r="M36" s="369">
        <f>$E$36</f>
        <v>47624.614799999996</v>
      </c>
      <c r="N36" s="369"/>
      <c r="O36" s="369">
        <f>$E$36</f>
        <v>47624.614799999996</v>
      </c>
      <c r="P36" s="369"/>
      <c r="Q36" s="369">
        <f>$E$36</f>
        <v>47624.614799999996</v>
      </c>
      <c r="R36" s="369"/>
      <c r="S36" s="369">
        <f>$E$36</f>
        <v>47624.614799999996</v>
      </c>
      <c r="T36" s="369"/>
      <c r="U36" s="369">
        <f>$E$36</f>
        <v>47624.614799999996</v>
      </c>
      <c r="V36" s="369"/>
      <c r="W36" s="369">
        <f>$E$36</f>
        <v>47624.614799999996</v>
      </c>
      <c r="X36" s="369"/>
      <c r="Y36" s="369">
        <f>$E$36</f>
        <v>47624.614799999996</v>
      </c>
      <c r="Z36" s="369"/>
      <c r="AA36" s="369">
        <f>$E$36</f>
        <v>47624.614799999996</v>
      </c>
      <c r="AB36" s="369"/>
      <c r="AC36" s="369">
        <f>$E$36</f>
        <v>47624.614799999996</v>
      </c>
      <c r="AD36" s="369"/>
      <c r="AE36" s="369">
        <f>$E$36</f>
        <v>47624.614799999996</v>
      </c>
      <c r="AF36" s="369"/>
      <c r="AG36" s="369">
        <f>$E$36</f>
        <v>47624.614799999996</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377845.91602736217</v>
      </c>
      <c r="G38" s="370">
        <f>SUM(G35:G37)</f>
        <v>377845.91602736217</v>
      </c>
      <c r="I38" s="370">
        <f>SUM(I35:I37)</f>
        <v>377845.91602736217</v>
      </c>
      <c r="K38" s="370">
        <f>SUM(K35:K37)</f>
        <v>377845.91602736217</v>
      </c>
      <c r="M38" s="370">
        <f>SUM(M35:M37)</f>
        <v>377845.91602736217</v>
      </c>
      <c r="O38" s="370">
        <f>SUM(O35:O37)</f>
        <v>377845.91602736217</v>
      </c>
      <c r="Q38" s="370">
        <f>SUM(Q35:Q37)</f>
        <v>377845.91602736217</v>
      </c>
      <c r="S38" s="370">
        <f>SUM(S35:S37)</f>
        <v>377845.91602736217</v>
      </c>
      <c r="U38" s="370">
        <f>SUM(U35:U37)</f>
        <v>377845.91602736217</v>
      </c>
      <c r="W38" s="370">
        <f>SUM(W35:W37)</f>
        <v>377845.91602736217</v>
      </c>
      <c r="Y38" s="370">
        <f>SUM(Y35:Y37)</f>
        <v>377845.91602736217</v>
      </c>
      <c r="AA38" s="370">
        <f>SUM(AA35:AA37)</f>
        <v>377845.91602736217</v>
      </c>
      <c r="AC38" s="370">
        <f>SUM(AC35:AC37)</f>
        <v>377845.91602736217</v>
      </c>
      <c r="AE38" s="370">
        <f>SUM(AE35:AE37)</f>
        <v>377845.91602736217</v>
      </c>
      <c r="AG38" s="370">
        <f>SUM(AG35:AG37)</f>
        <v>377845.91602736217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56726.083972637833</v>
      </c>
      <c r="G40" s="370">
        <f>G32-G38</f>
        <v>63608.833972637774</v>
      </c>
      <c r="I40" s="370">
        <f>I32-I38</f>
        <v>70497.973472637532</v>
      </c>
      <c r="K40" s="370">
        <f>K32-K38</f>
        <v>77387.861936387664</v>
      </c>
      <c r="M40" s="370">
        <f>M32-M38</f>
        <v>84272.514774650044</v>
      </c>
      <c r="O40" s="370">
        <f>O32-O38</f>
        <v>91145.587636889832</v>
      </c>
      <c r="Q40" s="370">
        <f>Q32-Q38</f>
        <v>98000.360061500629</v>
      </c>
      <c r="S40" s="370">
        <f>S32-S38</f>
        <v>104829.71845982125</v>
      </c>
      <c r="U40" s="370">
        <f>U32-U38</f>
        <v>111626.13840828213</v>
      </c>
      <c r="W40" s="370">
        <f>W32-W38</f>
        <v>118381.66622204921</v>
      </c>
      <c r="Y40" s="370">
        <f>Y32-Y38</f>
        <v>125087.89978255722</v>
      </c>
      <c r="AA40" s="370">
        <f>AA32-AA38</f>
        <v>131735.96859028534</v>
      </c>
      <c r="AC40" s="370">
        <f>AC32-AC38</f>
        <v>138316.51301306189</v>
      </c>
      <c r="AE40" s="370">
        <f>AE32-AE38</f>
        <v>144819.66269909107</v>
      </c>
      <c r="AG40" s="370">
        <f>AG32-AG38</f>
        <v>151235.01412273763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5.7376736160700173E-2</v>
      </c>
      <c r="G42" s="374">
        <f>G40/(G4+G6+G8)</f>
        <v>6.276920174548925E-2</v>
      </c>
      <c r="I42" s="374">
        <f>I40/(I4+I6+I8)</f>
        <v>6.7870639101076685E-2</v>
      </c>
      <c r="K42" s="374">
        <f>K40/(K4+K6+K8)</f>
        <v>7.2686588924876547E-2</v>
      </c>
      <c r="M42" s="374">
        <f>M40/(M4+M6+M8)</f>
        <v>7.7222441586582952E-2</v>
      </c>
      <c r="O42" s="374">
        <f>O40/(O4+O6+O8)</f>
        <v>8.1483440646485245E-2</v>
      </c>
      <c r="Q42" s="374">
        <f>Q40/(Q4+Q6+Q8)</f>
        <v>8.5474686286522161E-2</v>
      </c>
      <c r="S42" s="374">
        <f>S40/(S4+S6+S8)</f>
        <v>8.9201138656191406E-2</v>
      </c>
      <c r="U42" s="374">
        <f>U40/(U4+U6+U8)</f>
        <v>9.2667621135380379E-2</v>
      </c>
      <c r="W42" s="374">
        <f>W40/(W4+W6+W8)</f>
        <v>9.5878823516123535E-2</v>
      </c>
      <c r="Y42" s="374">
        <f>Y40/(Y4+Y6+Y8)</f>
        <v>9.8839305105255237E-2</v>
      </c>
      <c r="AA42" s="374">
        <f>AA40/(AA4+AA6+AA8)</f>
        <v>0.10155349774987039</v>
      </c>
      <c r="AC42" s="374">
        <f>AC40/(AC4+AC6+AC8)</f>
        <v>0.10402570878745795</v>
      </c>
      <c r="AE42" s="374">
        <f>AE40/(AE4+AE6+AE8)</f>
        <v>0.10626012392253595</v>
      </c>
      <c r="AG42" s="374">
        <f>AG40/(AG4+AG6+AG8)</f>
        <v>0.10826081003156106</v>
      </c>
    </row>
    <row r="43" spans="1:35" s="374" customFormat="1" ht="14.25">
      <c r="A43" s="374" t="s">
        <v>939</v>
      </c>
      <c r="C43" s="367"/>
      <c r="E43" s="374">
        <f>E40/E38</f>
        <v>0.15013020272668487</v>
      </c>
      <c r="G43" s="374">
        <f>G40/G38</f>
        <v>0.16834596134163712</v>
      </c>
      <c r="I43" s="374">
        <f>I40/I38</f>
        <v>0.18657863028889357</v>
      </c>
      <c r="K43" s="374">
        <f>K40/K38</f>
        <v>0.20481328142973373</v>
      </c>
      <c r="M43" s="374">
        <f>M40/M38</f>
        <v>0.22303407606117237</v>
      </c>
      <c r="O43" s="374">
        <f>O40/O38</f>
        <v>0.24122422334264271</v>
      </c>
      <c r="Q43" s="374">
        <f>Q40/Q38</f>
        <v>0.25936593702498512</v>
      </c>
      <c r="S43" s="374">
        <f>S40/S38</f>
        <v>0.27744039041626134</v>
      </c>
      <c r="U43" s="374">
        <f>U40/U38</f>
        <v>0.29542766951647714</v>
      </c>
      <c r="W43" s="374">
        <f>W40/W38</f>
        <v>0.31330672425072992</v>
      </c>
      <c r="Y43" s="374">
        <f>Y40/Y38</f>
        <v>0.33105531772771318</v>
      </c>
      <c r="AA43" s="374">
        <f>AA40/AA38</f>
        <v>0.34864997344776255</v>
      </c>
      <c r="AC43" s="374">
        <f>AC40/AC38</f>
        <v>0.3660659203818033</v>
      </c>
      <c r="AE43" s="374">
        <f>AE40/AE38</f>
        <v>0.38327703583966694</v>
      </c>
      <c r="AG43" s="374">
        <f>AG40/AG38</f>
        <v>0.40025578604318107</v>
      </c>
    </row>
    <row r="44" spans="1:35" s="375" customFormat="1" ht="14.25">
      <c r="A44" s="375" t="s">
        <v>937</v>
      </c>
      <c r="C44" s="376"/>
      <c r="E44" s="375">
        <f>E32/E38</f>
        <v>1.1501302027266849</v>
      </c>
      <c r="G44" s="375">
        <f>G32/G38</f>
        <v>1.1683459613416372</v>
      </c>
      <c r="I44" s="375">
        <f>I32/I38</f>
        <v>1.1865786302888937</v>
      </c>
      <c r="K44" s="375">
        <f>K32/K38</f>
        <v>1.2048132814297337</v>
      </c>
      <c r="M44" s="375">
        <f>M32/M38</f>
        <v>1.2230340760611724</v>
      </c>
      <c r="O44" s="375">
        <f>O32/O38</f>
        <v>1.2412242233426427</v>
      </c>
      <c r="Q44" s="375">
        <f>Q32/Q38</f>
        <v>1.259365937024985</v>
      </c>
      <c r="S44" s="375">
        <f>S32/S38</f>
        <v>1.2774403904162612</v>
      </c>
      <c r="U44" s="375">
        <f>U32/U38</f>
        <v>1.2954276695164773</v>
      </c>
      <c r="W44" s="375">
        <f>W32/W38</f>
        <v>1.3133067242507299</v>
      </c>
      <c r="Y44" s="375">
        <f>Y32/Y38</f>
        <v>1.3310553177277131</v>
      </c>
      <c r="AA44" s="375">
        <f>AA32/AA38</f>
        <v>1.3486499734477626</v>
      </c>
      <c r="AC44" s="375">
        <f>AC32/AC38</f>
        <v>1.3660659203818033</v>
      </c>
      <c r="AE44" s="375">
        <f>AE32/AE38</f>
        <v>1.3832770358396669</v>
      </c>
      <c r="AG44" s="375">
        <f>AG32/AG38</f>
        <v>1.400255786043181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56726.083972637833</v>
      </c>
      <c r="G54" s="255">
        <f>G40-G52</f>
        <v>63608.833972637774</v>
      </c>
      <c r="I54" s="255">
        <f>I40-I52</f>
        <v>70497.973472637532</v>
      </c>
      <c r="K54" s="255">
        <f>K40-K52</f>
        <v>77387.861936387664</v>
      </c>
      <c r="M54" s="255">
        <f>M40-M52</f>
        <v>84272.514774650044</v>
      </c>
      <c r="O54" s="255">
        <f>O40-O52</f>
        <v>91145.587636889832</v>
      </c>
      <c r="Q54" s="255">
        <f>Q40-Q52</f>
        <v>98000.360061500629</v>
      </c>
      <c r="S54" s="255">
        <f>S40-S52</f>
        <v>104829.71845982125</v>
      </c>
      <c r="U54" s="255">
        <f>U40-U52</f>
        <v>111626.13840828213</v>
      </c>
      <c r="W54" s="255">
        <f>W40-W52</f>
        <v>118381.66622204921</v>
      </c>
      <c r="Y54" s="255">
        <f>Y40-Y52</f>
        <v>125087.89978255722</v>
      </c>
      <c r="AA54" s="255">
        <f>AA40-AA52</f>
        <v>131735.96859028534</v>
      </c>
      <c r="AC54" s="255">
        <f>AC40-AC52</f>
        <v>138316.51301306189</v>
      </c>
      <c r="AE54" s="255">
        <f>AE40-AE52</f>
        <v>144819.66269909107</v>
      </c>
      <c r="AG54" s="255">
        <f>AG40-AG52</f>
        <v>151235.01412273763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5" t="s">
        <v>951</v>
      </c>
      <c r="B65" s="1695"/>
      <c r="C65" s="1695"/>
      <c r="D65" s="1695"/>
      <c r="E65" s="1695"/>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2020-09-02T21:54:10Z</cp:lastPrinted>
  <dcterms:created xsi:type="dcterms:W3CDTF">2007-12-27T18:26:28Z</dcterms:created>
  <dcterms:modified xsi:type="dcterms:W3CDTF">2020-10-23T17:26:54Z</dcterms:modified>
</cp:coreProperties>
</file>