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730" windowHeight="1176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7" i="7" l="1"/>
  <c r="E89" i="4" l="1"/>
  <c r="E87" i="4"/>
  <c r="AG430" i="3"/>
  <c r="P620" i="3" l="1"/>
  <c r="P619" i="3" l="1"/>
  <c r="P618" i="3"/>
  <c r="G588" i="3"/>
  <c r="G587" i="3"/>
  <c r="G586" i="3"/>
  <c r="G580" i="3"/>
  <c r="G579" i="3"/>
  <c r="G578" i="3"/>
  <c r="G577" i="3"/>
  <c r="F35" i="4"/>
  <c r="F32" i="4"/>
  <c r="F31" i="4"/>
  <c r="F41" i="4"/>
  <c r="F39" i="4"/>
  <c r="F38" i="4"/>
  <c r="F28" i="4"/>
  <c r="F34" i="4" l="1"/>
  <c r="F76" i="4" l="1"/>
  <c r="E39" i="4" l="1"/>
  <c r="E38" i="4"/>
  <c r="E32" i="4"/>
  <c r="E31" i="4"/>
  <c r="E30" i="4"/>
  <c r="E103" i="4"/>
  <c r="E102" i="4"/>
  <c r="E101" i="4"/>
  <c r="E100" i="4"/>
  <c r="E99" i="4"/>
  <c r="E94" i="4"/>
  <c r="E93" i="4"/>
  <c r="E92" i="4"/>
  <c r="E91" i="4"/>
  <c r="E90" i="4"/>
  <c r="E88" i="4"/>
  <c r="E86" i="4"/>
  <c r="E85" i="4"/>
  <c r="E84" i="4"/>
  <c r="E83" i="4"/>
  <c r="E82" i="4"/>
  <c r="E81" i="4"/>
  <c r="E77" i="4"/>
  <c r="E71" i="4"/>
  <c r="E70" i="4"/>
  <c r="E69" i="4"/>
  <c r="E66" i="4"/>
  <c r="E65" i="4"/>
  <c r="E61" i="4"/>
  <c r="E60" i="4"/>
  <c r="E59" i="4"/>
  <c r="E58" i="4"/>
  <c r="E57" i="4"/>
  <c r="E56" i="4"/>
  <c r="E52" i="4"/>
  <c r="E50" i="4"/>
  <c r="E49" i="4"/>
  <c r="E48" i="4"/>
  <c r="E46" i="4"/>
  <c r="E45" i="4"/>
  <c r="E41" i="4"/>
  <c r="E33" i="4"/>
  <c r="E15" i="4"/>
  <c r="E14" i="4"/>
  <c r="E13" i="4"/>
  <c r="E10" i="4"/>
  <c r="E9" i="4"/>
  <c r="E5" i="4"/>
  <c r="E6" i="4"/>
  <c r="E7" i="4"/>
  <c r="E4" i="4"/>
  <c r="M922" i="3"/>
  <c r="W826" i="3"/>
  <c r="E29" i="4" l="1"/>
  <c r="E28" i="4"/>
  <c r="A3" i="15" l="1"/>
  <c r="AN929" i="3" l="1"/>
  <c r="AD64" i="15" l="1"/>
  <c r="A61" i="15" l="1"/>
  <c r="AD67" i="15" l="1"/>
  <c r="Y67" i="15"/>
  <c r="T11" i="4" l="1"/>
  <c r="R10" i="4"/>
  <c r="R88" i="4"/>
  <c r="R81" i="4"/>
  <c r="S81" i="4" s="1"/>
  <c r="E81" i="13" s="1"/>
  <c r="T25" i="15"/>
  <c r="AI7" i="15" s="1"/>
  <c r="AG428" i="3"/>
  <c r="AG431" i="3"/>
  <c r="AG432" i="3" s="1"/>
  <c r="AI27" i="15" s="1"/>
  <c r="B58" i="4"/>
  <c r="C77" i="11"/>
  <c r="C79" i="11" s="1"/>
  <c r="C78" i="11"/>
  <c r="D78" i="11" s="1"/>
  <c r="B77" i="11"/>
  <c r="B79" i="11" s="1"/>
  <c r="B78" i="11"/>
  <c r="I95" i="13"/>
  <c r="J95" i="13"/>
  <c r="J78" i="13"/>
  <c r="I78" i="13"/>
  <c r="G78" i="13"/>
  <c r="F78" i="13"/>
  <c r="D78" i="13"/>
  <c r="C78" i="13"/>
  <c r="H77" i="13"/>
  <c r="E77" i="13"/>
  <c r="B77" i="13"/>
  <c r="R77" i="4"/>
  <c r="S77" i="4" s="1"/>
  <c r="D78" i="4"/>
  <c r="G78" i="4"/>
  <c r="H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88" i="13"/>
  <c r="E87" i="13"/>
  <c r="E84" i="13"/>
  <c r="E65" i="13"/>
  <c r="E52" i="13"/>
  <c r="E47" i="13"/>
  <c r="E46" i="13"/>
  <c r="E45" i="13"/>
  <c r="E44" i="13"/>
  <c r="E43"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6" i="13"/>
  <c r="B71" i="13"/>
  <c r="B70" i="13"/>
  <c r="B69" i="13"/>
  <c r="C67" i="4"/>
  <c r="B67" i="13" s="1"/>
  <c r="B66" i="13"/>
  <c r="B65" i="13"/>
  <c r="B61" i="13"/>
  <c r="B60" i="13"/>
  <c r="B59" i="13"/>
  <c r="B58" i="13"/>
  <c r="B57" i="13"/>
  <c r="B56" i="13"/>
  <c r="B52" i="13"/>
  <c r="B50" i="13"/>
  <c r="B49" i="13"/>
  <c r="B48" i="13"/>
  <c r="B46" i="13"/>
  <c r="B45"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D11" i="13"/>
  <c r="C11" i="13"/>
  <c r="C12" i="13" s="1"/>
  <c r="C8" i="13"/>
  <c r="D8" i="13"/>
  <c r="T104" i="4"/>
  <c r="H104" i="13" s="1"/>
  <c r="R103" i="4"/>
  <c r="R102" i="4"/>
  <c r="R101" i="4"/>
  <c r="R100" i="4"/>
  <c r="R99" i="4"/>
  <c r="R94" i="4"/>
  <c r="S94" i="4" s="1"/>
  <c r="E94" i="13" s="1"/>
  <c r="R93" i="4"/>
  <c r="S93" i="4" s="1"/>
  <c r="E93" i="13" s="1"/>
  <c r="R92" i="4"/>
  <c r="S92" i="4" s="1"/>
  <c r="E92" i="13" s="1"/>
  <c r="R91" i="4"/>
  <c r="S91" i="4" s="1"/>
  <c r="E91" i="13" s="1"/>
  <c r="R90" i="4"/>
  <c r="S90" i="4" s="1"/>
  <c r="E90" i="13" s="1"/>
  <c r="R89" i="4"/>
  <c r="S89" i="4" s="1"/>
  <c r="E89" i="13" s="1"/>
  <c r="R86" i="4"/>
  <c r="S86" i="4" s="1"/>
  <c r="E86" i="13" s="1"/>
  <c r="R85" i="4"/>
  <c r="R84" i="4"/>
  <c r="R83" i="4"/>
  <c r="S83" i="4" s="1"/>
  <c r="E83" i="13" s="1"/>
  <c r="R82" i="4"/>
  <c r="S82" i="4" s="1"/>
  <c r="E82" i="13" s="1"/>
  <c r="R69" i="4"/>
  <c r="R70" i="4"/>
  <c r="R71" i="4"/>
  <c r="R66" i="4"/>
  <c r="S66" i="4" s="1"/>
  <c r="S67" i="4" s="1"/>
  <c r="E67" i="13" s="1"/>
  <c r="R65" i="4"/>
  <c r="R61" i="4"/>
  <c r="R60" i="4"/>
  <c r="R59" i="4"/>
  <c r="R58" i="4"/>
  <c r="R57" i="4"/>
  <c r="R56" i="4"/>
  <c r="R52" i="4"/>
  <c r="R50" i="4"/>
  <c r="S50" i="4" s="1"/>
  <c r="E50" i="13" s="1"/>
  <c r="R49" i="4"/>
  <c r="S49" i="4" s="1"/>
  <c r="R48" i="4"/>
  <c r="S48" i="4" s="1"/>
  <c r="E48" i="13" s="1"/>
  <c r="R46" i="4"/>
  <c r="R45" i="4"/>
  <c r="R41" i="4"/>
  <c r="S41" i="4" s="1"/>
  <c r="E41" i="13" s="1"/>
  <c r="R39" i="4"/>
  <c r="S39" i="4" s="1"/>
  <c r="E39" i="13" s="1"/>
  <c r="R38" i="4"/>
  <c r="S38" i="4" s="1"/>
  <c r="E38" i="13" s="1"/>
  <c r="R33" i="4"/>
  <c r="S33" i="4" s="1"/>
  <c r="E33" i="13" s="1"/>
  <c r="R32" i="4"/>
  <c r="S32" i="4" s="1"/>
  <c r="E32" i="13" s="1"/>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7" i="4"/>
  <c r="R6" i="4"/>
  <c r="R5" i="4"/>
  <c r="R4" i="4"/>
  <c r="AD991" i="3"/>
  <c r="B5" i="11"/>
  <c r="C5" i="11"/>
  <c r="B6" i="11"/>
  <c r="C6" i="11"/>
  <c r="B7" i="11"/>
  <c r="D7" i="11" s="1"/>
  <c r="C7" i="11"/>
  <c r="C8" i="11"/>
  <c r="B8" i="11"/>
  <c r="B10" i="11"/>
  <c r="B11" i="11"/>
  <c r="B12" i="11" s="1"/>
  <c r="C10" i="11"/>
  <c r="D10" i="11" s="1"/>
  <c r="C11" i="11"/>
  <c r="B14" i="11"/>
  <c r="C14" i="11"/>
  <c r="B15" i="11"/>
  <c r="C15" i="11"/>
  <c r="B16" i="11"/>
  <c r="C16" i="11"/>
  <c r="D16" i="11" s="1"/>
  <c r="B18" i="11"/>
  <c r="C18" i="11"/>
  <c r="B19" i="11"/>
  <c r="C19" i="11"/>
  <c r="D19" i="11" s="1"/>
  <c r="B20" i="11"/>
  <c r="C20" i="11"/>
  <c r="B21" i="11"/>
  <c r="C21" i="11"/>
  <c r="D21" i="11" s="1"/>
  <c r="B22" i="11"/>
  <c r="C22" i="11"/>
  <c r="B23" i="11"/>
  <c r="C23" i="11"/>
  <c r="B24" i="11"/>
  <c r="C24" i="11"/>
  <c r="B25" i="11"/>
  <c r="C25" i="11"/>
  <c r="D25" i="11" s="1"/>
  <c r="B27" i="11"/>
  <c r="C27" i="11"/>
  <c r="D27" i="11"/>
  <c r="B29" i="11"/>
  <c r="B30" i="11"/>
  <c r="B31" i="11"/>
  <c r="B32" i="11"/>
  <c r="B33" i="11"/>
  <c r="B34" i="11"/>
  <c r="B35" i="11"/>
  <c r="B36" i="11"/>
  <c r="C29" i="11"/>
  <c r="C30" i="11"/>
  <c r="C31" i="11"/>
  <c r="C32" i="11"/>
  <c r="C33" i="11"/>
  <c r="C34" i="11"/>
  <c r="D34" i="11" s="1"/>
  <c r="C35" i="11"/>
  <c r="C36" i="11"/>
  <c r="B39" i="11"/>
  <c r="C39" i="11"/>
  <c r="C40" i="11"/>
  <c r="B40" i="11"/>
  <c r="B42" i="11"/>
  <c r="C42" i="11"/>
  <c r="B46" i="11"/>
  <c r="B47" i="11"/>
  <c r="B49" i="11"/>
  <c r="B50" i="11"/>
  <c r="B51" i="11"/>
  <c r="B53" i="11"/>
  <c r="C46" i="11"/>
  <c r="C47" i="11"/>
  <c r="C49" i="11"/>
  <c r="C50" i="11"/>
  <c r="C51" i="11"/>
  <c r="C53" i="11"/>
  <c r="B57" i="11"/>
  <c r="C57" i="11"/>
  <c r="B58" i="11"/>
  <c r="C58" i="11"/>
  <c r="B59" i="11"/>
  <c r="D59" i="11" s="1"/>
  <c r="C59" i="11"/>
  <c r="B60" i="11"/>
  <c r="C60" i="11"/>
  <c r="D60" i="11" s="1"/>
  <c r="B61" i="11"/>
  <c r="C61" i="11"/>
  <c r="B62" i="11"/>
  <c r="C62" i="11"/>
  <c r="D62" i="11" s="1"/>
  <c r="B66" i="11"/>
  <c r="B67" i="11"/>
  <c r="C66" i="11"/>
  <c r="C67" i="11"/>
  <c r="B70" i="11"/>
  <c r="C70" i="11"/>
  <c r="B71" i="11"/>
  <c r="C71" i="11"/>
  <c r="B72" i="11"/>
  <c r="C72" i="11"/>
  <c r="B82" i="11"/>
  <c r="C82" i="11"/>
  <c r="D82" i="11" s="1"/>
  <c r="C83" i="11"/>
  <c r="C84" i="11"/>
  <c r="C85" i="11"/>
  <c r="C86" i="11"/>
  <c r="C87" i="11"/>
  <c r="C88" i="11"/>
  <c r="C89" i="11"/>
  <c r="C90" i="11"/>
  <c r="C91" i="11"/>
  <c r="C92" i="11"/>
  <c r="C93" i="11"/>
  <c r="C94" i="11"/>
  <c r="C95" i="11"/>
  <c r="B83" i="11"/>
  <c r="B84" i="11"/>
  <c r="B85" i="11"/>
  <c r="B86" i="11"/>
  <c r="B87" i="11"/>
  <c r="B88" i="11"/>
  <c r="B89" i="11"/>
  <c r="B90" i="11"/>
  <c r="D90" i="11" s="1"/>
  <c r="B91" i="11"/>
  <c r="B92" i="11"/>
  <c r="B93" i="11"/>
  <c r="B94" i="11"/>
  <c r="B95" i="11"/>
  <c r="B100" i="11"/>
  <c r="B101" i="11"/>
  <c r="B102" i="11"/>
  <c r="B103" i="11"/>
  <c r="B104" i="11"/>
  <c r="C100" i="11"/>
  <c r="C101" i="11"/>
  <c r="C102" i="11"/>
  <c r="C103" i="11"/>
  <c r="D103" i="1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D8" i="4"/>
  <c r="D11" i="4"/>
  <c r="D25" i="4"/>
  <c r="D36" i="4"/>
  <c r="D40" i="4"/>
  <c r="D53" i="4"/>
  <c r="D62" i="4"/>
  <c r="D67" i="4"/>
  <c r="D74" i="4"/>
  <c r="D95" i="4"/>
  <c r="D104" i="4"/>
  <c r="AG630" i="3"/>
  <c r="AG632" i="3" s="1"/>
  <c r="S25" i="4"/>
  <c r="E25" i="13"/>
  <c r="F2" i="4"/>
  <c r="G2" i="4"/>
  <c r="H2" i="4"/>
  <c r="I2" i="4"/>
  <c r="J2" i="4"/>
  <c r="K2" i="4"/>
  <c r="L2" i="4"/>
  <c r="M2" i="4"/>
  <c r="N2" i="4"/>
  <c r="O2" i="4"/>
  <c r="P2" i="4"/>
  <c r="Q2" i="4"/>
  <c r="B4" i="4"/>
  <c r="B5" i="4"/>
  <c r="B6" i="4"/>
  <c r="B7" i="4"/>
  <c r="E8" i="4"/>
  <c r="F8" i="4"/>
  <c r="G8" i="4"/>
  <c r="G12" i="4" s="1"/>
  <c r="G11" i="4"/>
  <c r="H8" i="4"/>
  <c r="H11" i="4"/>
  <c r="H12" i="4"/>
  <c r="I8" i="4"/>
  <c r="I11" i="4"/>
  <c r="I12" i="4" s="1"/>
  <c r="J8" i="4"/>
  <c r="J12" i="4" s="1"/>
  <c r="J11" i="4"/>
  <c r="J25" i="4"/>
  <c r="J36" i="4"/>
  <c r="J40" i="4"/>
  <c r="J53" i="4"/>
  <c r="J62" i="4"/>
  <c r="J67" i="4"/>
  <c r="J74" i="4"/>
  <c r="J95" i="4"/>
  <c r="J104" i="4"/>
  <c r="K8" i="4"/>
  <c r="K63" i="4" s="1"/>
  <c r="K96" i="4" s="1"/>
  <c r="K105" i="4" s="1"/>
  <c r="K11" i="4"/>
  <c r="K12" i="4" s="1"/>
  <c r="L8" i="4"/>
  <c r="L11" i="4"/>
  <c r="M8" i="4"/>
  <c r="M12" i="4" s="1"/>
  <c r="M11" i="4"/>
  <c r="N8" i="4"/>
  <c r="O8" i="4"/>
  <c r="Q8" i="4"/>
  <c r="Q11" i="4"/>
  <c r="B9" i="4"/>
  <c r="B10" i="4"/>
  <c r="E11" i="4"/>
  <c r="F11" i="4"/>
  <c r="F12" i="4" s="1"/>
  <c r="F25" i="4"/>
  <c r="F40" i="4"/>
  <c r="F53" i="4"/>
  <c r="F62" i="4"/>
  <c r="N11" i="4"/>
  <c r="N12" i="4" s="1"/>
  <c r="O11" i="4"/>
  <c r="B13" i="4"/>
  <c r="B14" i="4"/>
  <c r="B15" i="4"/>
  <c r="B17" i="4"/>
  <c r="B18" i="4"/>
  <c r="B19" i="4"/>
  <c r="B20" i="4"/>
  <c r="B21" i="4"/>
  <c r="B22" i="4"/>
  <c r="B23" i="4"/>
  <c r="B24" i="4"/>
  <c r="E25" i="4"/>
  <c r="G25" i="4"/>
  <c r="H25" i="4"/>
  <c r="I25" i="4"/>
  <c r="I36" i="4"/>
  <c r="I40"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5" i="4" s="1"/>
  <c r="R35" i="4" s="1"/>
  <c r="S35" i="4" s="1"/>
  <c r="E35" i="13" s="1"/>
  <c r="G36" i="4"/>
  <c r="H36" i="4"/>
  <c r="K36" i="4"/>
  <c r="L36" i="4"/>
  <c r="O36" i="4"/>
  <c r="P36" i="4"/>
  <c r="P63" i="4" s="1"/>
  <c r="P96" i="4" s="1"/>
  <c r="P105" i="4" s="1"/>
  <c r="P40" i="4"/>
  <c r="P53" i="4"/>
  <c r="P62" i="4"/>
  <c r="P67" i="4"/>
  <c r="P74" i="4"/>
  <c r="P95" i="4"/>
  <c r="P104" i="4"/>
  <c r="Q36" i="4"/>
  <c r="B38" i="4"/>
  <c r="B39" i="4"/>
  <c r="E40" i="4"/>
  <c r="G40" i="4"/>
  <c r="G63" i="4" s="1"/>
  <c r="G96" i="4" s="1"/>
  <c r="G105" i="4" s="1"/>
  <c r="H40" i="4"/>
  <c r="K40" i="4"/>
  <c r="L40" i="4"/>
  <c r="O40" i="4"/>
  <c r="Q40" i="4"/>
  <c r="B41" i="4"/>
  <c r="B45" i="4"/>
  <c r="B46" i="4"/>
  <c r="B48" i="4"/>
  <c r="B49" i="4"/>
  <c r="B50" i="4"/>
  <c r="B52" i="4"/>
  <c r="G53" i="4"/>
  <c r="K53" i="4"/>
  <c r="L53" i="4"/>
  <c r="O53" i="4"/>
  <c r="Q53" i="4"/>
  <c r="B56" i="4"/>
  <c r="B57" i="4"/>
  <c r="B59" i="4"/>
  <c r="B60" i="4"/>
  <c r="B61" i="4"/>
  <c r="G62" i="4"/>
  <c r="H62" i="4"/>
  <c r="K62" i="4"/>
  <c r="L62" i="4"/>
  <c r="O62" i="4"/>
  <c r="O67" i="4"/>
  <c r="O74" i="4"/>
  <c r="O95" i="4"/>
  <c r="O104" i="4"/>
  <c r="Q62" i="4"/>
  <c r="B65" i="4"/>
  <c r="B66" i="4"/>
  <c r="E67" i="4"/>
  <c r="F67" i="4"/>
  <c r="G67" i="4"/>
  <c r="H67" i="4"/>
  <c r="I67" i="4"/>
  <c r="K67" i="4"/>
  <c r="L67" i="4"/>
  <c r="Q67" i="4"/>
  <c r="B69" i="4"/>
  <c r="B70" i="4"/>
  <c r="B71"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15" i="11"/>
  <c r="D18" i="11"/>
  <c r="D100" i="11"/>
  <c r="D12" i="13"/>
  <c r="B25" i="4"/>
  <c r="D20" i="11"/>
  <c r="D102" i="11" l="1"/>
  <c r="J63" i="13"/>
  <c r="J96" i="13" s="1"/>
  <c r="J105" i="13" s="1"/>
  <c r="J107" i="13" s="1"/>
  <c r="L12" i="4"/>
  <c r="D85" i="11"/>
  <c r="D6" i="11"/>
  <c r="D63" i="4"/>
  <c r="D96" i="4" s="1"/>
  <c r="D105" i="4" s="1"/>
  <c r="D94" i="11"/>
  <c r="D12" i="4"/>
  <c r="R25" i="4"/>
  <c r="D63" i="13"/>
  <c r="D96" i="13" s="1"/>
  <c r="D105" i="13" s="1"/>
  <c r="Q63" i="4"/>
  <c r="Q96" i="4" s="1"/>
  <c r="Q105" i="4" s="1"/>
  <c r="D72" i="11"/>
  <c r="O12" i="4"/>
  <c r="D71" i="11"/>
  <c r="D61" i="11"/>
  <c r="D24" i="11"/>
  <c r="C63" i="13"/>
  <c r="C96" i="13" s="1"/>
  <c r="C105" i="13" s="1"/>
  <c r="G63" i="13"/>
  <c r="G96" i="13" s="1"/>
  <c r="G105" i="13" s="1"/>
  <c r="G107" i="13" s="1"/>
  <c r="B11" i="4"/>
  <c r="D70" i="11"/>
  <c r="D46" i="11"/>
  <c r="D8" i="11"/>
  <c r="B78" i="4"/>
  <c r="D50" i="11"/>
  <c r="D49" i="11"/>
  <c r="B11" i="13"/>
  <c r="S95" i="4"/>
  <c r="E95" i="13" s="1"/>
  <c r="D84" i="11"/>
  <c r="D77" i="11"/>
  <c r="B67" i="4"/>
  <c r="D93" i="11"/>
  <c r="D92" i="11"/>
  <c r="D53" i="11"/>
  <c r="D87" i="11"/>
  <c r="D31" i="11"/>
  <c r="B9" i="11"/>
  <c r="B13" i="11" s="1"/>
  <c r="D51" i="11"/>
  <c r="B8" i="4"/>
  <c r="D67" i="11"/>
  <c r="D57" i="11"/>
  <c r="D14" i="11"/>
  <c r="D5" i="11"/>
  <c r="E66" i="13"/>
  <c r="E49" i="13"/>
  <c r="S40" i="4"/>
  <c r="E40" i="13" s="1"/>
  <c r="D79" i="11"/>
  <c r="D86" i="11"/>
  <c r="D47" i="11"/>
  <c r="D33" i="11"/>
  <c r="D32" i="11"/>
  <c r="D88" i="11"/>
  <c r="C68" i="11"/>
  <c r="D66" i="11"/>
  <c r="B68" i="11"/>
  <c r="D68" i="11" s="1"/>
  <c r="R67" i="4"/>
  <c r="D91" i="11"/>
  <c r="D89" i="11"/>
  <c r="D40" i="11"/>
  <c r="B36" i="4"/>
  <c r="D58" i="11"/>
  <c r="D83" i="11"/>
  <c r="R40" i="4"/>
  <c r="R11" i="4"/>
  <c r="R8" i="4"/>
  <c r="C9" i="11"/>
  <c r="D30" i="11"/>
  <c r="D42" i="11"/>
  <c r="B41" i="11"/>
  <c r="C41" i="11"/>
  <c r="B37" i="11"/>
  <c r="C37" i="11"/>
  <c r="D36" i="11"/>
  <c r="D35" i="11"/>
  <c r="D22" i="11"/>
  <c r="B26" i="11"/>
  <c r="AB48" i="15"/>
  <c r="D101" i="11"/>
  <c r="O63" i="4"/>
  <c r="O96" i="4" s="1"/>
  <c r="O105" i="4" s="1"/>
  <c r="Q12" i="4"/>
  <c r="B40" i="4"/>
  <c r="N63" i="4"/>
  <c r="N96" i="4" s="1"/>
  <c r="N105" i="4" s="1"/>
  <c r="M63" i="4"/>
  <c r="M96" i="4" s="1"/>
  <c r="M105" i="4" s="1"/>
  <c r="M38" i="7"/>
  <c r="D29" i="11"/>
  <c r="L63" i="4"/>
  <c r="L96" i="4" s="1"/>
  <c r="L105" i="4" s="1"/>
  <c r="D39" i="11"/>
  <c r="J63" i="4"/>
  <c r="J96" i="4" s="1"/>
  <c r="J105" i="4" s="1"/>
  <c r="D95" i="11"/>
  <c r="C12" i="11"/>
  <c r="C13" i="11" s="1"/>
  <c r="U35" i="7"/>
  <c r="U38" i="7" s="1"/>
  <c r="S35" i="7"/>
  <c r="S38" i="7" s="1"/>
  <c r="E38" i="7"/>
  <c r="I35" i="7"/>
  <c r="I38" i="7" s="1"/>
  <c r="K35" i="7"/>
  <c r="K38" i="7" s="1"/>
  <c r="W35" i="7"/>
  <c r="W38" i="7" s="1"/>
  <c r="Y35" i="7"/>
  <c r="Y38" i="7" s="1"/>
  <c r="AD7" i="15"/>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B12" i="4" l="1"/>
  <c r="D41" i="11"/>
  <c r="D9" i="11"/>
  <c r="D37" i="11"/>
  <c r="R12" i="4"/>
  <c r="D12" i="11"/>
  <c r="D26" i="11"/>
  <c r="D13" i="11"/>
  <c r="BK635" i="3"/>
  <c r="V949" i="3" s="1"/>
  <c r="AD949" i="3" s="1"/>
  <c r="Y780" i="3"/>
  <c r="BA635" i="3"/>
  <c r="V947" i="3" s="1"/>
  <c r="AD947" i="3" s="1"/>
  <c r="AC863" i="3"/>
  <c r="BP635" i="3"/>
  <c r="V950" i="3" s="1"/>
  <c r="AD950" i="3" s="1"/>
  <c r="BF635" i="3"/>
  <c r="V948" i="3" s="1"/>
  <c r="AD948" i="3" s="1"/>
  <c r="AU673" i="3"/>
  <c r="AV673" i="3" s="1"/>
  <c r="BZ635" i="3"/>
  <c r="G30" i="7"/>
  <c r="I1003" i="3"/>
  <c r="AO907" i="3" s="1"/>
  <c r="Y781" i="3"/>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E4" i="7" l="1"/>
  <c r="E5" i="7" s="1"/>
  <c r="E10" i="7" s="1"/>
  <c r="E32" i="7" s="1"/>
  <c r="E40" i="7" s="1"/>
  <c r="AU675" i="3"/>
  <c r="Z798" i="3"/>
  <c r="V951" i="3"/>
  <c r="AD951" i="3" s="1"/>
  <c r="AD953" i="3" s="1"/>
  <c r="G4" i="7"/>
  <c r="G5" i="7" s="1"/>
  <c r="AV650" i="3"/>
  <c r="AV675" i="3" s="1"/>
  <c r="AD734" i="3" s="1"/>
  <c r="M21" i="7"/>
  <c r="M30" i="7" s="1"/>
  <c r="O14" i="7"/>
  <c r="M8" i="7"/>
  <c r="K9" i="7"/>
  <c r="G7" i="7"/>
  <c r="I6" i="7"/>
  <c r="T107" i="4"/>
  <c r="H107" i="13" s="1"/>
  <c r="AD11" i="15" s="1"/>
  <c r="AD23" i="15" s="1"/>
  <c r="AD26" i="15" s="1"/>
  <c r="AD28" i="15" s="1"/>
  <c r="H105" i="13"/>
  <c r="AD1000" i="3" l="1"/>
  <c r="AD971" i="3"/>
  <c r="AQ881" i="3" s="1"/>
  <c r="AD955" i="3"/>
  <c r="AQ877" i="3" s="1"/>
  <c r="B1014" i="3"/>
  <c r="V952" i="3"/>
  <c r="G10" i="7"/>
  <c r="G32" i="7" s="1"/>
  <c r="G44" i="7" s="1"/>
  <c r="E44" i="7"/>
  <c r="I4" i="7"/>
  <c r="I5" i="7" s="1"/>
  <c r="I7" i="7"/>
  <c r="K6" i="7"/>
  <c r="M9" i="7"/>
  <c r="O8" i="7"/>
  <c r="O21" i="7"/>
  <c r="O30" i="7" s="1"/>
  <c r="Q14" i="7"/>
  <c r="E54" i="7"/>
  <c r="E43" i="7"/>
  <c r="E42" i="7"/>
  <c r="AQ888" i="3" l="1"/>
  <c r="B1012" i="3" s="1"/>
  <c r="AQ886" i="3"/>
  <c r="AD1004" i="3"/>
  <c r="T24" i="15" s="1"/>
  <c r="G40" i="7"/>
  <c r="G54" i="7" s="1"/>
  <c r="K4" i="7"/>
  <c r="M4" i="7" s="1"/>
  <c r="M5" i="7" s="1"/>
  <c r="I10" i="7"/>
  <c r="I32" i="7" s="1"/>
  <c r="I44" i="7" s="1"/>
  <c r="Q21" i="7"/>
  <c r="Q30" i="7" s="1"/>
  <c r="S14" i="7"/>
  <c r="M6" i="7"/>
  <c r="K7" i="7"/>
  <c r="O9" i="7"/>
  <c r="Q8" i="7"/>
  <c r="G42" i="7" l="1"/>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B56" i="11" l="1"/>
  <c r="B63" i="11" s="1"/>
  <c r="C56" i="11"/>
  <c r="D56" i="11" s="1"/>
  <c r="B55" i="13"/>
  <c r="B55" i="4"/>
  <c r="E55" i="4"/>
  <c r="R55" i="4" s="1"/>
  <c r="R62" i="4" s="1"/>
  <c r="C62" i="4"/>
  <c r="B62" i="13" s="1"/>
  <c r="E62" i="4" l="1"/>
  <c r="B62" i="4"/>
  <c r="C63" i="11"/>
  <c r="D63" i="11" s="1"/>
  <c r="B45" i="11" l="1"/>
  <c r="C45" i="11"/>
  <c r="B44" i="13"/>
  <c r="B44" i="4"/>
  <c r="E44" i="4"/>
  <c r="R44" i="4" s="1"/>
  <c r="D45" i="11" l="1"/>
  <c r="Y11" i="15"/>
  <c r="Y23" i="15" s="1"/>
  <c r="Y26" i="15" s="1"/>
  <c r="Y28" i="15" s="1"/>
  <c r="I78" i="4"/>
  <c r="I53" i="4" l="1"/>
  <c r="I63" i="4"/>
  <c r="I96" i="4" s="1"/>
  <c r="I105" i="4" s="1"/>
  <c r="E34" i="4" l="1"/>
  <c r="E36" i="4" s="1"/>
  <c r="F36" i="4"/>
  <c r="F63" i="4" s="1"/>
  <c r="R34" i="4" l="1"/>
  <c r="S34" i="4" l="1"/>
  <c r="R36" i="4"/>
  <c r="E34" i="13" l="1"/>
  <c r="S36" i="4"/>
  <c r="E36" i="13" l="1"/>
  <c r="E76" i="4" l="1"/>
  <c r="E78" i="4" s="1"/>
  <c r="F78" i="4"/>
  <c r="F96" i="4"/>
  <c r="F105" i="4" s="1"/>
  <c r="R76" i="4" l="1"/>
  <c r="R78" i="4" l="1"/>
  <c r="S76" i="4"/>
  <c r="S78" i="4" l="1"/>
  <c r="E76" i="13"/>
  <c r="E78" i="13" l="1"/>
  <c r="AE557" i="3" l="1"/>
  <c r="AA893" i="3"/>
  <c r="B73" i="13" l="1"/>
  <c r="B74" i="11"/>
  <c r="C74" i="11"/>
  <c r="B73" i="4"/>
  <c r="E73" i="4"/>
  <c r="R73" i="4" s="1"/>
  <c r="D74" i="11" l="1"/>
  <c r="B73" i="11"/>
  <c r="B75" i="11" s="1"/>
  <c r="B72" i="13"/>
  <c r="C52" i="11"/>
  <c r="C73" i="11"/>
  <c r="C74" i="4"/>
  <c r="B74" i="4" s="1"/>
  <c r="B74" i="13" l="1"/>
  <c r="B51" i="13"/>
  <c r="E72" i="4"/>
  <c r="B52" i="11"/>
  <c r="D52" i="11" s="1"/>
  <c r="D73" i="11"/>
  <c r="C75" i="11"/>
  <c r="D75" i="11" s="1"/>
  <c r="B72" i="4"/>
  <c r="H53" i="4"/>
  <c r="H63" i="4" s="1"/>
  <c r="H96" i="4" s="1"/>
  <c r="H105" i="4" s="1"/>
  <c r="B51" i="4"/>
  <c r="E51" i="4"/>
  <c r="R51" i="4" s="1"/>
  <c r="S51" i="4" s="1"/>
  <c r="E51" i="13" l="1"/>
  <c r="S53" i="4"/>
  <c r="E74" i="4"/>
  <c r="R72" i="4"/>
  <c r="R74" i="4" s="1"/>
  <c r="R87" i="4"/>
  <c r="B99" i="11"/>
  <c r="B105" i="11" s="1"/>
  <c r="C99" i="11"/>
  <c r="C105" i="11" s="1"/>
  <c r="D105" i="11" s="1"/>
  <c r="B98" i="13"/>
  <c r="B98" i="4"/>
  <c r="E98" i="4"/>
  <c r="R98" i="4" s="1"/>
  <c r="C104" i="4"/>
  <c r="B104" i="4" s="1"/>
  <c r="B104" i="13" l="1"/>
  <c r="E104" i="4"/>
  <c r="E53" i="13"/>
  <c r="S63" i="4"/>
  <c r="S98" i="4"/>
  <c r="R104" i="4"/>
  <c r="D99" i="11"/>
  <c r="E63" i="13" l="1"/>
  <c r="S96" i="4"/>
  <c r="E96" i="13" s="1"/>
  <c r="E98" i="13"/>
  <c r="S104" i="4"/>
  <c r="S105" i="4" l="1"/>
  <c r="E104" i="13"/>
  <c r="S107" i="4" l="1"/>
  <c r="E105" i="13"/>
  <c r="E107" i="13" l="1"/>
  <c r="T11" i="15" s="1"/>
  <c r="T23" i="15" s="1"/>
  <c r="AC443" i="3"/>
  <c r="T26" i="15" l="1"/>
  <c r="T28" i="15" s="1"/>
  <c r="T29" i="15" s="1"/>
  <c r="Y64" i="15"/>
  <c r="Y68" i="15" s="1"/>
  <c r="AD38" i="15"/>
  <c r="AD40" i="15" s="1"/>
  <c r="B81" i="11"/>
  <c r="C81" i="11"/>
  <c r="D81" i="11" s="1"/>
  <c r="B96" i="11"/>
  <c r="C96" i="11"/>
  <c r="D96" i="11" s="1"/>
  <c r="B80" i="13"/>
  <c r="B80" i="4"/>
  <c r="E80" i="4"/>
  <c r="E95" i="4" s="1"/>
  <c r="C95" i="4"/>
  <c r="B95" i="13" s="1"/>
  <c r="R80" i="4" l="1"/>
  <c r="R95" i="4" s="1"/>
  <c r="B95" i="4"/>
  <c r="Y38" i="15"/>
  <c r="Y40" i="15" s="1"/>
  <c r="Y41" i="15" s="1"/>
  <c r="B44" i="11"/>
  <c r="C44" i="11"/>
  <c r="B48" i="11"/>
  <c r="C48" i="11"/>
  <c r="C54" i="11"/>
  <c r="C64" i="11" s="1"/>
  <c r="B43" i="13"/>
  <c r="B47" i="13"/>
  <c r="B43" i="4"/>
  <c r="E43" i="4"/>
  <c r="R43" i="4" s="1"/>
  <c r="R53" i="4" s="1"/>
  <c r="R63" i="4" s="1"/>
  <c r="R96" i="4" s="1"/>
  <c r="R105" i="4" s="1"/>
  <c r="B47" i="4"/>
  <c r="E47" i="4"/>
  <c r="R47" i="4" s="1"/>
  <c r="C53" i="4"/>
  <c r="C63" i="4" s="1"/>
  <c r="E53" i="4" l="1"/>
  <c r="E63" i="4" s="1"/>
  <c r="E96" i="4" s="1"/>
  <c r="E105" i="4" s="1"/>
  <c r="D48" i="11"/>
  <c r="D44" i="11"/>
  <c r="C97" i="11"/>
  <c r="C96" i="4"/>
  <c r="B63" i="13"/>
  <c r="B53" i="13"/>
  <c r="B53" i="4"/>
  <c r="B63" i="4" s="1"/>
  <c r="B54" i="11"/>
  <c r="B64" i="11" s="1"/>
  <c r="B97" i="11" s="1"/>
  <c r="B106" i="11" s="1"/>
  <c r="D97" i="11" l="1"/>
  <c r="C106" i="11"/>
  <c r="D106" i="11" s="1"/>
  <c r="D54" i="11"/>
  <c r="B96" i="13"/>
  <c r="B96" i="4"/>
  <c r="C105" i="4"/>
  <c r="D64" i="11"/>
  <c r="B105" i="13" l="1"/>
  <c r="B105" i="4"/>
  <c r="AC442" i="3"/>
  <c r="AB47" i="15" l="1"/>
  <c r="AB49" i="15" s="1"/>
  <c r="AC441" i="3"/>
  <c r="AB54" i="15" l="1"/>
  <c r="AB55" i="15" s="1"/>
  <c r="AB56" i="15" s="1"/>
  <c r="AB57" i="15" l="1"/>
  <c r="M26" i="3"/>
  <c r="P203" i="3" s="1"/>
  <c r="AB59" i="15" l="1"/>
  <c r="AB76" i="15" s="1"/>
  <c r="AB77" i="15" s="1"/>
  <c r="AB86" i="15" l="1"/>
  <c r="AB87" i="15"/>
  <c r="AB78" i="15"/>
  <c r="AB80" i="15" s="1"/>
  <c r="J81" i="15" s="1"/>
  <c r="M27" i="3"/>
  <c r="P204"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<sst xmlns="http://schemas.openxmlformats.org/spreadsheetml/2006/main" count="3663" uniqueCount="1794">
  <si>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</si>
  <si>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</si>
  <si>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</si>
  <si>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</si>
  <si>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</si>
  <si>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</si>
  <si>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</si>
  <si>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</si>
  <si>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</si>
  <si>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</si>
  <si>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</si>
  <si>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</si>
  <si>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</si>
  <si>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</si>
  <si>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</si>
  <si>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</si>
  <si>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</si>
  <si>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</si>
  <si>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</si>
  <si>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</si>
  <si>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</si>
  <si>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</si>
  <si>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</si>
  <si>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</si>
  <si>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</si>
  <si>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</si>
  <si>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</si>
  <si>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</si>
  <si>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</si>
  <si>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</si>
  <si>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</si>
  <si>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</si>
  <si>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</si>
  <si>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</si>
  <si>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</si>
  <si>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</si>
  <si>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</si>
  <si>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</si>
  <si>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</si>
  <si>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</si>
  <si>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</si>
  <si>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</si>
  <si>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</si>
  <si>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</si>
  <si>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</si>
  <si>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</si>
  <si>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</si>
  <si>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</si>
  <si>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</si>
  <si>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</si>
  <si>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</si>
  <si>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</si>
  <si>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</si>
  <si>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</si>
  <si>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</si>
  <si>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</si>
  <si>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</si>
  <si>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</si>
  <si>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</si>
  <si>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</si>
  <si>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</si>
  <si>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</si>
  <si>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</si>
  <si>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</si>
  <si>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</si>
  <si>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</si>
  <si>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</si>
  <si>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</si>
  <si>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</si>
  <si>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</si>
  <si>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</si>
  <si>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</si>
  <si>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</si>
  <si>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</si>
  <si>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</si>
  <si>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</si>
  <si>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</si>
  <si>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</si>
  <si>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</si>
  <si>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</si>
  <si>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</si>
  <si>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</si>
  <si>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</si>
  <si>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</si>
  <si>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</si>
  <si>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</si>
  <si>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</si>
  <si>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</si>
  <si>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</si>
  <si>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</si>
  <si>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</si>
  <si>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</si>
  <si>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</si>
  <si>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</si>
  <si>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</si>
  <si>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</si>
  <si>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</si>
  <si>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</si>
  <si>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</si>
  <si>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</si>
  <si>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</si>
  <si>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</si>
  <si>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</si>
  <si>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</si>
  <si>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</si>
  <si>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</si>
  <si>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</si>
  <si>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</si>
  <si>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</si>
  <si>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</si>
  <si>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</si>
  <si>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</si>
  <si>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</si>
  <si>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</si>
  <si>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</si>
  <si>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</si>
  <si>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</si>
  <si>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</si>
  <si>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</si>
  <si>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</si>
  <si>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</si>
  <si>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</si>
  <si>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</si>
  <si>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</si>
  <si>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</si>
  <si>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</si>
  <si>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</si>
  <si>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</si>
  <si>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</si>
  <si>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</si>
  <si>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</si>
  <si>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</si>
  <si>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</si>
  <si>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</si>
  <si>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</si>
  <si>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</si>
  <si>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</si>
  <si>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</si>
  <si>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</si>
  <si>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</si>
  <si>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</si>
  <si>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</si>
  <si>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</si>
  <si>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</si>
  <si>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</si>
  <si>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</si>
  <si>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</si>
  <si>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</si>
  <si>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</si>
  <si>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</si>
  <si>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</si>
  <si>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</si>
  <si>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</si>
  <si>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</si>
  <si>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</si>
  <si>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</si>
  <si>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</si>
  <si>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</si>
  <si>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</si>
  <si>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</si>
  <si>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</si>
  <si>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</si>
  <si>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</si>
  <si>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</si>
  <si>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</si>
  <si>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</si>
  <si>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</si>
  <si>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</si>
  <si>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</si>
  <si>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</si>
  <si>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</si>
  <si>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</si>
  <si>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</si>
  <si>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</si>
  <si>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</si>
  <si>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</si>
  <si>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</si>
  <si>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</si>
  <si>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</si>
  <si>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</si>
  <si>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</si>
  <si>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</si>
  <si>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</si>
  <si>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</si>
  <si>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</si>
  <si>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</si>
  <si>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</si>
  <si>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</si>
  <si>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</si>
  <si>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</si>
  <si>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</si>
  <si>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</si>
  <si>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</si>
  <si>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</si>
  <si>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</si>
  <si>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</si>
  <si>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</si>
  <si>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</si>
  <si>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</si>
  <si>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</si>
  <si>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</si>
  <si>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</si>
  <si>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</si>
  <si>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</si>
  <si>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</si>
  <si>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</si>
  <si>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</si>
  <si>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</si>
  <si>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</si>
  <si>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</si>
  <si>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</si>
  <si>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</si>
  <si>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</si>
  <si>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</si>
  <si>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</si>
  <si>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</si>
  <si>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</si>
  <si>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</si>
  <si>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</si>
  <si>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</si>
  <si>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</si>
  <si>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</si>
  <si>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</si>
  <si>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</si>
  <si>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</si>
  <si>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</si>
  <si>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</si>
  <si>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</si>
  <si>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</si>
  <si>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</si>
  <si>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</si>
  <si>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</si>
  <si>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</si>
  <si>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</si>
  <si>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</si>
  <si>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</si>
  <si>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</si>
  <si>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</si>
  <si>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</si>
  <si>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</si>
  <si>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</si>
  <si>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</si>
  <si>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</si>
  <si>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</si>
  <si>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</si>
  <si>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</si>
  <si>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</si>
  <si>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</si>
  <si>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</si>
  <si>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</si>
  <si>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</si>
  <si>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</si>
  <si>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</si>
  <si>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</si>
  <si>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</si>
  <si>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</si>
  <si>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</si>
  <si>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</si>
  <si>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</si>
  <si>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</si>
  <si>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</si>
  <si>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</si>
  <si>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</si>
  <si>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</si>
  <si>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</si>
  <si>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</si>
  <si>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</si>
  <si>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</si>
  <si>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</si>
  <si>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</si>
  <si>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</si>
  <si>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</si>
  <si>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</si>
  <si>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</si>
  <si>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</si>
  <si>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</si>
  <si>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</si>
  <si>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</si>
  <si>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</si>
  <si>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</si>
  <si>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</si>
  <si>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</si>
  <si>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</si>
  <si>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</si>
  <si>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</si>
  <si>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</si>
  <si>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</si>
  <si>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</si>
  <si>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</si>
  <si>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</si>
  <si>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</si>
  <si>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</si>
  <si>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</si>
  <si>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</si>
  <si>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</si>
  <si>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</si>
  <si>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</si>
  <si>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</si>
  <si>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</si>
  <si>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</si>
  <si>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</si>
  <si>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</si>
  <si>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</si>
  <si>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</si>
  <si>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</si>
  <si>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</si>
  <si>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</si>
  <si>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</si>
  <si>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</si>
  <si>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</si>
  <si>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</si>
  <si>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</si>
  <si>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</si>
  <si>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</si>
  <si>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</si>
  <si>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</si>
  <si>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</si>
  <si>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</si>
  <si>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</si>
  <si>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</si>
  <si>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</si>
  <si>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</si>
  <si>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</si>
  <si>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</si>
  <si>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</si>
  <si>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</si>
  <si>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</si>
  <si>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</si>
  <si>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</si>
  <si>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</si>
  <si>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</si>
  <si>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</si>
  <si>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</si>
  <si>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</si>
  <si>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</si>
  <si>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</si>
  <si>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</si>
  <si>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</si>
  <si>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</si>
  <si>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</si>
  <si>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</si>
  <si>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</si>
  <si>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</si>
  <si>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</si>
  <si>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</si>
  <si>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</si>
  <si>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</si>
  <si>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</si>
  <si>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</si>
  <si>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</si>
  <si>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</si>
  <si>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</si>
  <si>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</si>
  <si>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</si>
  <si>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</si>
  <si>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</si>
  <si>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</si>
  <si>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</si>
  <si>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</si>
  <si>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</si>
  <si>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</si>
  <si>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</si>
  <si>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</si>
  <si>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</si>
  <si>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</si>
  <si>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</si>
  <si>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</si>
  <si>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</si>
  <si>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</si>
  <si>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</si>
  <si>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</si>
  <si>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</si>
  <si>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</si>
  <si>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</si>
  <si>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</si>
  <si>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</si>
  <si>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</si>
  <si>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</si>
  <si>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</si>
  <si>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</si>
  <si>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</si>
  <si>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</si>
  <si>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</si>
  <si>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</si>
  <si>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</si>
  <si>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</si>
  <si>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</si>
  <si>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</si>
  <si>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</si>
  <si>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</si>
  <si>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</si>
  <si>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</si>
  <si>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</si>
  <si>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</si>
  <si>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</si>
  <si>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</si>
  <si>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</si>
  <si>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</si>
  <si>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</si>
  <si>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</si>
  <si>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</si>
  <si>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</si>
  <si>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</si>
  <si>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</si>
  <si>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</si>
  <si>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</si>
  <si>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</si>
  <si>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</si>
  <si>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</si>
  <si>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</si>
  <si>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</si>
  <si>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</si>
  <si>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</si>
  <si>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</si>
  <si>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</si>
  <si>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</si>
  <si>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</si>
  <si>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</si>
  <si>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</si>
  <si>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</si>
  <si>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</si>
  <si>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</si>
  <si>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</si>
  <si>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</si>
  <si>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</si>
  <si>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</si>
  <si>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</si>
  <si>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</si>
  <si>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</si>
  <si>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</si>
  <si>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</si>
  <si>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</si>
  <si>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</si>
  <si>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</si>
  <si>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</si>
  <si>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</si>
  <si>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</si>
  <si>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</si>
  <si>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</si>
  <si>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</si>
  <si>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</si>
  <si>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</si>
  <si>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</si>
  <si>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</si>
  <si>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</si>
  <si>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</si>
  <si>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</si>
  <si>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</si>
  <si>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</si>
  <si>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</si>
  <si>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</si>
  <si>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</si>
  <si>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</si>
  <si>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</si>
  <si>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</si>
  <si>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</si>
  <si>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</si>
  <si>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</si>
  <si>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</si>
  <si>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</si>
  <si>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</si>
  <si>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</si>
  <si>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</si>
  <si>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</si>
  <si>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</si>
  <si>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</si>
  <si>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</si>
  <si>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</si>
  <si>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</si>
  <si>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</si>
  <si>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</si>
  <si>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</si>
  <si>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</si>
  <si>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</si>
  <si>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</si>
  <si>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</si>
  <si>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</si>
  <si>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</si>
  <si>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</si>
  <si>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</si>
  <si>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</si>
  <si>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</si>
  <si>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</si>
  <si>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</si>
  <si>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</si>
  <si>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</si>
  <si>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</si>
  <si>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</si>
  <si>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</si>
  <si>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</si>
  <si>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</si>
  <si>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</si>
  <si>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</si>
  <si>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</si>
  <si>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</si>
  <si>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</si>
  <si>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</si>
  <si>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</si>
  <si>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</si>
  <si>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</si>
  <si>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</si>
  <si>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</si>
  <si>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</si>
  <si>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</si>
  <si>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</si>
  <si>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</si>
  <si>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</si>
  <si>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</si>
  <si>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</si>
  <si>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</si>
  <si>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</si>
  <si>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</si>
  <si>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</si>
  <si>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</si>
  <si>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</si>
  <si>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</si>
  <si>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</si>
  <si>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</si>
  <si>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</si>
  <si>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</si>
  <si>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</si>
  <si>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</si>
  <si>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</si>
  <si>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</si>
  <si>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</si>
  <si>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</si>
  <si>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</si>
  <si>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</si>
  <si>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</si>
  <si>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</si>
  <si>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</si>
  <si>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</si>
  <si>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</si>
  <si>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</si>
  <si>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</si>
  <si>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</si>
  <si>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</si>
  <si>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</si>
  <si>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</si>
  <si>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</si>
  <si>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</si>
  <si>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</si>
  <si>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</si>
  <si>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</si>
  <si>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</si>
  <si>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</si>
  <si>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</si>
  <si>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</si>
  <si>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</si>
  <si>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</si>
  <si>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</si>
  <si>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</si>
  <si>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</si>
  <si>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</si>
  <si>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</si>
  <si>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</si>
  <si>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</si>
  <si>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</si>
  <si>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</si>
  <si>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</si>
  <si>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</si>
  <si>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</si>
  <si>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</si>
  <si>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</si>
  <si>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</si>
  <si>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</si>
  <si>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</si>
  <si>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</si>
  <si>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</si>
  <si>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</si>
  <si>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</si>
  <si>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</si>
  <si>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</si>
  <si>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</si>
  <si>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</si>
  <si>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</si>
  <si>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</si>
  <si>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</si>
  <si>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</si>
  <si>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</si>
  <si>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</si>
  <si>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</si>
  <si>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</si>
  <si>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</si>
  <si>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</si>
  <si>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</si>
  <si>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</si>
  <si>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</si>
  <si>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</si>
  <si>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</si>
  <si>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</si>
  <si>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</si>
  <si>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</si>
  <si>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</si>
  <si>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</si>
  <si>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</si>
  <si>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</si>
  <si>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</si>
  <si>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</si>
  <si>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</si>
  <si>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</si>
  <si>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</si>
  <si>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</si>
  <si>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</si>
  <si>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</si>
  <si>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</si>
  <si>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</si>
  <si>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</si>
  <si>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</si>
  <si>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</si>
  <si>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</si>
  <si>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</si>
  <si>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</si>
  <si>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</si>
  <si>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</si>
  <si>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</si>
  <si>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</si>
  <si>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</si>
  <si>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</si>
  <si>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</si>
  <si>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</si>
  <si>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</si>
  <si>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</si>
  <si>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</si>
  <si>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</si>
  <si>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</si>
  <si>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</si>
  <si>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</si>
  <si>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</si>
  <si>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</si>
  <si>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</si>
  <si>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</si>
  <si>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</si>
  <si>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</si>
  <si>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</si>
  <si>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</si>
  <si>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</si>
  <si>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</si>
  <si>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</si>
  <si>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</si>
  <si>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</si>
  <si>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</si>
  <si>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</si>
  <si>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</si>
  <si>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</si>
  <si>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</si>
  <si>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</si>
  <si>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</si>
  <si>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</si>
  <si>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</si>
  <si>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</si>
  <si>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</si>
  <si>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</si>
  <si>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</si>
  <si>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</si>
  <si>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</si>
  <si>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</si>
  <si>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</si>
  <si>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</si>
  <si>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</si>
  <si>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</si>
  <si>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</si>
  <si>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</si>
  <si>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</si>
  <si>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</si>
  <si>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</si>
  <si>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</si>
  <si>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</si>
  <si>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</si>
  <si>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</si>
  <si>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</si>
  <si>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</si>
  <si>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</si>
  <si>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</si>
  <si>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</si>
  <si>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</si>
  <si>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</si>
  <si>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</si>
  <si>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</si>
  <si>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</si>
  <si>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</si>
  <si>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</si>
  <si>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</si>
  <si>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</si>
  <si>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</si>
  <si>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</si>
  <si>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</si>
  <si>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</si>
  <si>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</si>
  <si>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</si>
  <si>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</si>
  <si>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</si>
  <si>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</si>
  <si>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</si>
  <si>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</si>
  <si>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</si>
  <si>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</si>
  <si>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</si>
  <si>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</si>
  <si>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</si>
  <si>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</si>
  <si>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</si>
  <si>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</si>
  <si>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</si>
  <si>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</si>
  <si>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</si>
  <si>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</si>
  <si>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</si>
  <si>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</si>
  <si>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</si>
  <si>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</si>
  <si>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</si>
  <si>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</si>
  <si>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</si>
  <si>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</si>
  <si>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</si>
  <si>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</si>
  <si>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</si>
  <si>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</si>
  <si>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</si>
  <si>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</si>
  <si>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</si>
  <si>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</si>
  <si>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</si>
  <si>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</si>
  <si>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</si>
  <si>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</si>
  <si>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</si>
  <si>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</si>
  <si>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</si>
  <si>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</si>
  <si>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</si>
  <si>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</si>
  <si>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</si>
  <si>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</si>
  <si>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</si>
  <si>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</si>
  <si>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</si>
  <si>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</si>
  <si>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</si>
  <si>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</si>
  <si>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</si>
  <si>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</si>
  <si>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</si>
  <si>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</si>
  <si>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</si>
  <si>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</si>
  <si>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</si>
  <si>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</si>
  <si>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</si>
  <si>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</si>
  <si>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</si>
  <si>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</si>
  <si>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</si>
  <si>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</si>
  <si>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</si>
  <si>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</si>
  <si>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</si>
  <si>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</si>
  <si>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</si>
  <si>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</si>
  <si>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</si>
  <si>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</si>
  <si>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</si>
  <si>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</si>
  <si>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</si>
  <si>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</si>
  <si>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</si>
  <si>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</si>
  <si>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</si>
  <si>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</si>
  <si>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</si>
  <si>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</si>
  <si>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</si>
  <si>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</si>
  <si>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</si>
  <si>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</si>
  <si>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</si>
  <si>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</si>
  <si>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</si>
  <si>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</si>
  <si>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</si>
  <si>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</si>
  <si>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</si>
  <si>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</si>
  <si>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</si>
  <si>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</si>
  <si>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</si>
  <si>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</si>
  <si>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</si>
  <si>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</si>
  <si>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</si>
  <si>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</si>
  <si>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</si>
  <si>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</si>
  <si>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</si>
  <si>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</si>
  <si>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</si>
  <si>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</si>
  <si>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</si>
  <si>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</si>
  <si>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</si>
  <si>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</si>
  <si>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</si>
  <si>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</si>
  <si>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</si>
  <si>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</si>
  <si>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</si>
  <si>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</si>
  <si>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</si>
  <si>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</si>
  <si>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</si>
  <si>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</si>
  <si>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</si>
  <si>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</si>
  <si>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</si>
  <si>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</si>
  <si>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</si>
  <si>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</si>
  <si>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</si>
  <si>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</si>
  <si>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</si>
  <si>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</si>
  <si>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</si>
  <si>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</si>
  <si>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</si>
  <si>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</si>
  <si>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</si>
  <si>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</si>
  <si>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</si>
  <si>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</si>
  <si>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</si>
  <si>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</si>
  <si>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</si>
  <si>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</si>
  <si>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</si>
  <si>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</si>
  <si>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</si>
  <si>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</si>
  <si>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</si>
  <si>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</si>
  <si>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</si>
  <si>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</si>
  <si>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</si>
  <si>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</si>
  <si>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</si>
  <si>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</si>
  <si>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</si>
  <si>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</si>
  <si>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</si>
  <si>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</si>
  <si>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</si>
  <si>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</si>
  <si>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</si>
  <si>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</si>
  <si>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</si>
  <si>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</si>
  <si>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</si>
  <si>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</si>
  <si>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</si>
  <si>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</si>
  <si>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</si>
  <si>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</si>
  <si>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</si>
  <si>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</si>
  <si>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</si>
  <si>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</si>
  <si>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</si>
  <si>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</si>
  <si>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</si>
  <si>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</si>
  <si>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</si>
  <si>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</si>
  <si>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</si>
  <si>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</si>
  <si>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</si>
  <si>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</si>
  <si>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</si>
  <si>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</si>
  <si>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</si>
  <si>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</si>
  <si>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</si>
  <si>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</si>
  <si>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</si>
  <si>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</si>
  <si>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</si>
  <si>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</si>
  <si>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</si>
  <si>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</si>
  <si>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</si>
  <si>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</si>
  <si>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</si>
  <si>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</si>
  <si>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</si>
  <si>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</si>
  <si>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</si>
  <si>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</si>
  <si>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</si>
  <si>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</si>
  <si>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</si>
  <si>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</si>
  <si>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</si>
  <si>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</si>
  <si>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</si>
  <si>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</si>
  <si>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</si>
  <si>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</si>
  <si>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</si>
  <si>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</si>
  <si>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</si>
  <si>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</si>
  <si>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</si>
  <si>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</si>
  <si>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</si>
  <si>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</si>
  <si>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</si>
  <si>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</si>
  <si>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</si>
  <si>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</si>
  <si>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</si>
  <si>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</si>
  <si>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</si>
  <si>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</si>
  <si>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</si>
  <si>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</si>
  <si>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</si>
  <si>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</si>
  <si>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</si>
  <si>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</si>
  <si>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</si>
  <si>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</si>
  <si>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</si>
  <si>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</si>
  <si>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</si>
  <si>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</si>
  <si>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</si>
  <si>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</si>
  <si>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</si>
  <si>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</si>
  <si>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</si>
  <si>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</si>
  <si>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</si>
  <si>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</si>
  <si>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</si>
  <si>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</si>
  <si>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</si>
  <si>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</si>
  <si>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</si>
  <si>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</si>
  <si>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</si>
  <si>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</si>
  <si>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</si>
  <si>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</si>
  <si>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</si>
  <si>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</si>
  <si>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</si>
  <si>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</si>
  <si>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</si>
  <si>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</si>
  <si>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</si>
  <si>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</si>
  <si>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</si>
  <si>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</si>
  <si>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</si>
  <si>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</si>
  <si>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</si>
  <si>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</si>
  <si>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</si>
  <si>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</si>
  <si>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</si>
  <si>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</si>
  <si>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</si>
  <si>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</si>
  <si>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</si>
  <si>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</si>
  <si>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</si>
  <si>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</si>
  <si>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</si>
  <si>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</si>
  <si>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</si>
  <si>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</si>
  <si>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</si>
  <si>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</si>
  <si>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</si>
  <si>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</si>
  <si>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</si>
  <si>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</si>
  <si>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</si>
  <si>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</si>
  <si>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</si>
  <si>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</si>
  <si>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</si>
  <si>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</si>
  <si>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</si>
  <si>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</si>
  <si>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</si>
  <si>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</si>
  <si>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</si>
  <si>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</si>
  <si>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</si>
  <si>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</si>
  <si>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</si>
  <si>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</si>
  <si>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</si>
  <si>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</si>
  <si>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</si>
  <si>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</si>
  <si>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</si>
  <si>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</si>
  <si>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</si>
  <si>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</si>
  <si>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</si>
  <si>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</si>
  <si>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</si>
  <si>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</si>
  <si>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</si>
  <si>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</si>
  <si>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</si>
  <si>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</si>
  <si>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</si>
  <si>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</si>
  <si>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</si>
  <si>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</si>
  <si>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</si>
  <si>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</si>
  <si>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</si>
  <si>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</si>
  <si>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</si>
  <si>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</si>
  <si>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</si>
  <si>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</si>
  <si>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</si>
  <si>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</si>
  <si>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</si>
  <si>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</si>
  <si>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</si>
  <si>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</si>
  <si>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</si>
  <si>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</si>
  <si>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</si>
  <si>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</si>
  <si>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</si>
  <si>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</si>
  <si>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</si>
  <si>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</si>
  <si>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</si>
  <si>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</si>
  <si>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</si>
  <si>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</si>
  <si>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</si>
  <si>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</si>
  <si>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</si>
  <si>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</si>
  <si>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</si>
  <si>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</si>
  <si>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</si>
  <si>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</si>
  <si>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</si>
  <si>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</si>
  <si>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</si>
  <si>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</si>
  <si>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</si>
  <si>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</si>
  <si>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</si>
  <si>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</si>
  <si>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</si>
  <si>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</si>
  <si>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</si>
  <si>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</si>
  <si>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</si>
  <si>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</si>
  <si>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</si>
  <si>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</si>
  <si>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</si>
  <si>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</si>
  <si>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</si>
  <si>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</si>
  <si>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</si>
  <si>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</si>
  <si>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</si>
  <si>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</si>
  <si>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</si>
  <si>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</si>
  <si>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</si>
  <si>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</si>
  <si>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</si>
  <si>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</si>
  <si>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</si>
  <si>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</si>
  <si>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</si>
  <si>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</si>
  <si>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</si>
  <si>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</si>
  <si>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</si>
  <si>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</si>
  <si>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</si>
  <si>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</si>
  <si>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</si>
  <si>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</si>
  <si>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</si>
  <si>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</si>
  <si>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</si>
  <si>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</si>
  <si>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</si>
  <si>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</si>
  <si>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</si>
  <si>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</si>
  <si>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</si>
  <si>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</si>
  <si>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</si>
  <si>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</si>
  <si>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</si>
  <si>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</si>
  <si>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</si>
  <si>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</si>
  <si>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</si>
  <si>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</si>
  <si>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</si>
  <si>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</si>
  <si>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</si>
  <si>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</si>
  <si>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</si>
  <si>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</si>
  <si>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</si>
  <si>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</si>
  <si>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</si>
  <si>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</si>
  <si>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</si>
  <si>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</si>
  <si>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</si>
  <si>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</si>
  <si>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</si>
  <si>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</si>
  <si>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</si>
  <si>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</si>
  <si>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</si>
  <si>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</si>
  <si>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</si>
  <si>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</si>
  <si>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</si>
  <si>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</si>
  <si>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</si>
  <si>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</si>
  <si>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</si>
  <si>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</si>
  <si>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</si>
  <si>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</si>
  <si>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</si>
  <si>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</si>
  <si>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</si>
  <si>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</si>
  <si>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</si>
  <si>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</si>
  <si>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</si>
  <si>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</si>
  <si>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</si>
  <si>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</si>
  <si>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</si>
  <si>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</si>
  <si>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</si>
  <si>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</si>
  <si>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</si>
  <si>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</si>
  <si>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</si>
  <si>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</si>
  <si>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</si>
  <si>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</si>
  <si>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</si>
  <si>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</si>
  <si>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</si>
  <si>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</si>
  <si>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</si>
  <si>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</si>
  <si>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</si>
  <si>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</si>
  <si>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</si>
  <si>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</si>
  <si>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</si>
  <si>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</si>
  <si>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</si>
  <si>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</si>
  <si>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</si>
  <si>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</si>
  <si>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</si>
  <si>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</si>
  <si>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</si>
  <si>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</si>
  <si>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</si>
  <si>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</si>
  <si>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</si>
  <si>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</si>
  <si>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</si>
  <si>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</si>
  <si>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</si>
  <si>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</si>
  <si>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</si>
  <si>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</si>
  <si>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</si>
  <si>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</si>
  <si>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</si>
  <si>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</si>
  <si>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</si>
  <si>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</si>
  <si>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</si>
  <si>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</si>
  <si>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</si>
  <si>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</si>
  <si>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</si>
  <si>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</si>
  <si>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</si>
  <si>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</si>
  <si>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</si>
  <si>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</si>
  <si>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</si>
  <si>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</si>
  <si>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</si>
  <si>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</si>
  <si>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</si>
  <si>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</si>
  <si>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</si>
  <si>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</si>
  <si>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</si>
  <si>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</si>
  <si>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</si>
  <si>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</si>
  <si>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</si>
  <si>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</si>
  <si>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</si>
  <si>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</si>
  <si>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</si>
  <si>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</si>
  <si>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</si>
  <si>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</si>
  <si>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</si>
  <si>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</si>
  <si>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</si>
  <si>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</si>
  <si>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</si>
  <si>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</si>
  <si>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</si>
  <si>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</si>
  <si>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</si>
  <si>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</si>
  <si>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</si>
  <si>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</si>
  <si>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</si>
  <si>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</si>
  <si>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</si>
  <si>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</si>
  <si>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</si>
  <si>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</si>
  <si>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</si>
  <si>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</si>
  <si>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</si>
  <si>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</si>
  <si>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</si>
  <si>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</si>
  <si>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</si>
  <si>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</si>
  <si>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</si>
  <si>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</si>
  <si>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</si>
  <si>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</si>
  <si>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</si>
  <si>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</si>
  <si>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</si>
  <si>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</si>
  <si>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</si>
  <si>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</si>
  <si>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</si>
  <si>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</si>
  <si>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</si>
  <si>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</si>
  <si>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</si>
  <si>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</si>
  <si>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</si>
  <si>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</si>
  <si>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</si>
  <si>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</si>
  <si>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</si>
  <si>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</si>
  <si>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</si>
  <si>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</si>
  <si>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</si>
  <si>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</si>
  <si>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</si>
  <si>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</si>
  <si>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</si>
  <si>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</si>
  <si>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</si>
  <si>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</si>
  <si>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</si>
  <si>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</si>
  <si>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</si>
  <si>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</si>
  <si>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</si>
  <si>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</si>
  <si>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</si>
  <si>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</si>
  <si>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</si>
  <si>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</si>
  <si>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</si>
  <si>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</si>
  <si>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</si>
  <si>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</si>
  <si>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</si>
  <si>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</si>
  <si>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</si>
  <si>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</si>
  <si>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</si>
  <si>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</si>
  <si>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</si>
  <si>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</si>
  <si>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</si>
  <si>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</si>
  <si>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</si>
  <si>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</si>
  <si>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</si>
  <si>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</si>
  <si>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</si>
  <si>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</si>
  <si>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</si>
  <si>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</si>
  <si>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</si>
  <si>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</si>
  <si>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</si>
  <si>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</si>
  <si>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</si>
  <si>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</si>
  <si>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</si>
  <si>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</si>
  <si>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</si>
  <si>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</si>
  <si>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</si>
  <si>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</si>
  <si>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</si>
  <si>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</si>
  <si>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</si>
  <si>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</si>
  <si>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</si>
  <si>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</si>
  <si>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</si>
  <si>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</si>
  <si>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</si>
  <si>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</si>
  <si>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</si>
  <si>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</si>
  <si>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</si>
  <si>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</si>
  <si>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</si>
  <si>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</si>
  <si>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</si>
  <si>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</si>
  <si>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</si>
  <si>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</si>
  <si>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</si>
  <si>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</si>
  <si>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</si>
  <si>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</si>
  <si>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</si>
  <si>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</si>
  <si>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</si>
  <si>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</si>
  <si>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</si>
  <si>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</si>
  <si>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</si>
  <si>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</si>
  <si>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</si>
  <si>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</si>
  <si>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</si>
  <si>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</si>
  <si>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</si>
  <si>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</si>
  <si>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</si>
  <si>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</si>
  <si>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</si>
  <si>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</si>
  <si>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</si>
  <si>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</si>
  <si>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</si>
  <si>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</si>
  <si>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</si>
  <si>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</si>
  <si>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</si>
  <si>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</si>
  <si>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</si>
  <si>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</si>
  <si>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</si>
  <si>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</si>
  <si>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</si>
  <si>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</si>
  <si>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</si>
  <si>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</si>
  <si>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</si>
  <si>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</si>
  <si>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</si>
  <si>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</si>
  <si>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</si>
  <si>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</si>
  <si>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</si>
  <si>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</si>
  <si>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</si>
  <si>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</si>
  <si>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</si>
  <si>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</si>
  <si>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</si>
  <si>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</si>
  <si>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</si>
  <si>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</si>
  <si>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</si>
  <si>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</si>
  <si>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</si>
  <si>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</si>
  <si>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</si>
  <si>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</si>
  <si>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</si>
  <si>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</si>
  <si>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</si>
  <si>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</si>
  <si>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</si>
  <si>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</si>
  <si>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</si>
  <si>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</si>
  <si>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</si>
  <si>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</si>
  <si>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</si>
  <si>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</si>
  <si>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</si>
  <si>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</si>
  <si>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</si>
  <si>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</si>
  <si>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</si>
  <si>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</si>
  <si>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</si>
  <si>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</si>
  <si>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</si>
  <si>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</si>
  <si>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</si>
  <si>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</si>
  <si>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</si>
  <si>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</si>
  <si>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</si>
  <si>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</si>
  <si>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</si>
  <si>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</si>
  <si>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</si>
  <si>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</si>
  <si>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</si>
  <si>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</si>
  <si>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</si>
  <si>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</si>
  <si>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</si>
  <si>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</si>
  <si>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</si>
  <si>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</si>
  <si>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</si>
  <si>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</si>
  <si>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</si>
  <si>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</si>
  <si>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</si>
  <si>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</si>
  <si>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</si>
  <si>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</si>
  <si>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</si>
  <si>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</si>
  <si>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</si>
  <si>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</si>
  <si>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</si>
  <si>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</si>
  <si>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</si>
  <si>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</si>
  <si>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</si>
  <si>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</si>
  <si>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</si>
  <si>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</si>
  <si>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</si>
  <si>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</si>
  <si>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</si>
  <si>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</si>
  <si>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</si>
  <si>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</si>
  <si>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</si>
  <si>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</si>
  <si>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</si>
  <si>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</si>
  <si>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</si>
  <si>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</si>
  <si>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</si>
  <si>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</si>
  <si>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</si>
  <si>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</si>
  <si>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</si>
  <si>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</si>
  <si>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</si>
  <si>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</si>
  <si>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</si>
  <si>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</si>
  <si>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</si>
  <si>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</si>
  <si>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</si>
  <si>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</si>
  <si>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</si>
  <si>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</si>
  <si>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</si>
  <si>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</si>
  <si>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</si>
  <si>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</si>
  <si>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</si>
  <si>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</si>
  <si>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</si>
  <si>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</si>
  <si>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</si>
  <si>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</si>
  <si>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</si>
  <si>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</si>
  <si>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</si>
  <si>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</si>
  <si>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</si>
  <si>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</si>
  <si>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</si>
  <si>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</si>
  <si>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</si>
  <si>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</si>
  <si>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</si>
  <si>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</si>
  <si>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</si>
  <si>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</si>
  <si>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</si>
  <si>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</si>
  <si>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</si>
  <si>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</si>
  <si>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</si>
  <si>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</si>
  <si>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</si>
  <si>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</si>
  <si>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</si>
  <si>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</si>
  <si>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</si>
  <si>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</si>
  <si>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</si>
  <si>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</si>
  <si>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</si>
  <si>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</si>
  <si>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</si>
  <si>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</si>
  <si>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</si>
  <si>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</si>
  <si>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</si>
  <si>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</si>
  <si>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</si>
  <si>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</si>
  <si>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</si>
  <si>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</si>
  <si>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</si>
  <si>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</si>
  <si>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</si>
  <si>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</si>
  <si>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</si>
  <si>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</si>
  <si>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</si>
  <si>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</si>
  <si>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</si>
  <si>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</si>
  <si>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</si>
  <si>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</si>
  <si>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</si>
  <si>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</si>
  <si>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</si>
  <si>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</si>
  <si>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</si>
  <si>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</si>
  <si>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</si>
  <si>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</si>
  <si>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</si>
  <si>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</si>
  <si>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</si>
  <si>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</si>
  <si>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</si>
  <si>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</si>
  <si>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</si>
  <si>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</si>
  <si>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</si>
  <si>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</si>
  <si>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</si>
  <si>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</si>
  <si>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</si>
  <si>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</si>
  <si>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</si>
  <si>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</si>
  <si>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</si>
  <si>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</si>
  <si>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</si>
  <si>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</si>
  <si>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</si>
  <si>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</si>
  <si>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</si>
  <si>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</si>
  <si>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</si>
  <si>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</si>
  <si>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</si>
  <si>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</si>
  <si>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</si>
  <si>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</si>
  <si>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</si>
  <si>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</si>
  <si>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</si>
  <si>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</si>
  <si>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</si>
  <si>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</si>
  <si>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</si>
  <si>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</si>
  <si>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</si>
  <si>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</si>
  <si>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</si>
  <si>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</si>
  <si>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</si>
  <si>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</si>
  <si>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</si>
  <si>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</si>
  <si>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</si>
  <si>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</si>
  <si>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</si>
  <si>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</si>
  <si>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</si>
  <si>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</si>
  <si>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</si>
  <si>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</si>
  <si>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</si>
  <si>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</si>
  <si>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</si>
  <si>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</si>
  <si>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</si>
  <si>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</si>
  <si>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</si>
  <si>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</si>
  <si>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</si>
  <si>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</si>
  <si>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</si>
  <si>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</si>
  <si>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</si>
  <si>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</si>
  <si>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</si>
  <si>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</si>
  <si>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</si>
  <si>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</si>
  <si>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Linc-Wilmington Apartments LP</t>
  </si>
  <si>
    <t>SagePointe</t>
  </si>
  <si>
    <t>1200 W. 7th Street, 8th Floor</t>
  </si>
  <si>
    <t>213-808-8596</t>
  </si>
  <si>
    <t>timothy.elliot@lacity.org</t>
  </si>
  <si>
    <t>213-808-8910</t>
  </si>
  <si>
    <t>CDLAC-TCAC Joint Application (submitting concurrently)</t>
  </si>
  <si>
    <t>Address not established. On Eubank Avenue, north of Pacific Coast Highway</t>
  </si>
  <si>
    <t>7422-023-047</t>
  </si>
  <si>
    <t>40%/60%</t>
  </si>
  <si>
    <t>3590 Elm Avenue</t>
  </si>
  <si>
    <t>Long Beach</t>
  </si>
  <si>
    <t>Frances Sarmiento</t>
  </si>
  <si>
    <t>562-684-1102</t>
  </si>
  <si>
    <t>562-684-1137</t>
  </si>
  <si>
    <t>fsarmiento@linchousing.org</t>
  </si>
  <si>
    <t>Linc Community Development Corporation</t>
  </si>
  <si>
    <t>Linc-Wilmington Apts LLC</t>
  </si>
  <si>
    <t>Managing GP</t>
  </si>
  <si>
    <t>CA</t>
  </si>
  <si>
    <t>Long Beach, CA 90807</t>
  </si>
  <si>
    <t>Carle, Mackie, Power, &amp; Ross LLP</t>
  </si>
  <si>
    <t>100 B Street, Suite 400</t>
  </si>
  <si>
    <t>Santa Rosa, CA 95401</t>
  </si>
  <si>
    <t>707-526-4200</t>
  </si>
  <si>
    <t>707-526-4707</t>
  </si>
  <si>
    <t>Henry Loh</t>
  </si>
  <si>
    <t>hloh@cmprlaw.com</t>
  </si>
  <si>
    <t>D33 Design and Planning</t>
  </si>
  <si>
    <t>31866 Camino Capistrano</t>
  </si>
  <si>
    <t>San Juan Capistrano, CA 92675</t>
  </si>
  <si>
    <t>Brian Weller</t>
  </si>
  <si>
    <t>949-230-4537</t>
  </si>
  <si>
    <t>949-544-0427</t>
  </si>
  <si>
    <t>bweller@d33design.com</t>
  </si>
  <si>
    <t>Walton Construction</t>
  </si>
  <si>
    <t>358 E. Foothill Blvd</t>
  </si>
  <si>
    <t>San Dimas, CA 91733</t>
  </si>
  <si>
    <t>Paul Pieroth</t>
  </si>
  <si>
    <t>909-267-7830</t>
  </si>
  <si>
    <t>ppieroth@waltoncs.com</t>
  </si>
  <si>
    <t>Partner Energy</t>
  </si>
  <si>
    <t>680 Knox Street, Suite 500</t>
  </si>
  <si>
    <t>Los Angeles, CA 90502</t>
  </si>
  <si>
    <t>Greg Switzer</t>
  </si>
  <si>
    <t>Holthouse Carlin &amp; Van Trigt LLP</t>
  </si>
  <si>
    <t>400 W Ventura Blvd., Suite #250</t>
  </si>
  <si>
    <t xml:space="preserve">Camarillo, CA 93010          
</t>
  </si>
  <si>
    <t>David Bierhorst</t>
  </si>
  <si>
    <t>805-374-8555</t>
  </si>
  <si>
    <t>805-413-1749</t>
  </si>
  <si>
    <t>daveb@hcvt.com</t>
  </si>
  <si>
    <t>TBD</t>
  </si>
  <si>
    <t>California Housing Partnership</t>
  </si>
  <si>
    <t>600 Wilshire Blvd., Suite 890</t>
  </si>
  <si>
    <t>Los Angeles, CA 90017</t>
  </si>
  <si>
    <t>Chad Horsford</t>
  </si>
  <si>
    <t>213-892-8277</t>
  </si>
  <si>
    <t>chorsford@chpc.net</t>
  </si>
  <si>
    <t>Kinetic Valuation Group</t>
  </si>
  <si>
    <t>11060 Oak Street, Suite 6</t>
  </si>
  <si>
    <t>Omaha, NE 68144</t>
  </si>
  <si>
    <t>Jay Wortmann</t>
  </si>
  <si>
    <t>818-914-1892</t>
  </si>
  <si>
    <t>jay@kvgteam.com</t>
  </si>
  <si>
    <t>Buss-Shelger Associates</t>
  </si>
  <si>
    <t>970 W. 190ths St., Suite 350</t>
  </si>
  <si>
    <t>Torrance, CA 90502</t>
  </si>
  <si>
    <t>Ronald L. Buss</t>
  </si>
  <si>
    <t>213-388-7272</t>
  </si>
  <si>
    <t>213-254-9032</t>
  </si>
  <si>
    <t>bussshelger@pacbell.net</t>
  </si>
  <si>
    <t>HCIDLA</t>
  </si>
  <si>
    <t>1200 West 7th Street, 1st Floor</t>
  </si>
  <si>
    <t>Dianne Mattingly</t>
  </si>
  <si>
    <t>213-808-8983</t>
  </si>
  <si>
    <t>dianne.mattingly@lacity.org</t>
  </si>
  <si>
    <t>The John Stewart Company</t>
  </si>
  <si>
    <t>888 S. Figueroa St., Suite 700</t>
  </si>
  <si>
    <t>Carlos Ortiz</t>
  </si>
  <si>
    <t>213-833-1864</t>
  </si>
  <si>
    <t>213-787-2710</t>
  </si>
  <si>
    <t>COrtiz@jsco.net</t>
  </si>
  <si>
    <t>Warren Resources of California, Inc.</t>
  </si>
  <si>
    <t>James A. Watt</t>
  </si>
  <si>
    <t>President &amp; CEO</t>
  </si>
  <si>
    <t>310-329-9000</t>
  </si>
  <si>
    <t>Inner City Infill Site</t>
  </si>
  <si>
    <t>General Commercial</t>
  </si>
  <si>
    <t>(T)[Q]C2-1XL-O-CUGU, 56 units</t>
  </si>
  <si>
    <t>55 units reserved for Very Low Income Households for a period of 55 years.</t>
  </si>
  <si>
    <t>36 feet</t>
  </si>
  <si>
    <t>0.3 parking spaces per unit</t>
  </si>
  <si>
    <t>LACDA Loan</t>
  </si>
  <si>
    <t>Costs Deferred Until Completion</t>
  </si>
  <si>
    <t>Air Conditioning</t>
  </si>
  <si>
    <t>Housing Authority of the City of Los Angeles</t>
  </si>
  <si>
    <t>Misc. Admin/Telephone, Cable &amp; Internet</t>
  </si>
  <si>
    <t>Misc. Expenses</t>
  </si>
  <si>
    <t>License &amp; Fees</t>
  </si>
  <si>
    <t>HACLA</t>
  </si>
  <si>
    <t>Project-based vouchers (PBVs)</t>
  </si>
  <si>
    <t>Transition Reserve</t>
  </si>
  <si>
    <t>Mr. Timothy Elliot</t>
  </si>
  <si>
    <t>General Partner/Developer</t>
  </si>
  <si>
    <t>310-220-6199</t>
  </si>
  <si>
    <t xml:space="preserve">gswitzer@ptrenergy.com </t>
  </si>
  <si>
    <t>Site is located approximately 230 feet from northwestern corner of the intersection of Eubank Avenue and Pacific Coast Highway</t>
  </si>
  <si>
    <t>See General Partner below</t>
  </si>
  <si>
    <t>Variable</t>
  </si>
  <si>
    <t>Other: Payment and Performance Bond</t>
  </si>
  <si>
    <t>Other: Deputy Inspector &amp; 3rd Party Construction Mgmt</t>
  </si>
  <si>
    <t>Other: Security During Construction</t>
  </si>
  <si>
    <t>Other: Sustainability Consultant, Soils &amp; Survey</t>
  </si>
  <si>
    <t>Other: Entitlements and Utility Connection Fees</t>
  </si>
  <si>
    <t>Other: LACDA Monitoring Fees, Prevailing Wage Monitoring</t>
  </si>
  <si>
    <t>Fixed</t>
  </si>
  <si>
    <t>Limited Partner Equity</t>
  </si>
  <si>
    <t>Tax-exempt construction loan</t>
  </si>
  <si>
    <t>300 W. Main Street</t>
  </si>
  <si>
    <t>Alhambra</t>
  </si>
  <si>
    <t>Matt Lust</t>
  </si>
  <si>
    <t>626-586-1809</t>
  </si>
  <si>
    <t>1200 West 7th Street</t>
  </si>
  <si>
    <t>Suny Lay Chang</t>
  </si>
  <si>
    <t>562-684-1108</t>
  </si>
  <si>
    <t>Equity</t>
  </si>
  <si>
    <t>Deferred Costs</t>
  </si>
  <si>
    <t>Residual Receipts</t>
  </si>
  <si>
    <t>Andre' C. Perry</t>
  </si>
  <si>
    <t>213-808-8978</t>
  </si>
  <si>
    <t>Construction Closing</t>
  </si>
  <si>
    <t>Senior</t>
  </si>
  <si>
    <t>LIBOR</t>
  </si>
  <si>
    <t>Annual Issuer Fee</t>
  </si>
  <si>
    <t>Citibank, N.A. Permanent Loan</t>
  </si>
  <si>
    <t>Sonia Rahm</t>
  </si>
  <si>
    <t>213-239-1726</t>
  </si>
  <si>
    <t>300 South Grand Ave., Ste. 3110</t>
  </si>
  <si>
    <t>Debt</t>
  </si>
  <si>
    <t>Tax-Exempt Construction Loan</t>
  </si>
  <si>
    <t>LACDA Affordable Housing Funds</t>
  </si>
  <si>
    <t>General Partner Equity</t>
  </si>
  <si>
    <t>City of Los Angeles HHH</t>
  </si>
  <si>
    <t>City of Los Angeles HHH, HACLA</t>
  </si>
  <si>
    <t>400 Oceangate, Suite 200</t>
  </si>
  <si>
    <t>Long Beach, CA 90802</t>
  </si>
  <si>
    <t>GP Equity</t>
  </si>
  <si>
    <t>Accrued Interest - City of LA HHH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</si>
</sst>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6" fillId="0" borderId="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4495"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5" borderId="6" xfId="4495"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4" xfId="0" applyFont="1" applyFill="1" applyBorder="1" applyAlignment="1" applyProtection="1">
      <alignment horizontal="left" wrapText="1"/>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15" xfId="4495"/>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271"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706</v>
      </c>
      <c r="F40" s="956" t="s">
        <v>1400</v>
      </c>
    </row>
    <row r="41" spans="1:38" s="956"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B1"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1009</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55</v>
      </c>
      <c r="C4" s="682">
        <f>Application!K709</f>
        <v>595</v>
      </c>
      <c r="D4" s="683"/>
      <c r="E4" s="493">
        <v>1629</v>
      </c>
      <c r="F4" s="684">
        <f>E4*B4</f>
        <v>89595</v>
      </c>
      <c r="G4" s="685"/>
      <c r="H4" s="682">
        <f>IF(E4=0," ",(E4-C4))</f>
        <v>1034</v>
      </c>
      <c r="I4" s="684">
        <f>IF(E4=0," ",(H4*B4))</f>
        <v>56870</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32725</v>
      </c>
      <c r="D30" s="683"/>
      <c r="E30" s="683"/>
      <c r="F30" s="688">
        <f>SUM(F4:F28)*12</f>
        <v>1075140</v>
      </c>
      <c r="G30" s="689"/>
      <c r="H30" s="687"/>
      <c r="I30" s="688">
        <f>SUM(I4:I28)*12</f>
        <v>682440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750000</v>
      </c>
      <c r="C5" s="438">
        <f>'Sources and Uses Budget'!$C4</f>
        <v>750000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65000</v>
      </c>
      <c r="C7" s="438">
        <f>'Sources and Uses Budget'!$C6</f>
        <v>65000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815000</v>
      </c>
      <c r="C9" s="442">
        <f>SUM(C5:C8)</f>
        <v>815000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480000</v>
      </c>
      <c r="C11" s="438">
        <f>'Sources and Uses Budget'!$C10</f>
        <v>480000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480000</v>
      </c>
      <c r="C12" s="442">
        <f>SUM(C10:C11)</f>
        <v>480000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1295000</v>
      </c>
      <c r="C13" s="442">
        <f>SUM(C9+C12)</f>
        <v>1295000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30000</v>
      </c>
      <c r="C14" s="438">
        <f>'Sources and Uses Budget'!$C13</f>
        <v>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2276960</v>
      </c>
      <c r="C29" s="438">
        <f>'Sources and Uses Budget'!$C28</f>
        <v>2276960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14000000</v>
      </c>
      <c r="C30" s="438">
        <f>'Sources and Uses Budget'!$C29</f>
        <v>14000000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1172988</v>
      </c>
      <c r="C31" s="438">
        <f>'Sources and Uses Budget'!$C30</f>
        <v>1172988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502709</v>
      </c>
      <c r="C32" s="438">
        <f>'Sources and Uses Budget'!$C31</f>
        <v>502709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670279</v>
      </c>
      <c r="C33" s="438">
        <f>'Sources and Uses Budget'!$C32</f>
        <v>670279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385880</v>
      </c>
      <c r="C35" s="438">
        <f>'Sources and Uses Budget'!$C34</f>
        <v>385880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191030</v>
      </c>
      <c r="C36" s="438">
        <f>'Sources and Uses Budget'!$C35</f>
        <v>191030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19199846</v>
      </c>
      <c r="C37" s="442">
        <f>SUM(C29:C36)</f>
        <v>19199846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500000</v>
      </c>
      <c r="C39" s="438">
        <f>'Sources and Uses Budget'!$C38</f>
        <v>500000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300000</v>
      </c>
      <c r="C40" s="438">
        <f>'Sources and Uses Budget'!$C39</f>
        <v>300000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800000</v>
      </c>
      <c r="C41" s="442">
        <f>SUM(C39:C40)</f>
        <v>800000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350000</v>
      </c>
      <c r="C42" s="438">
        <f>'Sources and Uses Budget'!$C41</f>
        <v>350000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936417</v>
      </c>
      <c r="C44" s="438">
        <f>'Sources and Uses Budget'!$C43</f>
        <v>936417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565067</v>
      </c>
      <c r="C48" s="438">
        <f>'Sources and Uses Budget'!$C47</f>
        <v>565067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9375</v>
      </c>
      <c r="C50" s="438">
        <f>'Sources and Uses Budget'!$C49</f>
        <v>9375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80000</v>
      </c>
      <c r="C51" s="438">
        <f>'Sources and Uses Budget'!$C50</f>
        <v>80000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255565</v>
      </c>
      <c r="C52" s="438">
        <f>'Sources and Uses Budget'!$C51</f>
        <v>255565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1926424</v>
      </c>
      <c r="C54" s="445">
        <f>SUM(C44:C53)</f>
        <v>1926424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23621270</v>
      </c>
      <c r="C64" s="442">
        <f>SUM(C9+C12+C14+C15+C17+C26+C27+C37+C41+C42+C54+C63)</f>
        <v>23621270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35000</v>
      </c>
      <c r="C67" s="438">
        <f>'Sources and Uses Budget'!$C66</f>
        <v>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35000</v>
      </c>
      <c r="C68" s="442">
        <f>SUM(C66:C67)</f>
        <v>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224083</v>
      </c>
      <c r="C73" s="438">
        <f>'Sources and Uses Budget'!$C72</f>
        <v>224083</v>
      </c>
      <c r="D73" s="442">
        <f t="shared" si="0"/>
        <v>0</v>
      </c>
      <c r="E73" s="440"/>
      <c r="F73" s="439"/>
      <c r="G73" s="577"/>
    </row>
    <row r="74" spans="1:253" s="571" customFormat="1">
      <c r="A74" s="444" t="s">
        <v>37</v>
      </c>
      <c r="B74" s="438">
        <f>'Sources and Uses Budget'!$C73</f>
        <v>681016.45</v>
      </c>
      <c r="C74" s="438">
        <f>'Sources and Uses Budget'!$C73</f>
        <v>681016.45</v>
      </c>
      <c r="D74" s="442">
        <f t="shared" si="0"/>
        <v>0</v>
      </c>
      <c r="E74" s="440"/>
      <c r="F74" s="439"/>
      <c r="G74" s="577"/>
    </row>
    <row r="75" spans="1:253" s="571" customFormat="1">
      <c r="A75" s="443" t="s">
        <v>656</v>
      </c>
      <c r="B75" s="442">
        <f>SUM(B70:B74)</f>
        <v>905099.45</v>
      </c>
      <c r="C75" s="442">
        <f>SUM(C70:C74)</f>
        <v>905099.45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1967985</v>
      </c>
      <c r="C77" s="438">
        <f>'Sources and Uses Budget'!$C76</f>
        <v>1967985</v>
      </c>
      <c r="D77" s="442">
        <f t="shared" si="1"/>
        <v>0</v>
      </c>
      <c r="E77" s="440"/>
      <c r="F77" s="439"/>
      <c r="G77" s="577"/>
    </row>
    <row r="78" spans="1:253" s="571" customFormat="1">
      <c r="A78" s="893" t="s">
        <v>63</v>
      </c>
      <c r="B78" s="438">
        <f>'Sources and Uses Budget'!$C77</f>
        <v>312108</v>
      </c>
      <c r="C78" s="438">
        <f>'Sources and Uses Budget'!$C77</f>
        <v>312108</v>
      </c>
      <c r="D78" s="442">
        <f t="shared" ref="D78" si="2">C78-B78</f>
        <v>0</v>
      </c>
      <c r="E78" s="440"/>
      <c r="F78" s="439"/>
      <c r="G78" s="577"/>
    </row>
    <row r="79" spans="1:253" s="571" customFormat="1">
      <c r="A79" s="443" t="s">
        <v>1468</v>
      </c>
      <c r="B79" s="442">
        <f>SUM(B77:B78)</f>
        <v>2280093</v>
      </c>
      <c r="C79" s="442">
        <f>SUM(C77:C78)</f>
        <v>2280093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33344</v>
      </c>
      <c r="C81" s="438">
        <f>'Sources and Uses Budget'!$C80</f>
        <v>33344</v>
      </c>
      <c r="D81" s="442">
        <f t="shared" si="1"/>
        <v>0</v>
      </c>
      <c r="E81" s="440"/>
      <c r="F81" s="439"/>
      <c r="G81" s="577"/>
    </row>
    <row r="82" spans="1:7" s="571" customFormat="1">
      <c r="A82" s="441" t="s">
        <v>845</v>
      </c>
      <c r="B82" s="438">
        <f>'Sources and Uses Budget'!$C81</f>
        <v>35000</v>
      </c>
      <c r="C82" s="438">
        <f>'Sources and Uses Budget'!$C81</f>
        <v>35000</v>
      </c>
      <c r="D82" s="442">
        <f t="shared" si="1"/>
        <v>0</v>
      </c>
      <c r="E82" s="440"/>
      <c r="F82" s="439"/>
      <c r="G82" s="577"/>
    </row>
    <row r="83" spans="1:7" s="571" customFormat="1">
      <c r="A83" s="441" t="s">
        <v>846</v>
      </c>
      <c r="B83" s="438">
        <f>'Sources and Uses Budget'!$C82</f>
        <v>222720</v>
      </c>
      <c r="C83" s="438">
        <f>'Sources and Uses Budget'!$C82</f>
        <v>222720</v>
      </c>
      <c r="D83" s="442">
        <f t="shared" si="1"/>
        <v>0</v>
      </c>
      <c r="E83" s="440"/>
      <c r="F83" s="439"/>
      <c r="G83" s="577"/>
    </row>
    <row r="84" spans="1:7" s="571" customFormat="1">
      <c r="A84" s="441" t="s">
        <v>847</v>
      </c>
      <c r="B84" s="438">
        <f>'Sources and Uses Budget'!$C83</f>
        <v>336000</v>
      </c>
      <c r="C84" s="438">
        <f>'Sources and Uses Budget'!$C83</f>
        <v>336000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53750</v>
      </c>
      <c r="C86" s="438">
        <f>'Sources and Uses Budget'!$C85</f>
        <v>53750</v>
      </c>
      <c r="D86" s="442">
        <f t="shared" si="1"/>
        <v>0</v>
      </c>
      <c r="E86" s="440"/>
      <c r="F86" s="439"/>
      <c r="G86" s="577"/>
    </row>
    <row r="87" spans="1:7" s="571" customFormat="1">
      <c r="A87" s="441" t="s">
        <v>850</v>
      </c>
      <c r="B87" s="438">
        <f>'Sources and Uses Budget'!$C86</f>
        <v>202800</v>
      </c>
      <c r="C87" s="438">
        <f>'Sources and Uses Budget'!$C86</f>
        <v>202800</v>
      </c>
      <c r="D87" s="442">
        <f t="shared" si="1"/>
        <v>0</v>
      </c>
      <c r="E87" s="440"/>
      <c r="F87" s="439"/>
      <c r="G87" s="577"/>
    </row>
    <row r="88" spans="1:7" s="571" customFormat="1">
      <c r="A88" s="441" t="s">
        <v>851</v>
      </c>
      <c r="B88" s="438">
        <f>'Sources and Uses Budget'!$C87</f>
        <v>15000</v>
      </c>
      <c r="C88" s="438">
        <f>'Sources and Uses Budget'!$C87</f>
        <v>15000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205000</v>
      </c>
      <c r="C91" s="438">
        <f>'Sources and Uses Budget'!$C90</f>
        <v>205000</v>
      </c>
      <c r="D91" s="442">
        <f t="shared" si="1"/>
        <v>0</v>
      </c>
      <c r="E91" s="440"/>
      <c r="F91" s="439"/>
      <c r="G91" s="577"/>
    </row>
    <row r="92" spans="1:7" s="571" customFormat="1">
      <c r="A92" s="444" t="s">
        <v>37</v>
      </c>
      <c r="B92" s="438">
        <f>'Sources and Uses Budget'!$C91</f>
        <v>120000</v>
      </c>
      <c r="C92" s="438">
        <f>'Sources and Uses Budget'!$C91</f>
        <v>120000</v>
      </c>
      <c r="D92" s="442">
        <f t="shared" si="1"/>
        <v>0</v>
      </c>
      <c r="E92" s="440"/>
      <c r="F92" s="439"/>
      <c r="G92" s="577"/>
    </row>
    <row r="93" spans="1:7" s="571" customFormat="1">
      <c r="A93" s="444" t="s">
        <v>37</v>
      </c>
      <c r="B93" s="438">
        <f>'Sources and Uses Budget'!$C92</f>
        <v>90000</v>
      </c>
      <c r="C93" s="438">
        <f>'Sources and Uses Budget'!$C92</f>
        <v>90000</v>
      </c>
      <c r="D93" s="442">
        <f t="shared" si="1"/>
        <v>0</v>
      </c>
      <c r="E93" s="440"/>
      <c r="F93" s="439"/>
      <c r="G93" s="577"/>
    </row>
    <row r="94" spans="1:7" s="571" customFormat="1">
      <c r="A94" s="444" t="s">
        <v>37</v>
      </c>
      <c r="B94" s="438">
        <f>'Sources and Uses Budget'!$C93</f>
        <v>285775</v>
      </c>
      <c r="C94" s="438">
        <f>'Sources and Uses Budget'!$C93</f>
        <v>285775</v>
      </c>
      <c r="D94" s="442">
        <f t="shared" si="1"/>
        <v>0</v>
      </c>
      <c r="E94" s="440"/>
      <c r="F94" s="439"/>
      <c r="G94" s="577"/>
    </row>
    <row r="95" spans="1:7" s="571" customFormat="1">
      <c r="A95" s="444" t="s">
        <v>37</v>
      </c>
      <c r="B95" s="438">
        <f>'Sources and Uses Budget'!$C94</f>
        <v>30660</v>
      </c>
      <c r="C95" s="438">
        <f>'Sources and Uses Budget'!$C94</f>
        <v>30660</v>
      </c>
      <c r="D95" s="442">
        <f t="shared" si="1"/>
        <v>0</v>
      </c>
      <c r="E95" s="440"/>
      <c r="F95" s="439"/>
      <c r="G95" s="577"/>
    </row>
    <row r="96" spans="1:7" s="571" customFormat="1">
      <c r="A96" s="443" t="s">
        <v>852</v>
      </c>
      <c r="B96" s="442">
        <f>SUM(B81:B95)</f>
        <v>1645049</v>
      </c>
      <c r="C96" s="442">
        <f>SUM(C81:C95)</f>
        <v>1645049</v>
      </c>
      <c r="D96" s="442">
        <f t="shared" si="1"/>
        <v>0</v>
      </c>
      <c r="E96" s="440"/>
      <c r="F96" s="439"/>
      <c r="G96" s="577"/>
    </row>
    <row r="97" spans="1:7" s="571" customFormat="1">
      <c r="A97" s="443" t="s">
        <v>853</v>
      </c>
      <c r="B97" s="442">
        <f>SUM(B64+B68+B75+B79+B96)</f>
        <v>28486511.449999999</v>
      </c>
      <c r="C97" s="442">
        <f>SUM(C64+C68+C75+C79+C96)</f>
        <v>28486511.449999999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3445031</v>
      </c>
      <c r="C99" s="438">
        <f>'Sources and Uses Budget'!$C98</f>
        <v>3445031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3445031</v>
      </c>
      <c r="C105" s="442">
        <f>SUM(C99:C104)</f>
        <v>3445031</v>
      </c>
      <c r="D105" s="442">
        <f t="shared" si="1"/>
        <v>0</v>
      </c>
      <c r="E105" s="440"/>
      <c r="F105" s="439"/>
      <c r="G105" s="575"/>
    </row>
    <row r="106" spans="1:7" s="570" customFormat="1">
      <c r="A106" s="443" t="s">
        <v>861</v>
      </c>
      <c r="B106" s="445">
        <f>SUM(B97+B105)</f>
        <v>31931542.449999999</v>
      </c>
      <c r="C106" s="445">
        <f>SUM(C97+C105)</f>
        <v>31931542.449999999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328</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328</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328</v>
      </c>
      <c r="D21" s="985" t="s">
        <v>1282</v>
      </c>
      <c r="E21" s="985"/>
      <c r="F21" s="985"/>
    </row>
    <row r="22" spans="1:7" ht="14.25">
      <c r="A22" s="270"/>
      <c r="B22" s="270"/>
      <c r="D22" s="138"/>
    </row>
    <row r="23" spans="1:7" ht="14.25">
      <c r="A23" s="270"/>
      <c r="B23" s="703" t="s">
        <v>328</v>
      </c>
      <c r="D23" s="956" t="s">
        <v>1283</v>
      </c>
      <c r="E23" s="956"/>
      <c r="F23" s="956"/>
    </row>
    <row r="24" spans="1:7" ht="14.25">
      <c r="A24" s="270"/>
      <c r="B24" s="270"/>
      <c r="D24" s="956"/>
      <c r="E24" s="956"/>
      <c r="F24" s="956"/>
    </row>
    <row r="25" spans="1:7"/>
    <row r="26" spans="1:7" ht="14.25">
      <c r="A26" s="270"/>
      <c r="B26" s="703" t="s">
        <v>328</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328</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328</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328</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328</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328</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328</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328</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328</v>
      </c>
      <c r="D61" s="958" t="s">
        <v>1292</v>
      </c>
      <c r="E61" s="958"/>
      <c r="F61" s="958"/>
    </row>
    <row r="62" spans="1:7">
      <c r="D62" s="958"/>
      <c r="E62" s="958"/>
      <c r="F62" s="958"/>
    </row>
    <row r="63" spans="1:7"/>
    <row r="64" spans="1:7" ht="14.25">
      <c r="A64" s="270"/>
      <c r="B64" s="703" t="s">
        <v>328</v>
      </c>
      <c r="D64" s="958" t="s">
        <v>1293</v>
      </c>
      <c r="E64" s="958"/>
      <c r="F64" s="958"/>
    </row>
    <row r="65" spans="1:7">
      <c r="D65" s="958"/>
      <c r="E65" s="958"/>
      <c r="F65" s="958"/>
    </row>
    <row r="66" spans="1:7">
      <c r="A66" s="579"/>
      <c r="C66" s="579"/>
      <c r="D66" s="958"/>
      <c r="E66" s="958"/>
      <c r="F66" s="958"/>
    </row>
    <row r="67" spans="1:7">
      <c r="D67" s="12"/>
    </row>
    <row r="68" spans="1:7" ht="14.25">
      <c r="A68" s="270"/>
      <c r="B68" s="703" t="s">
        <v>328</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328</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328</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328</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328</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328</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328</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328</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328</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328</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328</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328</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328</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221</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592</v>
      </c>
      <c r="E196" s="980"/>
      <c r="F196" s="980"/>
    </row>
    <row r="197" spans="1:6" ht="14.25">
      <c r="A197" s="270"/>
      <c r="B197" s="703" t="s">
        <v>328</v>
      </c>
      <c r="D197" s="956" t="s">
        <v>1327</v>
      </c>
      <c r="E197" s="956"/>
      <c r="F197" s="956"/>
    </row>
    <row r="198" spans="1:6" ht="14.25">
      <c r="A198" s="270"/>
      <c r="B198" s="270"/>
      <c r="D198" s="956"/>
      <c r="E198" s="956"/>
      <c r="F198" s="956"/>
    </row>
    <row r="199" spans="1:6"/>
    <row r="200" spans="1:6" ht="14.25">
      <c r="A200" s="270"/>
      <c r="B200" s="703" t="s">
        <v>328</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328</v>
      </c>
      <c r="D210" s="977" t="s">
        <v>1330</v>
      </c>
      <c r="E210" s="977"/>
      <c r="F210" s="977"/>
    </row>
    <row r="211" spans="1:7" ht="14.25">
      <c r="A211" s="270"/>
      <c r="B211" s="270"/>
      <c r="D211" s="977"/>
      <c r="E211" s="977"/>
      <c r="F211" s="977"/>
    </row>
    <row r="212" spans="1:7" ht="14.25">
      <c r="A212" s="270"/>
      <c r="B212" s="270"/>
      <c r="D212" s="978" t="s">
        <v>992</v>
      </c>
      <c r="E212" s="978"/>
      <c r="F212" s="978"/>
    </row>
    <row r="213" spans="1:7" ht="14.25">
      <c r="A213" s="270"/>
      <c r="B213" s="270"/>
      <c r="D213" s="138"/>
      <c r="E213" s="138"/>
      <c r="F213" s="138"/>
    </row>
    <row r="214" spans="1:7" ht="14.45" customHeight="1">
      <c r="A214" s="270"/>
      <c r="B214" s="703" t="s">
        <v>328</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328</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284</v>
      </c>
      <c r="E227" s="980"/>
      <c r="F227" s="980"/>
    </row>
    <row r="228" spans="1:6" ht="14.25">
      <c r="A228" s="270"/>
      <c r="B228" s="703" t="s">
        <v>328</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328</v>
      </c>
      <c r="D231" s="977" t="s">
        <v>1336</v>
      </c>
      <c r="E231" s="977"/>
      <c r="F231" s="977"/>
    </row>
    <row r="232" spans="1:6">
      <c r="D232" s="977"/>
      <c r="E232" s="977"/>
      <c r="F232" s="977"/>
    </row>
    <row r="233" spans="1:6">
      <c r="D233" s="989" t="s">
        <v>983</v>
      </c>
      <c r="E233" s="989"/>
      <c r="F233" s="989"/>
    </row>
    <row r="234" spans="1:6">
      <c r="D234" s="138"/>
      <c r="E234" s="138"/>
      <c r="F234" s="138"/>
    </row>
    <row r="235" spans="1:6" ht="14.45" customHeight="1">
      <c r="A235" s="270"/>
      <c r="B235" s="703" t="s">
        <v>328</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328</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222</v>
      </c>
      <c r="E250" s="980"/>
      <c r="F250" s="980"/>
    </row>
    <row r="251" spans="1:7" ht="15.75" customHeight="1">
      <c r="A251" s="270"/>
      <c r="B251" s="270"/>
      <c r="D251" s="986" t="s">
        <v>1340</v>
      </c>
      <c r="E251" s="986"/>
      <c r="F251" s="986"/>
    </row>
    <row r="252" spans="1:7">
      <c r="E252" s="138"/>
      <c r="F252" s="138"/>
    </row>
    <row r="253" spans="1:7" ht="14.25">
      <c r="A253" s="270"/>
      <c r="B253" s="703" t="s">
        <v>328</v>
      </c>
      <c r="D253" s="956" t="s">
        <v>1341</v>
      </c>
      <c r="E253" s="956"/>
      <c r="F253" s="956"/>
    </row>
    <row r="254" spans="1:7" ht="14.25">
      <c r="A254" s="270"/>
      <c r="B254" s="270"/>
      <c r="D254" s="956"/>
      <c r="E254" s="956"/>
      <c r="F254" s="956"/>
    </row>
    <row r="255" spans="1:7">
      <c r="D255" s="138"/>
      <c r="E255" s="138"/>
      <c r="F255" s="138"/>
    </row>
    <row r="256" spans="1:7" ht="14.25">
      <c r="A256" s="270"/>
      <c r="B256" s="703" t="s">
        <v>328</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328</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328</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328</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328</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328</v>
      </c>
      <c r="D279" s="981" t="s">
        <v>1348</v>
      </c>
      <c r="E279" s="981"/>
      <c r="F279" s="981"/>
    </row>
    <row r="280" spans="1:7">
      <c r="E280" s="138"/>
      <c r="F280" s="138"/>
    </row>
    <row r="281" spans="1:7" ht="14.25">
      <c r="A281" s="270"/>
      <c r="B281" s="703" t="s">
        <v>328</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328</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328</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328</v>
      </c>
      <c r="C317" s="335"/>
      <c r="D317" s="1029" t="s">
        <v>1353</v>
      </c>
      <c r="E317" s="1029"/>
      <c r="F317" s="1029"/>
      <c r="G317" s="12"/>
    </row>
    <row r="318" spans="1:7">
      <c r="A318" s="335"/>
      <c r="B318" s="335"/>
      <c r="C318" s="335"/>
      <c r="D318" s="484"/>
      <c r="E318" s="484"/>
      <c r="F318" s="138"/>
      <c r="G318" s="12"/>
    </row>
    <row r="319" spans="1:7">
      <c r="A319" s="335"/>
      <c r="B319" s="703" t="s">
        <v>328</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328</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328</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328</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328</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328</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328</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328</v>
      </c>
      <c r="C416" s="270"/>
      <c r="D416" s="977" t="s">
        <v>1364</v>
      </c>
      <c r="E416" s="977"/>
      <c r="F416" s="977"/>
      <c r="G416" s="12"/>
    </row>
    <row r="417" spans="1:7">
      <c r="D417" s="977"/>
      <c r="E417" s="977"/>
      <c r="F417" s="977"/>
      <c r="G417" s="12"/>
    </row>
    <row r="418" spans="1:7">
      <c r="D418" s="138"/>
      <c r="E418" s="138"/>
      <c r="F418" s="138"/>
      <c r="G418" s="12"/>
    </row>
    <row r="419" spans="1:7" ht="14.25">
      <c r="B419" s="703" t="s">
        <v>328</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328</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328</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328</v>
      </c>
      <c r="C430" s="12"/>
      <c r="D430" s="977"/>
      <c r="E430" s="977"/>
      <c r="F430" s="977"/>
      <c r="G430" s="12"/>
    </row>
    <row r="431" spans="1:7">
      <c r="A431" s="12"/>
      <c r="B431" s="12"/>
      <c r="C431" s="12"/>
      <c r="D431" s="977"/>
      <c r="E431" s="977"/>
      <c r="F431" s="977"/>
      <c r="G431" s="12"/>
    </row>
    <row r="432" spans="1:7">
      <c r="A432" s="12"/>
      <c r="B432" s="703" t="s">
        <v>328</v>
      </c>
      <c r="C432" s="12"/>
      <c r="D432" s="977"/>
      <c r="E432" s="977"/>
      <c r="F432" s="977"/>
      <c r="G432" s="12"/>
    </row>
    <row r="433" spans="1:7" s="743" customFormat="1">
      <c r="D433" s="753"/>
      <c r="E433" s="753"/>
      <c r="F433" s="753"/>
    </row>
    <row r="434" spans="1:7">
      <c r="A434" s="12"/>
      <c r="B434" s="742" t="s">
        <v>328</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328</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328</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328</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328</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328</v>
      </c>
      <c r="D459" s="981" t="s">
        <v>1372</v>
      </c>
      <c r="E459" s="981"/>
      <c r="F459" s="981"/>
      <c r="G459" s="12"/>
    </row>
    <row r="460" spans="1:7" ht="14.25">
      <c r="A460" s="270"/>
      <c r="B460" s="270"/>
      <c r="D460" s="754"/>
      <c r="E460" s="6"/>
      <c r="F460" s="6"/>
      <c r="G460" s="12"/>
    </row>
    <row r="461" spans="1:7" ht="14.25">
      <c r="A461" s="270"/>
      <c r="B461" s="703" t="s">
        <v>328</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328</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328</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328</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328</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328</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328</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328</v>
      </c>
      <c r="C519" s="275"/>
      <c r="D519" s="981" t="s">
        <v>978</v>
      </c>
      <c r="E519" s="981"/>
      <c r="F519" s="981"/>
      <c r="G519" s="12"/>
    </row>
    <row r="520" spans="1:7" ht="13.15" customHeight="1">
      <c r="A520" s="275"/>
      <c r="B520" s="275"/>
      <c r="C520" s="275"/>
      <c r="D520" s="728"/>
      <c r="E520" s="701"/>
      <c r="F520" s="701"/>
      <c r="G520" s="12"/>
    </row>
    <row r="521" spans="1:7" ht="14.25">
      <c r="A521" s="270"/>
      <c r="B521" s="703" t="s">
        <v>328</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328</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328</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328</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328</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328</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328</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328</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328</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328</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224</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328</v>
      </c>
      <c r="D562" s="1004" t="s">
        <v>984</v>
      </c>
      <c r="E562" s="1004"/>
      <c r="F562" s="1004"/>
      <c r="G562" s="57"/>
    </row>
    <row r="563" spans="1:7">
      <c r="A563" s="23"/>
      <c r="B563" s="699"/>
      <c r="D563" s="335"/>
    </row>
    <row r="564" spans="1:7">
      <c r="A564" s="23"/>
      <c r="B564" s="703" t="s">
        <v>328</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328</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328</v>
      </c>
      <c r="D573" s="1005" t="s">
        <v>1231</v>
      </c>
      <c r="E573" s="1005"/>
      <c r="F573" s="1005"/>
    </row>
    <row r="574" spans="1:7">
      <c r="A574" s="23"/>
      <c r="B574" s="699"/>
      <c r="D574" s="1005"/>
      <c r="E574" s="1005"/>
      <c r="F574" s="1005"/>
    </row>
    <row r="575" spans="1:7">
      <c r="A575" s="23"/>
      <c r="B575" s="699"/>
      <c r="D575" s="393"/>
    </row>
    <row r="576" spans="1:7" s="706" customFormat="1">
      <c r="A576" s="712"/>
      <c r="B576" s="703" t="s">
        <v>328</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328</v>
      </c>
      <c r="D579" s="1004" t="s">
        <v>979</v>
      </c>
      <c r="E579" s="1004"/>
      <c r="F579" s="1004"/>
    </row>
    <row r="580" spans="1:7" ht="14.25">
      <c r="A580" s="270"/>
      <c r="B580" s="270"/>
      <c r="D580" s="393"/>
    </row>
    <row r="581" spans="1:7" ht="14.25">
      <c r="A581" s="270"/>
      <c r="B581" s="703" t="s">
        <v>328</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328</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328</v>
      </c>
      <c r="D603" s="973" t="s">
        <v>466</v>
      </c>
      <c r="E603" s="973"/>
      <c r="F603" s="973"/>
      <c r="G603" s="57"/>
    </row>
    <row r="604" spans="1:7">
      <c r="C604" s="277"/>
      <c r="E604" s="12"/>
      <c r="G604" s="57"/>
    </row>
    <row r="605" spans="1:7">
      <c r="A605" s="23"/>
      <c r="B605" s="703" t="s">
        <v>328</v>
      </c>
      <c r="D605" s="976" t="s">
        <v>1318</v>
      </c>
      <c r="E605" s="976"/>
      <c r="F605" s="976"/>
      <c r="G605" s="57"/>
    </row>
    <row r="606" spans="1:7">
      <c r="D606" s="976"/>
      <c r="E606" s="976"/>
      <c r="F606" s="976"/>
      <c r="G606" s="57"/>
    </row>
    <row r="607" spans="1:7">
      <c r="D607" s="12"/>
      <c r="G607" s="57"/>
    </row>
    <row r="608" spans="1:7">
      <c r="B608" s="703" t="s">
        <v>328</v>
      </c>
      <c r="D608" s="976" t="s">
        <v>1319</v>
      </c>
      <c r="E608" s="976"/>
      <c r="F608" s="976"/>
      <c r="G608" s="57"/>
    </row>
    <row r="609" spans="1:7">
      <c r="C609" s="277"/>
      <c r="D609" s="976"/>
      <c r="E609" s="976"/>
      <c r="F609" s="976"/>
      <c r="G609" s="57"/>
    </row>
    <row r="610" spans="1:7">
      <c r="C610" s="277"/>
      <c r="G610" s="57"/>
    </row>
    <row r="611" spans="1:7">
      <c r="B611" s="703" t="s">
        <v>328</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328</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328</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328</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328</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328</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328</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1" t="s">
        <v>1021</v>
      </c>
      <c r="E669" s="981"/>
      <c r="F669" s="981"/>
      <c r="G669" s="57"/>
      <c r="H669" s="278"/>
      <c r="I669" s="278"/>
      <c r="J669" s="278"/>
      <c r="K669" s="278"/>
    </row>
    <row r="670" spans="1:11" ht="14.25">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328</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328</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328</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25">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199</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328</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328</v>
      </c>
      <c r="D19" s="996" t="s">
        <v>1282</v>
      </c>
      <c r="E19" s="996"/>
      <c r="F19" s="996"/>
    </row>
    <row r="20" spans="1:7" ht="14.25">
      <c r="A20" s="822"/>
      <c r="B20" s="822"/>
      <c r="D20" s="825"/>
    </row>
    <row r="21" spans="1:7" ht="14.25">
      <c r="A21" s="822"/>
      <c r="B21" s="823" t="s">
        <v>328</v>
      </c>
      <c r="D21" s="1017" t="s">
        <v>1283</v>
      </c>
      <c r="E21" s="1017"/>
      <c r="F21" s="1017"/>
    </row>
    <row r="22" spans="1:7" ht="14.25">
      <c r="A22" s="822"/>
      <c r="B22" s="822"/>
      <c r="D22" s="1017"/>
      <c r="E22" s="1017"/>
      <c r="F22" s="1017"/>
    </row>
    <row r="23" spans="1:7"/>
    <row r="24" spans="1:7" ht="14.25">
      <c r="A24" s="822"/>
      <c r="B24" s="823" t="s">
        <v>328</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328</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328</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328</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328</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328</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328</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328</v>
      </c>
      <c r="D56" s="974" t="s">
        <v>1291</v>
      </c>
      <c r="E56" s="974"/>
      <c r="F56" s="974"/>
    </row>
    <row r="57" spans="1:7">
      <c r="D57" s="974"/>
      <c r="E57" s="974"/>
      <c r="F57" s="974"/>
    </row>
    <row r="58" spans="1:7">
      <c r="D58" s="974"/>
      <c r="E58" s="974"/>
      <c r="F58" s="974"/>
    </row>
    <row r="59" spans="1:7">
      <c r="D59" s="717"/>
    </row>
    <row r="60" spans="1:7" ht="14.25">
      <c r="A60" s="822"/>
      <c r="B60" s="823" t="s">
        <v>328</v>
      </c>
      <c r="D60" s="974" t="s">
        <v>1292</v>
      </c>
      <c r="E60" s="974"/>
      <c r="F60" s="974"/>
    </row>
    <row r="61" spans="1:7">
      <c r="D61" s="974"/>
      <c r="E61" s="974"/>
      <c r="F61" s="974"/>
    </row>
    <row r="62" spans="1:7"/>
    <row r="63" spans="1:7" ht="14.25">
      <c r="A63" s="822"/>
      <c r="B63" s="823" t="s">
        <v>328</v>
      </c>
      <c r="D63" s="974" t="s">
        <v>1293</v>
      </c>
      <c r="E63" s="974"/>
      <c r="F63" s="974"/>
    </row>
    <row r="64" spans="1:7">
      <c r="D64" s="974"/>
      <c r="E64" s="974"/>
      <c r="F64" s="974"/>
    </row>
    <row r="65" spans="1:7">
      <c r="D65" s="974"/>
      <c r="E65" s="974"/>
      <c r="F65" s="974"/>
    </row>
    <row r="66" spans="1:7">
      <c r="D66" s="815"/>
    </row>
    <row r="67" spans="1:7" ht="14.25">
      <c r="A67" s="822"/>
      <c r="B67" s="823" t="s">
        <v>328</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328</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328</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328</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328</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328</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328</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328</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328</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328</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221</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592</v>
      </c>
      <c r="E192" s="972"/>
      <c r="F192" s="972"/>
    </row>
    <row r="193" spans="1:6" ht="14.25">
      <c r="A193" s="822"/>
      <c r="B193" s="823" t="s">
        <v>328</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328</v>
      </c>
      <c r="D203" s="1056" t="s">
        <v>1330</v>
      </c>
      <c r="E203" s="1056"/>
      <c r="F203" s="1056"/>
    </row>
    <row r="204" spans="1:6" ht="14.25">
      <c r="A204" s="822"/>
      <c r="B204" s="822"/>
      <c r="D204" s="1056"/>
      <c r="E204" s="1056"/>
      <c r="F204" s="1056"/>
    </row>
    <row r="205" spans="1:6" ht="14.25">
      <c r="A205" s="822"/>
      <c r="B205" s="822"/>
      <c r="D205" s="1058" t="s">
        <v>992</v>
      </c>
      <c r="E205" s="1058"/>
      <c r="F205" s="1058"/>
    </row>
    <row r="206" spans="1:6" ht="14.25">
      <c r="A206" s="822"/>
      <c r="B206" s="822"/>
      <c r="D206" s="825"/>
      <c r="E206" s="825"/>
      <c r="F206" s="825"/>
    </row>
    <row r="207" spans="1:6" ht="14.45" customHeight="1">
      <c r="A207" s="822"/>
      <c r="B207" s="823" t="s">
        <v>328</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328</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284</v>
      </c>
      <c r="E220" s="972"/>
      <c r="F220" s="972"/>
    </row>
    <row r="221" spans="1:7" ht="14.45" customHeight="1">
      <c r="A221" s="822"/>
      <c r="B221" s="823" t="s">
        <v>328</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45" customHeight="1">
      <c r="A225" s="822"/>
      <c r="B225" s="823" t="s">
        <v>328</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328</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222</v>
      </c>
      <c r="E240" s="972"/>
      <c r="F240" s="972"/>
    </row>
    <row r="241" spans="1:7" ht="15.75" customHeight="1">
      <c r="A241" s="822"/>
      <c r="B241" s="822"/>
      <c r="D241" s="1057" t="s">
        <v>1340</v>
      </c>
      <c r="E241" s="1057"/>
      <c r="F241" s="1057"/>
    </row>
    <row r="242" spans="1:7">
      <c r="E242" s="825"/>
      <c r="F242" s="825"/>
    </row>
    <row r="243" spans="1:7" ht="14.25">
      <c r="A243" s="822"/>
      <c r="B243" s="823" t="s">
        <v>328</v>
      </c>
      <c r="D243" s="1017" t="s">
        <v>1341</v>
      </c>
      <c r="E243" s="1017"/>
      <c r="F243" s="1017"/>
    </row>
    <row r="244" spans="1:7" ht="14.25">
      <c r="A244" s="822"/>
      <c r="B244" s="822"/>
      <c r="D244" s="1017"/>
      <c r="E244" s="1017"/>
      <c r="F244" s="1017"/>
    </row>
    <row r="245" spans="1:7">
      <c r="D245" s="825"/>
      <c r="E245" s="825"/>
      <c r="F245" s="825"/>
    </row>
    <row r="246" spans="1:7" ht="14.25">
      <c r="A246" s="822"/>
      <c r="B246" s="823" t="s">
        <v>328</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328</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328</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328</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328</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328</v>
      </c>
      <c r="D269" s="1022" t="s">
        <v>1348</v>
      </c>
      <c r="E269" s="1022"/>
      <c r="F269" s="1022"/>
    </row>
    <row r="270" spans="1:7">
      <c r="E270" s="825"/>
      <c r="F270" s="825"/>
    </row>
    <row r="271" spans="1:7" ht="14.25">
      <c r="A271" s="822"/>
      <c r="B271" s="823" t="s">
        <v>328</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328</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328</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328</v>
      </c>
      <c r="C307" s="839"/>
      <c r="D307" s="1029" t="s">
        <v>1353</v>
      </c>
      <c r="E307" s="1029"/>
      <c r="F307" s="1029"/>
      <c r="G307" s="815"/>
    </row>
    <row r="308" spans="1:7">
      <c r="A308" s="839"/>
      <c r="B308" s="839"/>
      <c r="C308" s="839"/>
      <c r="D308" s="811"/>
      <c r="E308" s="811"/>
      <c r="F308" s="825"/>
      <c r="G308" s="815"/>
    </row>
    <row r="309" spans="1:7">
      <c r="A309" s="839"/>
      <c r="B309" s="823" t="s">
        <v>328</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328</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328</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328</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328</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328</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328</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328</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328</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328</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328</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328</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328</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328</v>
      </c>
      <c r="C430" s="815"/>
      <c r="D430" s="1056"/>
      <c r="E430" s="1056"/>
      <c r="F430" s="1056"/>
      <c r="G430" s="815"/>
    </row>
    <row r="431" spans="1:7">
      <c r="A431" s="815"/>
      <c r="B431" s="815"/>
      <c r="C431" s="815"/>
      <c r="D431" s="1056"/>
      <c r="E431" s="1056"/>
      <c r="F431" s="1056"/>
      <c r="G431" s="815"/>
    </row>
    <row r="432" spans="1:7">
      <c r="A432" s="815"/>
      <c r="B432" s="823" t="s">
        <v>328</v>
      </c>
      <c r="C432" s="815"/>
      <c r="D432" s="1056"/>
      <c r="E432" s="1056"/>
      <c r="F432" s="1056"/>
      <c r="G432" s="815"/>
    </row>
    <row r="433" spans="1:7">
      <c r="A433" s="815"/>
      <c r="B433" s="815"/>
      <c r="C433" s="815"/>
      <c r="D433" s="857"/>
      <c r="E433" s="857"/>
      <c r="F433" s="857"/>
      <c r="G433" s="815"/>
    </row>
    <row r="434" spans="1:7">
      <c r="A434" s="815"/>
      <c r="B434" s="823" t="s">
        <v>328</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328</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328</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328</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328</v>
      </c>
      <c r="D455" s="1022" t="s">
        <v>1372</v>
      </c>
      <c r="E455" s="1022"/>
      <c r="F455" s="1022"/>
      <c r="G455" s="815"/>
    </row>
    <row r="456" spans="1:7" ht="14.25">
      <c r="A456" s="822"/>
      <c r="B456" s="822"/>
      <c r="D456" s="810"/>
      <c r="E456" s="696"/>
      <c r="F456" s="696"/>
      <c r="G456" s="815"/>
    </row>
    <row r="457" spans="1:7" ht="14.25">
      <c r="A457" s="822"/>
      <c r="B457" s="823" t="s">
        <v>328</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328</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328</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328</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328</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328</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328</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328</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7" customHeight="1">
      <c r="A518" s="822"/>
      <c r="B518" s="823" t="s">
        <v>328</v>
      </c>
      <c r="C518" s="854"/>
      <c r="D518" s="1022" t="s">
        <v>978</v>
      </c>
      <c r="E518" s="1022"/>
      <c r="F518" s="1022"/>
      <c r="G518" s="815"/>
    </row>
    <row r="519" spans="1:7" ht="13.7" customHeight="1">
      <c r="A519" s="854"/>
      <c r="B519" s="854"/>
      <c r="C519" s="854"/>
      <c r="D519" s="810"/>
      <c r="E519" s="642"/>
      <c r="F519" s="642"/>
      <c r="G519" s="815"/>
    </row>
    <row r="520" spans="1:7" ht="14.25">
      <c r="A520" s="822"/>
      <c r="B520" s="823" t="s">
        <v>328</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328</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328</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328</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328</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328</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328</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328</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328</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224</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328</v>
      </c>
      <c r="D558" s="1004" t="s">
        <v>984</v>
      </c>
      <c r="E558" s="1004"/>
      <c r="F558" s="1004"/>
      <c r="G558" s="844"/>
    </row>
    <row r="559" spans="1:7">
      <c r="A559" s="841"/>
      <c r="B559" s="841"/>
      <c r="D559" s="839"/>
    </row>
    <row r="560" spans="1:7">
      <c r="A560" s="841"/>
      <c r="B560" s="823" t="s">
        <v>328</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328</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328</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328</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328</v>
      </c>
      <c r="D575" s="1004" t="s">
        <v>979</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328</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328</v>
      </c>
      <c r="D592" s="973" t="s">
        <v>466</v>
      </c>
      <c r="E592" s="973"/>
      <c r="F592" s="973"/>
      <c r="G592" s="844"/>
    </row>
    <row r="593" spans="1:7">
      <c r="C593" s="866"/>
      <c r="E593" s="815"/>
      <c r="G593" s="844"/>
    </row>
    <row r="594" spans="1:7">
      <c r="A594" s="841"/>
      <c r="B594" s="823" t="s">
        <v>328</v>
      </c>
      <c r="D594" s="976" t="s">
        <v>1318</v>
      </c>
      <c r="E594" s="976"/>
      <c r="F594" s="976"/>
      <c r="G594" s="844"/>
    </row>
    <row r="595" spans="1:7">
      <c r="D595" s="976"/>
      <c r="E595" s="976"/>
      <c r="F595" s="976"/>
      <c r="G595" s="844"/>
    </row>
    <row r="596" spans="1:7">
      <c r="D596" s="815"/>
      <c r="G596" s="844"/>
    </row>
    <row r="597" spans="1:7">
      <c r="B597" s="823" t="s">
        <v>328</v>
      </c>
      <c r="D597" s="976" t="s">
        <v>1319</v>
      </c>
      <c r="E597" s="976"/>
      <c r="F597" s="976"/>
      <c r="G597" s="844"/>
    </row>
    <row r="598" spans="1:7">
      <c r="C598" s="866"/>
      <c r="D598" s="976"/>
      <c r="E598" s="976"/>
      <c r="F598" s="976"/>
      <c r="G598" s="844"/>
    </row>
    <row r="599" spans="1:7">
      <c r="C599" s="866"/>
      <c r="G599" s="844"/>
    </row>
    <row r="600" spans="1:7">
      <c r="B600" s="823" t="s">
        <v>328</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328</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328</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328</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328</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328</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328</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328</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328</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328</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2" t="s">
        <v>1021</v>
      </c>
      <c r="E676" s="1022"/>
      <c r="F676" s="1022"/>
      <c r="G676" s="844"/>
      <c r="H676" s="869"/>
      <c r="I676" s="869"/>
      <c r="J676" s="869"/>
      <c r="K676" s="869"/>
    </row>
    <row r="677" spans="1:11" ht="14.25">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328</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328</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328</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328</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328</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199</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view="pageBreakPreview" topLeftCell="A981" zoomScaleNormal="100" zoomScaleSheetLayoutView="100" workbookViewId="0">
      <selection activeCell="W197" sqref="W19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9" t="s">
        <v>107</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8" t="s">
        <v>1570</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row>
    <row r="11" spans="1:38" ht="15" customHeight="1">
      <c r="A11" s="1588" t="s">
        <v>1568</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row>
    <row r="12" spans="1:38" ht="12.75">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2" t="s">
        <v>1645</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127" t="s">
        <v>1646</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7" t="s">
        <v>965</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3" t="s">
        <v>1154</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938426.5</v>
      </c>
      <c r="N26" s="1320"/>
      <c r="O26" s="1320"/>
      <c r="P26" s="1320"/>
      <c r="Q26" s="132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5" t="s">
        <v>722</v>
      </c>
      <c r="P33" s="111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7"/>
      <c r="H122" s="1317"/>
      <c r="I122" s="247" t="s">
        <v>194</v>
      </c>
      <c r="L122" s="1317"/>
      <c r="M122" s="1317"/>
      <c r="N122" s="131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c r="D124" s="1314"/>
      <c r="E124" s="1314"/>
      <c r="F124" s="1314"/>
      <c r="G124" s="1314"/>
      <c r="H124" s="1314"/>
      <c r="I124" s="1314"/>
      <c r="J124" s="1314"/>
      <c r="K124" s="1314"/>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7" t="s">
        <v>969</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26" t="s">
        <v>1748</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30" t="s">
        <v>476</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086" t="s">
        <v>1647</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328</v>
      </c>
    </row>
    <row r="157" spans="1:59" ht="12.75">
      <c r="D157" s="32" t="s">
        <v>335</v>
      </c>
      <c r="F157" s="32"/>
      <c r="G157" s="32"/>
      <c r="H157" s="32"/>
      <c r="I157" s="32"/>
      <c r="J157" s="32"/>
      <c r="K157" s="32"/>
      <c r="L157" s="32"/>
      <c r="M157" s="32"/>
      <c r="N157" s="32"/>
      <c r="O157" s="1127" t="s">
        <v>540</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5">
        <v>90017</v>
      </c>
      <c r="P158" s="1545"/>
      <c r="Q158" s="1545"/>
      <c r="R158" s="1545"/>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32" t="s">
        <v>1648</v>
      </c>
      <c r="P159" s="1332"/>
      <c r="Q159" s="1332"/>
      <c r="R159" s="1332"/>
      <c r="S159" s="1332"/>
      <c r="T159" s="1332"/>
      <c r="V159" s="149" t="s">
        <v>286</v>
      </c>
      <c r="W159" s="1546"/>
      <c r="X159" s="1546"/>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32" t="s">
        <v>1650</v>
      </c>
      <c r="P160" s="1332"/>
      <c r="Q160" s="1332"/>
      <c r="R160" s="1332"/>
      <c r="S160" s="1332"/>
      <c r="T160" s="1332"/>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9" t="s">
        <v>1649</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3" t="s">
        <v>1510</v>
      </c>
      <c r="E164" s="1343"/>
      <c r="F164" s="1343"/>
      <c r="G164" s="1343"/>
      <c r="H164" s="1343"/>
      <c r="I164" s="1343"/>
      <c r="J164" s="1343"/>
      <c r="K164" s="1343"/>
      <c r="L164" s="1343"/>
      <c r="M164" s="1343"/>
      <c r="N164" s="1343"/>
      <c r="O164" s="1343"/>
      <c r="P164" s="1343"/>
      <c r="Q164" s="1343"/>
      <c r="R164" s="1343"/>
      <c r="S164" s="1343"/>
      <c r="T164" s="1343"/>
      <c r="U164" s="1343"/>
      <c r="V164" s="1343"/>
      <c r="W164" s="1343"/>
      <c r="X164" s="1343"/>
      <c r="Y164" s="1343"/>
      <c r="Z164" s="1343"/>
      <c r="AA164" s="1343"/>
      <c r="AB164" s="1343"/>
      <c r="AC164" s="1343"/>
      <c r="AD164" s="1343"/>
      <c r="AE164" s="1343"/>
      <c r="AF164" s="1343"/>
      <c r="AG164" s="1343"/>
      <c r="AH164" s="1343"/>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2" t="s">
        <v>402</v>
      </c>
      <c r="K173" s="1342"/>
      <c r="L173" s="1342"/>
      <c r="M173" s="1342"/>
      <c r="N173" s="1342"/>
      <c r="O173" s="1342"/>
      <c r="P173" s="1342"/>
      <c r="Q173" s="1342"/>
      <c r="R173" s="1342"/>
      <c r="S173" s="1342"/>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086" t="s">
        <v>1651</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5" t="s">
        <v>722</v>
      </c>
      <c r="V175" s="1115"/>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9"/>
      <c r="Y176" s="1329"/>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5" t="s">
        <v>722</v>
      </c>
      <c r="S177" s="1115"/>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6"/>
      <c r="AG178" s="1596"/>
      <c r="AH178" s="4" t="s">
        <v>327</v>
      </c>
      <c r="AI178" s="1548"/>
      <c r="AJ178" s="1548"/>
      <c r="AK178" s="154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5" t="s">
        <v>722</v>
      </c>
      <c r="Y180" s="1115"/>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8" t="str">
        <f>H18</f>
        <v>SagePointe</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246</v>
      </c>
      <c r="BG186" s="12" t="s">
        <v>69</v>
      </c>
    </row>
    <row r="187" spans="1:59" ht="12.75">
      <c r="A187" s="25"/>
      <c r="C187" s="45"/>
      <c r="D187" s="25" t="s">
        <v>629</v>
      </c>
      <c r="E187" s="25"/>
      <c r="F187" s="25"/>
      <c r="G187" s="25"/>
      <c r="H187" s="25"/>
      <c r="I187" s="1085" t="s">
        <v>1652</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40" t="s">
        <v>1752</v>
      </c>
      <c r="F189" s="1249"/>
      <c r="G189" s="1249"/>
      <c r="H189" s="1249"/>
      <c r="I189" s="1249"/>
      <c r="J189" s="1249"/>
      <c r="K189" s="1249"/>
      <c r="L189" s="1249"/>
      <c r="M189" s="1249"/>
      <c r="N189" s="1249"/>
      <c r="O189" s="1249"/>
      <c r="P189" s="1249"/>
      <c r="Q189" s="1249"/>
      <c r="R189" s="1249"/>
      <c r="S189" s="1249"/>
      <c r="T189" s="1249"/>
      <c r="U189" s="1249"/>
      <c r="V189" s="1249"/>
      <c r="W189" s="1249"/>
      <c r="X189" s="1249"/>
      <c r="Y189" s="1249"/>
      <c r="Z189" s="1249"/>
      <c r="AA189" s="1249"/>
      <c r="AB189" s="1249"/>
      <c r="AC189" s="1249"/>
      <c r="AD189" s="1249"/>
      <c r="AE189" s="1249"/>
      <c r="AF189" s="25"/>
      <c r="AH189" s="25"/>
      <c r="AJ189" s="3"/>
      <c r="AK189" s="3"/>
      <c r="AL189" s="3"/>
      <c r="AP189" s="12" t="s">
        <v>328</v>
      </c>
      <c r="BA189" s="36" t="s">
        <v>250</v>
      </c>
      <c r="BG189" s="12" t="s">
        <v>72</v>
      </c>
    </row>
    <row r="190" spans="1:59" ht="12.75">
      <c r="A190" s="25"/>
      <c r="C190" s="45"/>
      <c r="D190" s="25"/>
      <c r="E190" s="1250"/>
      <c r="F190" s="1250"/>
      <c r="G190" s="1250"/>
      <c r="H190" s="1250"/>
      <c r="I190" s="1250"/>
      <c r="J190" s="1250"/>
      <c r="K190" s="1250"/>
      <c r="L190" s="1250"/>
      <c r="M190" s="1250"/>
      <c r="N190" s="1250"/>
      <c r="O190" s="1250"/>
      <c r="P190" s="1250"/>
      <c r="Q190" s="1250"/>
      <c r="R190" s="1250"/>
      <c r="S190" s="1250"/>
      <c r="T190" s="1250"/>
      <c r="U190" s="1250"/>
      <c r="V190" s="1250"/>
      <c r="W190" s="1250"/>
      <c r="X190" s="1250"/>
      <c r="Y190" s="1250"/>
      <c r="Z190" s="1250"/>
      <c r="AA190" s="1250"/>
      <c r="AB190" s="1250"/>
      <c r="AC190" s="1250"/>
      <c r="AD190" s="1250"/>
      <c r="AE190" s="1250"/>
      <c r="AF190" s="25"/>
      <c r="AH190" s="25"/>
      <c r="AJ190" s="3"/>
      <c r="AK190" s="3"/>
      <c r="AL190" s="3"/>
      <c r="AP190" s="12" t="s">
        <v>1193</v>
      </c>
      <c r="BA190" s="36" t="s">
        <v>685</v>
      </c>
      <c r="BG190" s="12" t="s">
        <v>73</v>
      </c>
    </row>
    <row r="191" spans="1:59" ht="12.75">
      <c r="A191" s="25"/>
      <c r="C191" s="45"/>
      <c r="D191" s="25" t="s">
        <v>630</v>
      </c>
      <c r="E191" s="25"/>
      <c r="I191" s="1086" t="s">
        <v>540</v>
      </c>
      <c r="J191" s="1086"/>
      <c r="K191" s="1086"/>
      <c r="L191" s="1086"/>
      <c r="M191" s="1086"/>
      <c r="N191" s="1086"/>
      <c r="O191" s="1086"/>
      <c r="P191" s="1086"/>
      <c r="Q191" s="25" t="s">
        <v>632</v>
      </c>
      <c r="T191" s="1086" t="s">
        <v>540</v>
      </c>
      <c r="U191" s="1086"/>
      <c r="V191" s="1086"/>
      <c r="W191" s="1086"/>
      <c r="X191" s="1086"/>
      <c r="Y191" s="1086"/>
      <c r="Z191" s="1086"/>
      <c r="AA191" s="1086"/>
      <c r="AB191" s="1086"/>
      <c r="AC191" s="1086"/>
      <c r="AD191" s="1086"/>
      <c r="AE191" s="1086"/>
      <c r="AH191" s="25"/>
      <c r="AJ191" s="3"/>
      <c r="AK191" s="3"/>
      <c r="AL191" s="3"/>
      <c r="AP191" s="12" t="s">
        <v>1194</v>
      </c>
      <c r="BA191" s="36" t="s">
        <v>742</v>
      </c>
      <c r="BG191" s="12" t="s">
        <v>788</v>
      </c>
    </row>
    <row r="192" spans="1:59" ht="12.75">
      <c r="A192" s="25"/>
      <c r="C192" s="46"/>
      <c r="D192" s="25" t="s">
        <v>633</v>
      </c>
      <c r="E192" s="25"/>
      <c r="F192" s="25"/>
      <c r="G192" s="25"/>
      <c r="I192" s="1085">
        <v>90744</v>
      </c>
      <c r="J192" s="1085"/>
      <c r="K192" s="1085"/>
      <c r="L192" s="1085"/>
      <c r="M192" s="1085"/>
      <c r="N192" s="1085"/>
      <c r="O192" s="25" t="s">
        <v>635</v>
      </c>
      <c r="P192" s="25"/>
      <c r="Q192" s="25"/>
      <c r="R192" s="25"/>
      <c r="S192" s="25"/>
      <c r="T192" s="1341">
        <v>2941.1</v>
      </c>
      <c r="U192" s="1341"/>
      <c r="V192" s="1341"/>
      <c r="W192" s="1341"/>
      <c r="X192" s="1341"/>
      <c r="Y192" s="1341"/>
      <c r="Z192" s="1341"/>
      <c r="AA192" s="1341"/>
      <c r="AB192" s="1341"/>
      <c r="AC192" s="1341"/>
      <c r="AD192" s="1341"/>
      <c r="AE192" s="1341"/>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49" t="s">
        <v>1653</v>
      </c>
      <c r="O193" s="1249"/>
      <c r="P193" s="1249"/>
      <c r="Q193" s="1249"/>
      <c r="R193" s="1249"/>
      <c r="S193" s="1249"/>
      <c r="T193" s="1249"/>
      <c r="U193" s="1249"/>
      <c r="V193" s="1249"/>
      <c r="W193" s="1249"/>
      <c r="X193" s="1249"/>
      <c r="Y193" s="1249"/>
      <c r="Z193" s="1249"/>
      <c r="AA193" s="1249"/>
      <c r="AB193" s="1249"/>
      <c r="AC193" s="1249"/>
      <c r="AD193" s="1249"/>
      <c r="AE193" s="1249"/>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0"/>
      <c r="O194" s="1250"/>
      <c r="P194" s="1250"/>
      <c r="Q194" s="1250"/>
      <c r="R194" s="1250"/>
      <c r="S194" s="1250"/>
      <c r="T194" s="1250"/>
      <c r="U194" s="1250"/>
      <c r="V194" s="1250"/>
      <c r="W194" s="1250"/>
      <c r="X194" s="1250"/>
      <c r="Y194" s="1250"/>
      <c r="Z194" s="1250"/>
      <c r="AA194" s="1250"/>
      <c r="AB194" s="1250"/>
      <c r="AC194" s="1250"/>
      <c r="AD194" s="1250"/>
      <c r="AE194" s="1250"/>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5" t="s">
        <v>722</v>
      </c>
      <c r="U195" s="1115"/>
      <c r="W195" s="25" t="s">
        <v>738</v>
      </c>
      <c r="X195" s="25"/>
      <c r="Y195" s="25"/>
      <c r="Z195" s="25"/>
      <c r="AA195" s="25"/>
      <c r="AB195" s="25"/>
      <c r="AC195" s="25"/>
      <c r="AD195" s="25"/>
      <c r="AE195" s="25"/>
      <c r="AF195" s="25"/>
      <c r="AG195" s="25"/>
      <c r="AH195" s="1115">
        <v>44</v>
      </c>
      <c r="AI195" s="111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722</v>
      </c>
      <c r="U196" s="1118"/>
      <c r="W196" s="25" t="s">
        <v>739</v>
      </c>
      <c r="X196" s="25"/>
      <c r="Y196" s="25"/>
      <c r="Z196" s="25"/>
      <c r="AA196" s="25"/>
      <c r="AB196" s="25"/>
      <c r="AC196" s="25"/>
      <c r="AD196" s="25"/>
      <c r="AE196" s="25"/>
      <c r="AF196" s="25"/>
      <c r="AG196" s="25"/>
      <c r="AH196" s="1115">
        <v>64</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722</v>
      </c>
      <c r="U197" s="1118"/>
      <c r="V197" s="12"/>
      <c r="W197" s="25" t="s">
        <v>740</v>
      </c>
      <c r="X197" s="25"/>
      <c r="Y197" s="25"/>
      <c r="Z197" s="25"/>
      <c r="AA197" s="25"/>
      <c r="AB197" s="25"/>
      <c r="AC197" s="25"/>
      <c r="AD197" s="25"/>
      <c r="AE197" s="25"/>
      <c r="AF197" s="25"/>
      <c r="AG197" s="25"/>
      <c r="AH197" s="1115">
        <v>35</v>
      </c>
      <c r="AI197" s="111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722</v>
      </c>
      <c r="Z198" s="111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178" t="s">
        <v>416</v>
      </c>
      <c r="E203" s="1178"/>
      <c r="F203" s="1178"/>
      <c r="G203" s="1178"/>
      <c r="H203" s="1178"/>
      <c r="I203" s="1178"/>
      <c r="J203" s="1178"/>
      <c r="K203" s="1178"/>
      <c r="L203" s="1178"/>
      <c r="M203" s="1178"/>
      <c r="P203" s="1335">
        <f>M26</f>
        <v>938426.5</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7" t="s">
        <v>1532</v>
      </c>
      <c r="E204" s="1178"/>
      <c r="F204" s="1178"/>
      <c r="G204" s="1178"/>
      <c r="H204" s="1178"/>
      <c r="I204" s="1178"/>
      <c r="J204" s="1178"/>
      <c r="K204" s="1178"/>
      <c r="L204" s="1178"/>
      <c r="M204" s="1178"/>
      <c r="P204" s="1336">
        <f>M27</f>
        <v>0</v>
      </c>
      <c r="Q204" s="1336"/>
      <c r="R204" s="1336"/>
      <c r="S204" s="1336"/>
      <c r="T204" s="1336"/>
      <c r="U204" s="1336"/>
      <c r="V204" s="47"/>
      <c r="W204" s="25" t="s">
        <v>1533</v>
      </c>
      <c r="X204" s="25"/>
      <c r="Y204" s="25"/>
      <c r="Z204" s="25"/>
      <c r="AA204" s="25"/>
      <c r="AB204" s="25"/>
      <c r="AC204" s="25"/>
      <c r="AD204" s="25"/>
      <c r="AE204" s="25"/>
      <c r="AF204" s="1115" t="s">
        <v>722</v>
      </c>
      <c r="AG204" s="1115"/>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149" t="s">
        <v>1654</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5">
        <v>55</v>
      </c>
      <c r="AI210" s="1115"/>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149" t="s">
        <v>969</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591</v>
      </c>
      <c r="AJ221" s="111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641</v>
      </c>
      <c r="AJ222" s="1115"/>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641</v>
      </c>
      <c r="AJ223" s="1115"/>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641</v>
      </c>
      <c r="AJ224" s="111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1" t="str">
        <f>H16</f>
        <v>Linc-Wilmington Apartments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584</v>
      </c>
      <c r="AT227" s="406">
        <f>IF(AND(AND($M$244="nonprofit",$M$252="for profit",$M$260="nonprofit")),2,0)</f>
        <v>0</v>
      </c>
    </row>
    <row r="228" spans="1:59" ht="12.75">
      <c r="D228" s="57" t="s">
        <v>92</v>
      </c>
      <c r="E228" s="57"/>
      <c r="F228" s="57"/>
      <c r="G228" s="57"/>
      <c r="H228" s="57"/>
      <c r="I228" s="57"/>
      <c r="J228" s="57"/>
      <c r="K228" s="7"/>
      <c r="M228" s="1127" t="s">
        <v>1655</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127" t="s">
        <v>1656</v>
      </c>
      <c r="N229" s="1149"/>
      <c r="O229" s="1149"/>
      <c r="P229" s="1149"/>
      <c r="Q229" s="1149"/>
      <c r="R229" s="1149"/>
      <c r="S229" s="1149"/>
      <c r="T229" s="1149"/>
      <c r="V229" s="59" t="s">
        <v>93</v>
      </c>
      <c r="W229" s="1126" t="s">
        <v>1664</v>
      </c>
      <c r="X229" s="1154"/>
      <c r="Y229" s="57" t="s">
        <v>633</v>
      </c>
      <c r="AC229" s="1149">
        <v>90807</v>
      </c>
      <c r="AD229" s="1149"/>
      <c r="AE229" s="1149"/>
      <c r="AO229" s="402"/>
      <c r="AT229" s="403"/>
    </row>
    <row r="230" spans="1:59" ht="12.75">
      <c r="D230" s="60" t="s">
        <v>94</v>
      </c>
      <c r="E230" s="7"/>
      <c r="F230" s="7"/>
      <c r="G230" s="7"/>
      <c r="H230" s="7"/>
      <c r="I230" s="7"/>
      <c r="J230" s="7"/>
      <c r="K230" s="29"/>
      <c r="M230" s="1127" t="s">
        <v>1657</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160" t="s">
        <v>1658</v>
      </c>
      <c r="N231" s="1121"/>
      <c r="O231" s="1121"/>
      <c r="P231" s="1121"/>
      <c r="Q231" s="1121"/>
      <c r="R231" s="1121"/>
      <c r="S231" s="7" t="s">
        <v>219</v>
      </c>
      <c r="T231" s="7"/>
      <c r="U231" s="1154"/>
      <c r="V231" s="1154"/>
      <c r="W231" s="1154"/>
      <c r="X231" s="7" t="s">
        <v>96</v>
      </c>
      <c r="Z231" s="1160" t="s">
        <v>1659</v>
      </c>
      <c r="AA231" s="1121"/>
      <c r="AB231" s="1121"/>
      <c r="AC231" s="1121"/>
      <c r="AD231" s="1121"/>
      <c r="AE231" s="1121"/>
      <c r="AO231" s="400" t="s">
        <v>583</v>
      </c>
      <c r="AT231" s="406">
        <f>IF(AND(AND($M$244="nonprofit",$M$252="nonprofit",$M$260="nonprofit")),1,0)</f>
        <v>0</v>
      </c>
    </row>
    <row r="232" spans="1:59" ht="12.75">
      <c r="D232" s="60" t="s">
        <v>97</v>
      </c>
      <c r="E232" s="7"/>
      <c r="F232" s="7"/>
      <c r="M232" s="1319" t="s">
        <v>1660</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5" t="s">
        <v>574</v>
      </c>
      <c r="N233" s="1085"/>
      <c r="O233" s="1085"/>
      <c r="P233" s="1085"/>
      <c r="Q233" s="1085"/>
      <c r="R233" s="1085"/>
      <c r="S233" s="1085"/>
      <c r="T233" s="1085"/>
      <c r="U233" s="404" t="s">
        <v>1004</v>
      </c>
      <c r="V233" s="335"/>
      <c r="W233" s="335"/>
      <c r="X233" s="335"/>
      <c r="Y233" s="335"/>
      <c r="Z233" s="335"/>
      <c r="AA233" s="1339" t="s">
        <v>1753</v>
      </c>
      <c r="AB233" s="1325"/>
      <c r="AC233" s="1325"/>
      <c r="AD233" s="1325"/>
      <c r="AE233" s="1325"/>
      <c r="AF233" s="1325"/>
      <c r="AG233" s="1325"/>
      <c r="AH233" s="1325"/>
      <c r="AI233" s="1325"/>
      <c r="AJ233" s="1325"/>
      <c r="AK233" s="1325"/>
      <c r="AL233" s="58"/>
      <c r="AO233" s="400" t="s">
        <v>971</v>
      </c>
      <c r="AT233" s="406">
        <f>IF(AND(AND($M$244="for profit",$M$252="for profit",$M$260="(select one)")),3,0)</f>
        <v>0</v>
      </c>
    </row>
    <row r="234" spans="1:59" ht="12.75">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22" t="s">
        <v>1662</v>
      </c>
      <c r="N238" s="1321"/>
      <c r="O238" s="1321"/>
      <c r="P238" s="1321"/>
      <c r="Q238" s="1321"/>
      <c r="R238" s="1321"/>
      <c r="S238" s="1321"/>
      <c r="T238" s="1321"/>
      <c r="U238" s="1321"/>
      <c r="V238" s="1321"/>
      <c r="W238" s="1321"/>
      <c r="X238" s="1321"/>
      <c r="Y238" s="1321"/>
      <c r="Z238" s="1321"/>
      <c r="AA238" s="1321"/>
      <c r="AB238" s="1321"/>
      <c r="AC238" s="1321"/>
      <c r="AD238" s="1321"/>
      <c r="AE238" s="1321"/>
      <c r="AF238" s="1321" t="s">
        <v>1663</v>
      </c>
      <c r="AG238" s="1321"/>
      <c r="AH238" s="1321"/>
      <c r="AI238" s="1321"/>
      <c r="AJ238" s="1321"/>
      <c r="AK238" s="1321"/>
      <c r="AT238" s="12">
        <v>1</v>
      </c>
      <c r="AU238" s="12" t="s">
        <v>580</v>
      </c>
      <c r="AZ238" s="25"/>
      <c r="BA238" s="3"/>
      <c r="BB238" s="3"/>
    </row>
    <row r="239" spans="1:59" ht="12.75">
      <c r="A239" s="29"/>
      <c r="B239" s="7"/>
      <c r="C239" s="7"/>
      <c r="D239" s="57" t="s">
        <v>92</v>
      </c>
      <c r="E239" s="57"/>
      <c r="F239" s="57"/>
      <c r="G239" s="57"/>
      <c r="H239" s="57"/>
      <c r="I239" s="57"/>
      <c r="J239" s="57"/>
      <c r="K239" s="57"/>
      <c r="L239" s="7"/>
      <c r="M239" s="1127" t="s">
        <v>1655</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27" t="s">
        <v>1656</v>
      </c>
      <c r="N240" s="1149"/>
      <c r="O240" s="1149"/>
      <c r="P240" s="1149"/>
      <c r="Q240" s="1149"/>
      <c r="R240" s="1149"/>
      <c r="S240" s="1149"/>
      <c r="T240" s="1149"/>
      <c r="V240" s="59" t="s">
        <v>93</v>
      </c>
      <c r="W240" s="1126" t="s">
        <v>1664</v>
      </c>
      <c r="X240" s="1154"/>
      <c r="Y240" s="57" t="s">
        <v>633</v>
      </c>
      <c r="AC240" s="1149">
        <v>90807</v>
      </c>
      <c r="AD240" s="1149"/>
      <c r="AE240" s="1149"/>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27" t="s">
        <v>1657</v>
      </c>
      <c r="N241" s="1149"/>
      <c r="O241" s="1149"/>
      <c r="P241" s="1149"/>
      <c r="Q241" s="1149"/>
      <c r="R241" s="1149"/>
      <c r="S241" s="1149"/>
      <c r="T241" s="1149"/>
      <c r="U241" s="1149"/>
      <c r="V241" s="1149"/>
      <c r="W241" s="1149"/>
      <c r="X241" s="1149"/>
      <c r="Y241" s="1149"/>
      <c r="Z241" s="1149"/>
      <c r="AA241" s="1149"/>
      <c r="AB241" s="1149"/>
      <c r="AC241" s="1149"/>
      <c r="AD241" s="1149"/>
      <c r="AE241" s="1149"/>
      <c r="AH241" s="1125">
        <v>0.01</v>
      </c>
      <c r="AI241" s="1125"/>
      <c r="AJ241" s="1125"/>
      <c r="AK241" s="1125"/>
      <c r="AL241" s="7"/>
      <c r="AN241" s="7" t="s">
        <v>295</v>
      </c>
      <c r="BA241" s="61"/>
    </row>
    <row r="242" spans="1:53" ht="12.75">
      <c r="A242" s="29"/>
      <c r="B242" s="7"/>
      <c r="C242" s="7"/>
      <c r="D242" s="60" t="s">
        <v>95</v>
      </c>
      <c r="E242" s="7"/>
      <c r="F242" s="7"/>
      <c r="M242" s="1160" t="s">
        <v>1658</v>
      </c>
      <c r="N242" s="1121"/>
      <c r="O242" s="1121"/>
      <c r="P242" s="1121"/>
      <c r="Q242" s="1121"/>
      <c r="R242" s="1121"/>
      <c r="S242" s="7" t="s">
        <v>219</v>
      </c>
      <c r="T242" s="7"/>
      <c r="U242" s="1154"/>
      <c r="V242" s="1154"/>
      <c r="W242" s="1154"/>
      <c r="X242" s="7" t="s">
        <v>96</v>
      </c>
      <c r="Z242" s="1160" t="s">
        <v>1659</v>
      </c>
      <c r="AA242" s="1121"/>
      <c r="AB242" s="1121"/>
      <c r="AC242" s="1121"/>
      <c r="AD242" s="1121"/>
      <c r="AE242" s="1121"/>
      <c r="AN242" s="7" t="s">
        <v>185</v>
      </c>
      <c r="BA242" s="61"/>
    </row>
    <row r="243" spans="1:53" ht="12.75">
      <c r="A243" s="29"/>
      <c r="B243" s="7"/>
      <c r="C243" s="7"/>
      <c r="D243" s="60" t="s">
        <v>97</v>
      </c>
      <c r="E243" s="7"/>
      <c r="F243" s="7"/>
      <c r="M243" s="1319" t="s">
        <v>1660</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2.75">
      <c r="A244" s="23"/>
      <c r="B244" s="7"/>
      <c r="C244" s="139"/>
      <c r="D244" s="60" t="s">
        <v>581</v>
      </c>
      <c r="E244" s="7"/>
      <c r="F244" s="7"/>
      <c r="G244" s="7"/>
      <c r="H244" s="7"/>
      <c r="I244" s="7"/>
      <c r="J244" s="7"/>
      <c r="K244" s="7"/>
      <c r="L244" s="7"/>
      <c r="M244" s="1085" t="s">
        <v>580</v>
      </c>
      <c r="N244" s="1085"/>
      <c r="O244" s="1085"/>
      <c r="P244" s="1085"/>
      <c r="Q244" s="1085"/>
      <c r="R244" s="1085"/>
      <c r="S244" s="1085"/>
      <c r="T244" s="1085"/>
      <c r="U244" s="404" t="s">
        <v>1004</v>
      </c>
      <c r="V244" s="335"/>
      <c r="W244" s="335"/>
      <c r="X244" s="335"/>
      <c r="Y244" s="335"/>
      <c r="Z244" s="335"/>
      <c r="AA244" s="1339" t="s">
        <v>1661</v>
      </c>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2" t="s">
        <v>641</v>
      </c>
      <c r="N246" s="1321"/>
      <c r="O246" s="1321"/>
      <c r="P246" s="1321"/>
      <c r="Q246" s="1321"/>
      <c r="R246" s="1321"/>
      <c r="S246" s="1321"/>
      <c r="T246" s="1321"/>
      <c r="U246" s="1321"/>
      <c r="V246" s="1321"/>
      <c r="W246" s="1321"/>
      <c r="X246" s="1321"/>
      <c r="Y246" s="1321"/>
      <c r="Z246" s="1321"/>
      <c r="AA246" s="1321"/>
      <c r="AB246" s="1321"/>
      <c r="AC246" s="1321"/>
      <c r="AD246" s="1321"/>
      <c r="AE246" s="1321"/>
      <c r="AF246" s="1321" t="s">
        <v>328</v>
      </c>
      <c r="AG246" s="1321"/>
      <c r="AH246" s="1321"/>
      <c r="AI246" s="1321"/>
      <c r="AJ246" s="1321"/>
      <c r="AK246" s="1321"/>
      <c r="BA246" s="61"/>
    </row>
    <row r="247" spans="1:53" ht="12.75">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1419</v>
      </c>
      <c r="AG247" s="743"/>
      <c r="AH247" s="743"/>
      <c r="AI247" s="743"/>
      <c r="AJ247" s="743"/>
      <c r="AK247" s="743"/>
      <c r="AL247" s="7"/>
      <c r="BA247" s="61"/>
    </row>
    <row r="248" spans="1:53" ht="12.75">
      <c r="A248" s="29"/>
      <c r="B248" s="7"/>
      <c r="C248" s="7"/>
      <c r="D248" s="57" t="s">
        <v>630</v>
      </c>
      <c r="E248" s="57"/>
      <c r="M248" s="1149"/>
      <c r="N248" s="1149"/>
      <c r="O248" s="1149"/>
      <c r="P248" s="1149"/>
      <c r="Q248" s="1149"/>
      <c r="R248" s="1149"/>
      <c r="S248" s="1149"/>
      <c r="T248" s="1149"/>
      <c r="V248" s="59" t="s">
        <v>93</v>
      </c>
      <c r="W248" s="1154"/>
      <c r="X248" s="1154"/>
      <c r="Y248" s="57" t="s">
        <v>633</v>
      </c>
      <c r="AC248" s="1149"/>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219</v>
      </c>
      <c r="T250" s="7"/>
      <c r="U250" s="1154"/>
      <c r="V250" s="1154"/>
      <c r="W250" s="1154"/>
      <c r="X250" s="7" t="s">
        <v>96</v>
      </c>
      <c r="Z250" s="1121"/>
      <c r="AA250" s="1121"/>
      <c r="AB250" s="1121"/>
      <c r="AC250" s="1121"/>
      <c r="AD250" s="1121"/>
      <c r="AE250" s="1121"/>
      <c r="BA250" s="61"/>
    </row>
    <row r="251" spans="1:53" ht="12.75" customHeight="1">
      <c r="A251" s="29"/>
      <c r="B251" s="7"/>
      <c r="C251" s="7"/>
      <c r="D251" s="60" t="s">
        <v>97</v>
      </c>
      <c r="E251" s="7"/>
      <c r="F251" s="7"/>
      <c r="M251" s="1319"/>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328</v>
      </c>
      <c r="N252" s="1085"/>
      <c r="O252" s="1085"/>
      <c r="P252" s="1085"/>
      <c r="Q252" s="1085"/>
      <c r="R252" s="1085"/>
      <c r="S252" s="1085"/>
      <c r="T252" s="1085"/>
      <c r="U252" s="404" t="s">
        <v>1004</v>
      </c>
      <c r="V252" s="335"/>
      <c r="W252" s="335"/>
      <c r="X252" s="335"/>
      <c r="Y252" s="335"/>
      <c r="Z252" s="335"/>
      <c r="AA252" s="1325"/>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2" t="s">
        <v>641</v>
      </c>
      <c r="N254" s="1321"/>
      <c r="O254" s="1321"/>
      <c r="P254" s="1321"/>
      <c r="Q254" s="1321"/>
      <c r="R254" s="1321"/>
      <c r="S254" s="1321"/>
      <c r="T254" s="1321"/>
      <c r="U254" s="1321"/>
      <c r="V254" s="1321"/>
      <c r="W254" s="1321"/>
      <c r="X254" s="1321"/>
      <c r="Y254" s="1321"/>
      <c r="Z254" s="1321"/>
      <c r="AA254" s="1321"/>
      <c r="AB254" s="1321"/>
      <c r="AC254" s="1321"/>
      <c r="AD254" s="1321"/>
      <c r="AE254" s="1321"/>
      <c r="AF254" s="1321" t="s">
        <v>328</v>
      </c>
      <c r="AG254" s="1321"/>
      <c r="AH254" s="1321"/>
      <c r="AI254" s="1321"/>
      <c r="AJ254" s="1321"/>
      <c r="AK254" s="1321"/>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219</v>
      </c>
      <c r="T258" s="7"/>
      <c r="U258" s="1154"/>
      <c r="V258" s="1154"/>
      <c r="W258" s="1154"/>
      <c r="X258" s="7" t="s">
        <v>96</v>
      </c>
      <c r="Z258" s="1121"/>
      <c r="AA258" s="1121"/>
      <c r="AB258" s="1121"/>
      <c r="AC258" s="1121"/>
      <c r="AD258" s="1121"/>
      <c r="AE258" s="1121"/>
      <c r="AL258" s="58"/>
      <c r="BA258" s="61"/>
    </row>
    <row r="259" spans="1:53" ht="12.75">
      <c r="A259" s="23"/>
      <c r="B259" s="7"/>
      <c r="C259" s="7"/>
      <c r="D259" s="60" t="s">
        <v>97</v>
      </c>
      <c r="E259" s="7"/>
      <c r="F259" s="7"/>
      <c r="M259" s="1319"/>
      <c r="N259" s="1319"/>
      <c r="O259" s="1319"/>
      <c r="P259" s="1319"/>
      <c r="Q259" s="1319"/>
      <c r="R259" s="1319"/>
      <c r="S259" s="1319"/>
      <c r="T259" s="1319"/>
      <c r="U259" s="1319"/>
      <c r="V259" s="1319"/>
      <c r="W259" s="1319"/>
      <c r="X259" s="1319"/>
      <c r="Y259" s="1319"/>
      <c r="Z259" s="1319"/>
      <c r="AA259" s="1333"/>
      <c r="AB259" s="1333"/>
      <c r="AC259" s="1333"/>
      <c r="AD259" s="1333"/>
      <c r="AE259" s="1333"/>
      <c r="AG259" s="7"/>
      <c r="AH259" s="7"/>
      <c r="AI259" s="7"/>
      <c r="AJ259" s="7"/>
      <c r="AK259" s="7"/>
      <c r="AL259" s="58"/>
      <c r="BA259" s="61"/>
    </row>
    <row r="260" spans="1:53" ht="12.75">
      <c r="A260" s="23"/>
      <c r="B260" s="7"/>
      <c r="C260" s="139"/>
      <c r="D260" s="60" t="s">
        <v>581</v>
      </c>
      <c r="E260" s="7"/>
      <c r="F260" s="7"/>
      <c r="G260" s="7"/>
      <c r="H260" s="7"/>
      <c r="I260" s="7"/>
      <c r="J260" s="7"/>
      <c r="K260" s="7"/>
      <c r="L260" s="7"/>
      <c r="M260" s="1085" t="s">
        <v>328</v>
      </c>
      <c r="N260" s="1085"/>
      <c r="O260" s="1085"/>
      <c r="P260" s="1085"/>
      <c r="Q260" s="1085"/>
      <c r="R260" s="1085"/>
      <c r="S260" s="1085"/>
      <c r="T260" s="1085"/>
      <c r="U260" s="404" t="s">
        <v>1004</v>
      </c>
      <c r="V260" s="335"/>
      <c r="W260" s="335"/>
      <c r="X260" s="335"/>
      <c r="Y260" s="335"/>
      <c r="Z260" s="335"/>
      <c r="AA260" s="1326"/>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8" t="str">
        <f>BB239</f>
        <v>Nonprofit</v>
      </c>
      <c r="U262" s="1328"/>
      <c r="V262" s="1328"/>
      <c r="W262" s="1328"/>
      <c r="X262" s="1328"/>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7"/>
      <c r="Y265" s="1327"/>
      <c r="Z265" s="1327"/>
      <c r="AA265" s="1327"/>
      <c r="AB265" s="1327"/>
      <c r="AC265" s="1327"/>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2" t="s">
        <v>1661</v>
      </c>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58"/>
      <c r="AL269" s="58"/>
      <c r="BA269" s="61"/>
    </row>
    <row r="270" spans="1:53" ht="12.75" customHeight="1">
      <c r="D270" s="57" t="s">
        <v>92</v>
      </c>
      <c r="E270" s="57"/>
      <c r="F270" s="57"/>
      <c r="G270" s="57"/>
      <c r="H270" s="57"/>
      <c r="I270" s="57"/>
      <c r="J270" s="57"/>
      <c r="K270" s="7"/>
      <c r="L270" s="1127" t="s">
        <v>1655</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127" t="s">
        <v>1656</v>
      </c>
      <c r="M271" s="1149"/>
      <c r="N271" s="1149"/>
      <c r="O271" s="1149"/>
      <c r="P271" s="1149"/>
      <c r="Q271" s="1149"/>
      <c r="R271" s="1149"/>
      <c r="S271" s="1149"/>
      <c r="U271" s="59" t="s">
        <v>93</v>
      </c>
      <c r="V271" s="1126" t="s">
        <v>1664</v>
      </c>
      <c r="W271" s="1154"/>
      <c r="X271" s="57" t="s">
        <v>633</v>
      </c>
      <c r="AB271" s="1149">
        <v>90807</v>
      </c>
      <c r="AC271" s="1149"/>
      <c r="AD271" s="1149"/>
      <c r="AK271" s="58"/>
      <c r="AL271" s="58"/>
      <c r="BA271" s="61"/>
    </row>
    <row r="272" spans="1:53" ht="12.75">
      <c r="D272" s="60" t="s">
        <v>94</v>
      </c>
      <c r="E272" s="7"/>
      <c r="F272" s="7"/>
      <c r="G272" s="7"/>
      <c r="H272" s="7"/>
      <c r="I272" s="7"/>
      <c r="J272" s="7"/>
      <c r="K272" s="29"/>
      <c r="L272" s="1127" t="s">
        <v>1657</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60" t="s">
        <v>1658</v>
      </c>
      <c r="M273" s="1121"/>
      <c r="N273" s="1121"/>
      <c r="O273" s="1121"/>
      <c r="P273" s="1121"/>
      <c r="Q273" s="1121"/>
      <c r="R273" s="7" t="s">
        <v>219</v>
      </c>
      <c r="S273" s="7"/>
      <c r="T273" s="1154"/>
      <c r="U273" s="1154"/>
      <c r="V273" s="1154"/>
      <c r="W273" s="7" t="s">
        <v>96</v>
      </c>
      <c r="Y273" s="1160" t="s">
        <v>1659</v>
      </c>
      <c r="Z273" s="1121"/>
      <c r="AA273" s="1121"/>
      <c r="AB273" s="1121"/>
      <c r="AC273" s="1121"/>
      <c r="AD273" s="1121"/>
      <c r="BA273" s="61"/>
    </row>
    <row r="274" spans="1:53" ht="12.75">
      <c r="D274" s="60" t="s">
        <v>97</v>
      </c>
      <c r="E274" s="7"/>
      <c r="F274" s="7"/>
      <c r="L274" s="1319" t="s">
        <v>1660</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2.75">
      <c r="D275" s="58" t="s">
        <v>673</v>
      </c>
      <c r="E275" s="58"/>
      <c r="F275" s="58"/>
      <c r="G275" s="58"/>
      <c r="H275" s="58"/>
      <c r="I275" s="58"/>
      <c r="L275" s="1126" t="s">
        <v>1749</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6" t="s">
        <v>1661</v>
      </c>
      <c r="I282" s="1086"/>
      <c r="J282" s="1086"/>
      <c r="K282" s="1086"/>
      <c r="L282" s="1086"/>
      <c r="M282" s="1086"/>
      <c r="N282" s="1086"/>
      <c r="O282" s="1086"/>
      <c r="P282" s="1086"/>
      <c r="Q282" s="1086"/>
      <c r="R282" s="1086"/>
      <c r="T282" s="58" t="s">
        <v>615</v>
      </c>
      <c r="V282" s="58"/>
      <c r="W282" s="58"/>
      <c r="X282" s="58"/>
      <c r="Y282" s="58"/>
      <c r="AA282" s="1086" t="s">
        <v>1673</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085" t="s">
        <v>1655</v>
      </c>
      <c r="I283" s="1085"/>
      <c r="J283" s="1085"/>
      <c r="K283" s="1085"/>
      <c r="L283" s="1085"/>
      <c r="M283" s="1085"/>
      <c r="N283" s="1085"/>
      <c r="O283" s="1085"/>
      <c r="P283" s="1085"/>
      <c r="Q283" s="1085"/>
      <c r="R283" s="1085"/>
      <c r="T283" s="58" t="s">
        <v>517</v>
      </c>
      <c r="V283" s="58"/>
      <c r="W283" s="58"/>
      <c r="X283" s="58"/>
      <c r="Y283" s="58"/>
      <c r="AA283" s="1085" t="s">
        <v>1674</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085" t="s">
        <v>1665</v>
      </c>
      <c r="I284" s="1085"/>
      <c r="J284" s="1085"/>
      <c r="K284" s="1085"/>
      <c r="L284" s="1085"/>
      <c r="M284" s="1085"/>
      <c r="N284" s="1085"/>
      <c r="O284" s="1085"/>
      <c r="P284" s="1085"/>
      <c r="Q284" s="1085"/>
      <c r="R284" s="1085"/>
      <c r="T284" s="58" t="s">
        <v>81</v>
      </c>
      <c r="V284" s="58"/>
      <c r="W284" s="58"/>
      <c r="X284" s="58"/>
      <c r="Y284" s="58"/>
      <c r="AA284" s="1085" t="s">
        <v>1675</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1657</v>
      </c>
      <c r="I285" s="1085"/>
      <c r="J285" s="1085"/>
      <c r="K285" s="1085"/>
      <c r="L285" s="1085"/>
      <c r="M285" s="1085"/>
      <c r="N285" s="1085"/>
      <c r="O285" s="1085"/>
      <c r="P285" s="1085"/>
      <c r="Q285" s="1085"/>
      <c r="R285" s="1085"/>
      <c r="T285" s="58" t="s">
        <v>94</v>
      </c>
      <c r="V285" s="58"/>
      <c r="W285" s="58"/>
      <c r="X285" s="58"/>
      <c r="Y285" s="58"/>
      <c r="AA285" s="1085" t="s">
        <v>1676</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1658</v>
      </c>
      <c r="I286" s="1100"/>
      <c r="J286" s="1100"/>
      <c r="K286" s="1100"/>
      <c r="L286" s="1100"/>
      <c r="M286" s="1100"/>
      <c r="N286" s="7" t="s">
        <v>219</v>
      </c>
      <c r="O286" s="7"/>
      <c r="P286" s="1149"/>
      <c r="Q286" s="1149"/>
      <c r="R286" s="1149"/>
      <c r="S286" s="58"/>
      <c r="T286" s="58" t="s">
        <v>95</v>
      </c>
      <c r="V286" s="58"/>
      <c r="W286" s="58"/>
      <c r="X286" s="58"/>
      <c r="Y286" s="58"/>
      <c r="AA286" s="1160" t="s">
        <v>1677</v>
      </c>
      <c r="AB286" s="1160"/>
      <c r="AC286" s="1160"/>
      <c r="AD286" s="1160"/>
      <c r="AE286" s="1160"/>
      <c r="AF286" s="1160"/>
      <c r="AG286" s="7" t="s">
        <v>219</v>
      </c>
      <c r="AH286" s="7"/>
      <c r="AI286" s="1149"/>
      <c r="AJ286" s="1149"/>
      <c r="AK286" s="1149"/>
      <c r="BA286" s="61"/>
    </row>
    <row r="287" spans="1:53" ht="12.75">
      <c r="B287" s="58" t="s">
        <v>96</v>
      </c>
      <c r="C287" s="58"/>
      <c r="D287" s="58"/>
      <c r="E287" s="58"/>
      <c r="F287" s="58"/>
      <c r="G287" s="58"/>
      <c r="H287" s="1160" t="s">
        <v>1659</v>
      </c>
      <c r="I287" s="1121"/>
      <c r="J287" s="1121"/>
      <c r="K287" s="1121"/>
      <c r="L287" s="1121"/>
      <c r="M287" s="1121"/>
      <c r="N287" s="60"/>
      <c r="O287" s="60"/>
      <c r="P287" s="62"/>
      <c r="Q287" s="62"/>
      <c r="R287" s="62"/>
      <c r="S287" s="58"/>
      <c r="T287" s="58" t="s">
        <v>96</v>
      </c>
      <c r="V287" s="58"/>
      <c r="W287" s="58"/>
      <c r="X287" s="58"/>
      <c r="Y287" s="58"/>
      <c r="AA287" s="1160" t="s">
        <v>1678</v>
      </c>
      <c r="AB287" s="1160"/>
      <c r="AC287" s="1160"/>
      <c r="AD287" s="1160"/>
      <c r="AE287" s="1160"/>
      <c r="AF287" s="1160"/>
      <c r="AG287" s="60"/>
      <c r="AH287" s="60"/>
      <c r="AI287" s="62"/>
      <c r="AJ287" s="62"/>
      <c r="AK287" s="62"/>
      <c r="BA287" s="61"/>
    </row>
    <row r="288" spans="1:53" ht="12.75">
      <c r="B288" s="58" t="s">
        <v>82</v>
      </c>
      <c r="C288" s="58"/>
      <c r="D288" s="58"/>
      <c r="E288" s="58"/>
      <c r="F288" s="58"/>
      <c r="G288" s="58"/>
      <c r="H288" s="1085" t="s">
        <v>1660</v>
      </c>
      <c r="I288" s="1085"/>
      <c r="J288" s="1085"/>
      <c r="K288" s="1085"/>
      <c r="L288" s="1085"/>
      <c r="M288" s="1085"/>
      <c r="N288" s="1086"/>
      <c r="O288" s="1086"/>
      <c r="P288" s="1086"/>
      <c r="Q288" s="1086"/>
      <c r="R288" s="1086"/>
      <c r="S288" s="58"/>
      <c r="T288" s="58" t="s">
        <v>82</v>
      </c>
      <c r="V288" s="58"/>
      <c r="W288" s="58"/>
      <c r="X288" s="58"/>
      <c r="Y288" s="58"/>
      <c r="AA288" s="1085" t="s">
        <v>1679</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27" t="s">
        <v>1666</v>
      </c>
      <c r="I290" s="1086"/>
      <c r="J290" s="1086"/>
      <c r="K290" s="1086"/>
      <c r="L290" s="1086"/>
      <c r="M290" s="1086"/>
      <c r="N290" s="1086"/>
      <c r="O290" s="1086"/>
      <c r="P290" s="1086"/>
      <c r="Q290" s="1086"/>
      <c r="R290" s="1086"/>
      <c r="T290" s="58" t="s">
        <v>387</v>
      </c>
      <c r="V290" s="58"/>
      <c r="W290" s="58"/>
      <c r="X290" s="58"/>
      <c r="Y290" s="58"/>
      <c r="AA290" s="1127" t="s">
        <v>1680</v>
      </c>
      <c r="AB290" s="1086"/>
      <c r="AC290" s="1086"/>
      <c r="AD290" s="1086"/>
      <c r="AE290" s="1086"/>
      <c r="AF290" s="1086"/>
      <c r="AG290" s="1086"/>
      <c r="AH290" s="1086"/>
      <c r="AI290" s="1086"/>
      <c r="AJ290" s="1086"/>
      <c r="AK290" s="1086"/>
      <c r="BA290" s="61"/>
    </row>
    <row r="291" spans="2:53" ht="12.75">
      <c r="B291" s="58" t="s">
        <v>517</v>
      </c>
      <c r="C291" s="58"/>
      <c r="D291" s="58"/>
      <c r="E291" s="58"/>
      <c r="F291" s="58"/>
      <c r="H291" s="1126" t="s">
        <v>1667</v>
      </c>
      <c r="I291" s="1085"/>
      <c r="J291" s="1085"/>
      <c r="K291" s="1085"/>
      <c r="L291" s="1085"/>
      <c r="M291" s="1085"/>
      <c r="N291" s="1085"/>
      <c r="O291" s="1085"/>
      <c r="P291" s="1085"/>
      <c r="Q291" s="1085"/>
      <c r="R291" s="1085"/>
      <c r="T291" s="58" t="s">
        <v>517</v>
      </c>
      <c r="V291" s="58"/>
      <c r="W291" s="58"/>
      <c r="X291" s="58"/>
      <c r="Y291" s="58"/>
      <c r="AA291" s="1126" t="s">
        <v>1681</v>
      </c>
      <c r="AB291" s="1085"/>
      <c r="AC291" s="1085"/>
      <c r="AD291" s="1085"/>
      <c r="AE291" s="1085"/>
      <c r="AF291" s="1085"/>
      <c r="AG291" s="1085"/>
      <c r="AH291" s="1085"/>
      <c r="AI291" s="1085"/>
      <c r="AJ291" s="1085"/>
      <c r="AK291" s="1085"/>
      <c r="BA291" s="61"/>
    </row>
    <row r="292" spans="2:53" ht="12.75">
      <c r="B292" s="58" t="s">
        <v>518</v>
      </c>
      <c r="C292" s="58"/>
      <c r="D292" s="58"/>
      <c r="E292" s="58"/>
      <c r="F292" s="58"/>
      <c r="H292" s="1126" t="s">
        <v>1668</v>
      </c>
      <c r="I292" s="1085"/>
      <c r="J292" s="1085"/>
      <c r="K292" s="1085"/>
      <c r="L292" s="1085"/>
      <c r="M292" s="1085"/>
      <c r="N292" s="1085"/>
      <c r="O292" s="1085"/>
      <c r="P292" s="1085"/>
      <c r="Q292" s="1085"/>
      <c r="R292" s="1085"/>
      <c r="T292" s="58" t="s">
        <v>81</v>
      </c>
      <c r="V292" s="58"/>
      <c r="W292" s="58"/>
      <c r="X292" s="58"/>
      <c r="Y292" s="58"/>
      <c r="AA292" s="1126" t="s">
        <v>1682</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126" t="s">
        <v>1671</v>
      </c>
      <c r="I293" s="1085"/>
      <c r="J293" s="1085"/>
      <c r="K293" s="1085"/>
      <c r="L293" s="1085"/>
      <c r="M293" s="1085"/>
      <c r="N293" s="1085"/>
      <c r="O293" s="1085"/>
      <c r="P293" s="1085"/>
      <c r="Q293" s="1085"/>
      <c r="R293" s="1085"/>
      <c r="T293" s="58" t="s">
        <v>94</v>
      </c>
      <c r="V293" s="58"/>
      <c r="W293" s="58"/>
      <c r="X293" s="58"/>
      <c r="Y293" s="58"/>
      <c r="AA293" s="1126" t="s">
        <v>1683</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1669</v>
      </c>
      <c r="I294" s="1099"/>
      <c r="J294" s="1099"/>
      <c r="K294" s="1099"/>
      <c r="L294" s="1099"/>
      <c r="M294" s="1099"/>
      <c r="N294" s="7" t="s">
        <v>219</v>
      </c>
      <c r="O294" s="7"/>
      <c r="P294" s="1149"/>
      <c r="Q294" s="1149"/>
      <c r="R294" s="1149"/>
      <c r="S294" s="58"/>
      <c r="T294" s="58" t="s">
        <v>95</v>
      </c>
      <c r="V294" s="58"/>
      <c r="W294" s="58"/>
      <c r="X294" s="58"/>
      <c r="Y294" s="58"/>
      <c r="AA294" s="1099" t="s">
        <v>1684</v>
      </c>
      <c r="AB294" s="1100"/>
      <c r="AC294" s="1100"/>
      <c r="AD294" s="1100"/>
      <c r="AE294" s="1100"/>
      <c r="AF294" s="1100"/>
      <c r="AG294" s="7" t="s">
        <v>219</v>
      </c>
      <c r="AH294" s="7"/>
      <c r="AI294" s="1149"/>
      <c r="AJ294" s="1149"/>
      <c r="AK294" s="1149"/>
      <c r="BA294" s="61"/>
    </row>
    <row r="295" spans="2:53" ht="12.75" customHeight="1">
      <c r="B295" s="58" t="s">
        <v>96</v>
      </c>
      <c r="C295" s="58"/>
      <c r="D295" s="58"/>
      <c r="E295" s="58"/>
      <c r="F295" s="58"/>
      <c r="G295" s="58"/>
      <c r="H295" s="1160" t="s">
        <v>1670</v>
      </c>
      <c r="I295" s="1160"/>
      <c r="J295" s="1160"/>
      <c r="K295" s="1160"/>
      <c r="L295" s="1160"/>
      <c r="M295" s="1160"/>
      <c r="N295" s="60"/>
      <c r="O295" s="60"/>
      <c r="P295" s="62"/>
      <c r="Q295" s="62"/>
      <c r="R295" s="62"/>
      <c r="S295" s="58"/>
      <c r="T295" s="58" t="s">
        <v>96</v>
      </c>
      <c r="V295" s="58"/>
      <c r="W295" s="58"/>
      <c r="X295" s="58"/>
      <c r="Y295" s="58"/>
      <c r="AA295" s="1160" t="s">
        <v>641</v>
      </c>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5" t="s">
        <v>1672</v>
      </c>
      <c r="I296" s="1085"/>
      <c r="J296" s="1085"/>
      <c r="K296" s="1085"/>
      <c r="L296" s="1085"/>
      <c r="M296" s="1085"/>
      <c r="N296" s="1086"/>
      <c r="O296" s="1086"/>
      <c r="P296" s="1086"/>
      <c r="Q296" s="1086"/>
      <c r="R296" s="1086"/>
      <c r="S296" s="58"/>
      <c r="T296" s="58" t="s">
        <v>82</v>
      </c>
      <c r="V296" s="58"/>
      <c r="W296" s="58"/>
      <c r="X296" s="58"/>
      <c r="Y296" s="58"/>
      <c r="AA296" s="1126" t="s">
        <v>1685</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127" t="s">
        <v>1666</v>
      </c>
      <c r="I298" s="1086"/>
      <c r="J298" s="1086"/>
      <c r="K298" s="1086"/>
      <c r="L298" s="1086"/>
      <c r="M298" s="1086"/>
      <c r="N298" s="1086"/>
      <c r="O298" s="1086"/>
      <c r="P298" s="1086"/>
      <c r="Q298" s="1086"/>
      <c r="R298" s="1086"/>
      <c r="T298" s="7" t="s">
        <v>972</v>
      </c>
      <c r="V298" s="58"/>
      <c r="W298" s="58"/>
      <c r="X298" s="58"/>
      <c r="Y298" s="58"/>
      <c r="AA298" s="1253" t="s">
        <v>1686</v>
      </c>
      <c r="AB298" s="1253"/>
      <c r="AC298" s="1253"/>
      <c r="AD298" s="1253"/>
      <c r="AE298" s="1253"/>
      <c r="AF298" s="1253"/>
      <c r="AG298" s="1253"/>
      <c r="AH298" s="1253"/>
      <c r="AI298" s="1253"/>
      <c r="AJ298" s="1253"/>
      <c r="AK298" s="1253"/>
      <c r="BA298" s="61"/>
    </row>
    <row r="299" spans="2:53" ht="12.75">
      <c r="B299" s="58" t="s">
        <v>517</v>
      </c>
      <c r="C299" s="58"/>
      <c r="D299" s="58"/>
      <c r="E299" s="58"/>
      <c r="F299" s="58"/>
      <c r="H299" s="1126" t="s">
        <v>1667</v>
      </c>
      <c r="I299" s="1085"/>
      <c r="J299" s="1085"/>
      <c r="K299" s="1085"/>
      <c r="L299" s="1085"/>
      <c r="M299" s="1085"/>
      <c r="N299" s="1085"/>
      <c r="O299" s="1085"/>
      <c r="P299" s="1085"/>
      <c r="Q299" s="1085"/>
      <c r="R299" s="1085"/>
      <c r="T299" s="58" t="s">
        <v>517</v>
      </c>
      <c r="V299" s="58"/>
      <c r="W299" s="58"/>
      <c r="X299" s="58"/>
      <c r="Y299" s="58"/>
      <c r="AA299" s="1101" t="s">
        <v>1687</v>
      </c>
      <c r="AB299" s="1101"/>
      <c r="AC299" s="1101"/>
      <c r="AD299" s="1101"/>
      <c r="AE299" s="1101"/>
      <c r="AF299" s="1101"/>
      <c r="AG299" s="1101"/>
      <c r="AH299" s="1101"/>
      <c r="AI299" s="1101"/>
      <c r="AJ299" s="1101"/>
      <c r="AK299" s="1101"/>
      <c r="BA299" s="61"/>
    </row>
    <row r="300" spans="2:53" ht="12.75">
      <c r="B300" s="58" t="s">
        <v>518</v>
      </c>
      <c r="C300" s="58"/>
      <c r="D300" s="58"/>
      <c r="E300" s="58"/>
      <c r="F300" s="58"/>
      <c r="H300" s="1126" t="s">
        <v>1668</v>
      </c>
      <c r="I300" s="1085"/>
      <c r="J300" s="1085"/>
      <c r="K300" s="1085"/>
      <c r="L300" s="1085"/>
      <c r="M300" s="1085"/>
      <c r="N300" s="1085"/>
      <c r="O300" s="1085"/>
      <c r="P300" s="1085"/>
      <c r="Q300" s="1085"/>
      <c r="R300" s="1085"/>
      <c r="T300" s="58" t="s">
        <v>81</v>
      </c>
      <c r="V300" s="58"/>
      <c r="W300" s="58"/>
      <c r="X300" s="58"/>
      <c r="Y300" s="58"/>
      <c r="AA300" s="1101" t="s">
        <v>1688</v>
      </c>
      <c r="AB300" s="1101"/>
      <c r="AC300" s="1101"/>
      <c r="AD300" s="1101"/>
      <c r="AE300" s="1101"/>
      <c r="AF300" s="1101"/>
      <c r="AG300" s="1101"/>
      <c r="AH300" s="1101"/>
      <c r="AI300" s="1101"/>
      <c r="AJ300" s="1101"/>
      <c r="AK300" s="1101"/>
      <c r="BA300" s="61"/>
    </row>
    <row r="301" spans="2:53" ht="12.75">
      <c r="B301" s="58" t="s">
        <v>94</v>
      </c>
      <c r="C301" s="58"/>
      <c r="D301" s="58"/>
      <c r="E301" s="58"/>
      <c r="F301" s="58"/>
      <c r="H301" s="1126" t="s">
        <v>1671</v>
      </c>
      <c r="I301" s="1085"/>
      <c r="J301" s="1085"/>
      <c r="K301" s="1085"/>
      <c r="L301" s="1085"/>
      <c r="M301" s="1085"/>
      <c r="N301" s="1085"/>
      <c r="O301" s="1085"/>
      <c r="P301" s="1085"/>
      <c r="Q301" s="1085"/>
      <c r="R301" s="1085"/>
      <c r="T301" s="58" t="s">
        <v>94</v>
      </c>
      <c r="V301" s="58"/>
      <c r="W301" s="58"/>
      <c r="X301" s="58"/>
      <c r="Y301" s="58"/>
      <c r="AA301" s="1085" t="s">
        <v>1689</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t="s">
        <v>1669</v>
      </c>
      <c r="I302" s="1099"/>
      <c r="J302" s="1099"/>
      <c r="K302" s="1099"/>
      <c r="L302" s="1099"/>
      <c r="M302" s="1099"/>
      <c r="N302" s="7" t="s">
        <v>219</v>
      </c>
      <c r="O302" s="7"/>
      <c r="P302" s="1149"/>
      <c r="Q302" s="1149"/>
      <c r="R302" s="1149"/>
      <c r="S302" s="58"/>
      <c r="T302" s="58" t="s">
        <v>95</v>
      </c>
      <c r="V302" s="58"/>
      <c r="W302" s="58"/>
      <c r="X302" s="58"/>
      <c r="Y302" s="58"/>
      <c r="AA302" s="1099" t="s">
        <v>1750</v>
      </c>
      <c r="AB302" s="1100"/>
      <c r="AC302" s="1100"/>
      <c r="AD302" s="1100"/>
      <c r="AE302" s="1100"/>
      <c r="AF302" s="1100"/>
      <c r="AG302" s="7" t="s">
        <v>219</v>
      </c>
      <c r="AH302" s="7"/>
      <c r="AI302" s="1149"/>
      <c r="AJ302" s="1149"/>
      <c r="AK302" s="1149"/>
      <c r="BA302" s="61"/>
    </row>
    <row r="303" spans="2:53" ht="12.75">
      <c r="B303" s="58" t="s">
        <v>96</v>
      </c>
      <c r="C303" s="58"/>
      <c r="D303" s="58"/>
      <c r="E303" s="58"/>
      <c r="F303" s="58"/>
      <c r="G303" s="58"/>
      <c r="H303" s="1160" t="s">
        <v>1670</v>
      </c>
      <c r="I303" s="1160"/>
      <c r="J303" s="1160"/>
      <c r="K303" s="1160"/>
      <c r="L303" s="1160"/>
      <c r="M303" s="1160"/>
      <c r="N303" s="60"/>
      <c r="O303" s="60"/>
      <c r="P303" s="62"/>
      <c r="Q303" s="62"/>
      <c r="R303" s="62"/>
      <c r="S303" s="58"/>
      <c r="T303" s="58" t="s">
        <v>96</v>
      </c>
      <c r="V303" s="58"/>
      <c r="W303" s="58"/>
      <c r="X303" s="58"/>
      <c r="Y303" s="58"/>
      <c r="AA303" s="1160" t="s">
        <v>641</v>
      </c>
      <c r="AB303" s="1121"/>
      <c r="AC303" s="1121"/>
      <c r="AD303" s="1121"/>
      <c r="AE303" s="1121"/>
      <c r="AF303" s="1121"/>
      <c r="AG303" s="60"/>
      <c r="AH303" s="60"/>
      <c r="AI303" s="62"/>
      <c r="AJ303" s="62"/>
      <c r="AK303" s="62"/>
      <c r="BA303" s="61"/>
    </row>
    <row r="304" spans="2:53" ht="12.75">
      <c r="B304" s="58" t="s">
        <v>82</v>
      </c>
      <c r="C304" s="58"/>
      <c r="D304" s="58"/>
      <c r="E304" s="58"/>
      <c r="F304" s="58"/>
      <c r="G304" s="58"/>
      <c r="H304" s="1085" t="s">
        <v>1672</v>
      </c>
      <c r="I304" s="1085"/>
      <c r="J304" s="1085"/>
      <c r="K304" s="1085"/>
      <c r="L304" s="1085"/>
      <c r="M304" s="1085"/>
      <c r="N304" s="1086"/>
      <c r="O304" s="1086"/>
      <c r="P304" s="1086"/>
      <c r="Q304" s="1086"/>
      <c r="R304" s="1086"/>
      <c r="S304" s="58"/>
      <c r="T304" s="58" t="s">
        <v>82</v>
      </c>
      <c r="V304" s="58"/>
      <c r="W304" s="58"/>
      <c r="X304" s="58"/>
      <c r="Y304" s="58"/>
      <c r="AA304" s="1085" t="s">
        <v>1751</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7" t="s">
        <v>1690</v>
      </c>
      <c r="I306" s="1086"/>
      <c r="J306" s="1086"/>
      <c r="K306" s="1086"/>
      <c r="L306" s="1086"/>
      <c r="M306" s="1086"/>
      <c r="N306" s="1086"/>
      <c r="O306" s="1086"/>
      <c r="P306" s="1086"/>
      <c r="Q306" s="1086"/>
      <c r="R306" s="1086"/>
      <c r="S306" s="58"/>
      <c r="T306" s="58" t="s">
        <v>388</v>
      </c>
      <c r="V306" s="58"/>
      <c r="W306" s="58"/>
      <c r="X306" s="58"/>
      <c r="Y306" s="58"/>
      <c r="AA306" s="1086" t="s">
        <v>1697</v>
      </c>
      <c r="AB306" s="1086"/>
      <c r="AC306" s="1086"/>
      <c r="AD306" s="1086"/>
      <c r="AE306" s="1086"/>
      <c r="AF306" s="1086"/>
      <c r="AG306" s="1086"/>
      <c r="AH306" s="1086"/>
      <c r="AI306" s="1086"/>
      <c r="AJ306" s="1086"/>
      <c r="AK306" s="1086"/>
      <c r="BA306" s="61"/>
    </row>
    <row r="307" spans="1:53" ht="12.75">
      <c r="B307" s="58" t="s">
        <v>517</v>
      </c>
      <c r="C307" s="58"/>
      <c r="D307" s="58"/>
      <c r="E307" s="58"/>
      <c r="F307" s="58"/>
      <c r="H307" s="1126" t="s">
        <v>1691</v>
      </c>
      <c r="I307" s="1085"/>
      <c r="J307" s="1085"/>
      <c r="K307" s="1085"/>
      <c r="L307" s="1085"/>
      <c r="M307" s="1085"/>
      <c r="N307" s="1085"/>
      <c r="O307" s="1085"/>
      <c r="P307" s="1085"/>
      <c r="Q307" s="1085"/>
      <c r="R307" s="1085"/>
      <c r="S307" s="58"/>
      <c r="T307" s="58" t="s">
        <v>517</v>
      </c>
      <c r="V307" s="58"/>
      <c r="W307" s="58"/>
      <c r="X307" s="58"/>
      <c r="Y307" s="58"/>
      <c r="AA307" s="1085"/>
      <c r="AB307" s="1085"/>
      <c r="AC307" s="1085"/>
      <c r="AD307" s="1085"/>
      <c r="AE307" s="1085"/>
      <c r="AF307" s="1085"/>
      <c r="AG307" s="1085"/>
      <c r="AH307" s="1085"/>
      <c r="AI307" s="1085"/>
      <c r="AJ307" s="1085"/>
      <c r="AK307" s="1085"/>
      <c r="BA307" s="61"/>
    </row>
    <row r="308" spans="1:53" ht="12.75">
      <c r="B308" s="58" t="s">
        <v>518</v>
      </c>
      <c r="C308" s="58"/>
      <c r="D308" s="58"/>
      <c r="E308" s="58"/>
      <c r="F308" s="58"/>
      <c r="H308" s="1256" t="s">
        <v>1692</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126" t="s">
        <v>1693</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t="s">
        <v>1694</v>
      </c>
      <c r="I310" s="1099"/>
      <c r="J310" s="1099"/>
      <c r="K310" s="1099"/>
      <c r="L310" s="1099"/>
      <c r="M310" s="1099"/>
      <c r="N310" s="7" t="s">
        <v>219</v>
      </c>
      <c r="O310" s="7"/>
      <c r="P310" s="1149"/>
      <c r="Q310" s="1149"/>
      <c r="R310" s="1149"/>
      <c r="S310" s="58"/>
      <c r="T310" s="58" t="s">
        <v>95</v>
      </c>
      <c r="V310" s="58"/>
      <c r="W310" s="58"/>
      <c r="X310" s="58"/>
      <c r="Y310" s="58"/>
      <c r="AA310" s="1100"/>
      <c r="AB310" s="1100"/>
      <c r="AC310" s="1100"/>
      <c r="AD310" s="1100"/>
      <c r="AE310" s="1100"/>
      <c r="AF310" s="1100"/>
      <c r="AG310" s="7" t="s">
        <v>219</v>
      </c>
      <c r="AH310" s="7"/>
      <c r="AI310" s="1149"/>
      <c r="AJ310" s="1149"/>
      <c r="AK310" s="1149"/>
      <c r="BA310" s="61"/>
    </row>
    <row r="311" spans="1:53" ht="12.75">
      <c r="B311" s="58" t="s">
        <v>96</v>
      </c>
      <c r="C311" s="58"/>
      <c r="D311" s="58"/>
      <c r="E311" s="58"/>
      <c r="F311" s="58"/>
      <c r="G311" s="58"/>
      <c r="H311" s="1160" t="s">
        <v>1695</v>
      </c>
      <c r="I311" s="1160"/>
      <c r="J311" s="1160"/>
      <c r="K311" s="1160"/>
      <c r="L311" s="1160"/>
      <c r="M311" s="1160"/>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126" t="s">
        <v>1696</v>
      </c>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1006</v>
      </c>
      <c r="C314" s="58"/>
      <c r="D314" s="58"/>
      <c r="E314" s="58"/>
      <c r="F314" s="58"/>
      <c r="H314" s="1086" t="s">
        <v>1698</v>
      </c>
      <c r="I314" s="1086"/>
      <c r="J314" s="1086"/>
      <c r="K314" s="1086"/>
      <c r="L314" s="1086"/>
      <c r="M314" s="1086"/>
      <c r="N314" s="1086"/>
      <c r="O314" s="1086"/>
      <c r="P314" s="1086"/>
      <c r="Q314" s="1086"/>
      <c r="R314" s="1086"/>
      <c r="T314" s="58" t="s">
        <v>389</v>
      </c>
      <c r="V314" s="58"/>
      <c r="W314" s="58"/>
      <c r="X314" s="58"/>
      <c r="Y314" s="58"/>
      <c r="AA314" s="1086" t="s">
        <v>1704</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085" t="s">
        <v>1699</v>
      </c>
      <c r="I315" s="1085"/>
      <c r="J315" s="1085"/>
      <c r="K315" s="1085"/>
      <c r="L315" s="1085"/>
      <c r="M315" s="1085"/>
      <c r="N315" s="1085"/>
      <c r="O315" s="1085"/>
      <c r="P315" s="1085"/>
      <c r="Q315" s="1085"/>
      <c r="R315" s="1085"/>
      <c r="T315" s="58" t="s">
        <v>517</v>
      </c>
      <c r="V315" s="58"/>
      <c r="W315" s="58"/>
      <c r="X315" s="58"/>
      <c r="Y315" s="58"/>
      <c r="AA315" s="1085" t="s">
        <v>1705</v>
      </c>
      <c r="AB315" s="1085"/>
      <c r="AC315" s="1085"/>
      <c r="AD315" s="1085"/>
      <c r="AE315" s="1085"/>
      <c r="AF315" s="1085"/>
      <c r="AG315" s="1085"/>
      <c r="AH315" s="1085"/>
      <c r="AI315" s="1085"/>
      <c r="AJ315" s="1085"/>
      <c r="AK315" s="1085"/>
      <c r="BA315" s="61"/>
    </row>
    <row r="316" spans="1:53" ht="12.75">
      <c r="B316" s="58" t="s">
        <v>518</v>
      </c>
      <c r="C316" s="58"/>
      <c r="D316" s="58"/>
      <c r="E316" s="58"/>
      <c r="F316" s="58"/>
      <c r="H316" s="1085" t="s">
        <v>1700</v>
      </c>
      <c r="I316" s="1085"/>
      <c r="J316" s="1085"/>
      <c r="K316" s="1085"/>
      <c r="L316" s="1085"/>
      <c r="M316" s="1085"/>
      <c r="N316" s="1085"/>
      <c r="O316" s="1085"/>
      <c r="P316" s="1085"/>
      <c r="Q316" s="1085"/>
      <c r="R316" s="1085"/>
      <c r="T316" s="58" t="s">
        <v>81</v>
      </c>
      <c r="V316" s="58"/>
      <c r="W316" s="58"/>
      <c r="X316" s="58"/>
      <c r="Y316" s="58"/>
      <c r="AA316" s="1085" t="s">
        <v>1706</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t="s">
        <v>1701</v>
      </c>
      <c r="I317" s="1085"/>
      <c r="J317" s="1085"/>
      <c r="K317" s="1085"/>
      <c r="L317" s="1085"/>
      <c r="M317" s="1085"/>
      <c r="N317" s="1085"/>
      <c r="O317" s="1085"/>
      <c r="P317" s="1085"/>
      <c r="Q317" s="1085"/>
      <c r="R317" s="1085"/>
      <c r="T317" s="58" t="s">
        <v>94</v>
      </c>
      <c r="V317" s="58"/>
      <c r="W317" s="58"/>
      <c r="X317" s="58"/>
      <c r="Y317" s="58"/>
      <c r="AA317" s="1085" t="s">
        <v>1707</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t="s">
        <v>1702</v>
      </c>
      <c r="I318" s="1100"/>
      <c r="J318" s="1100"/>
      <c r="K318" s="1100"/>
      <c r="L318" s="1100"/>
      <c r="M318" s="1100"/>
      <c r="N318" s="7" t="s">
        <v>219</v>
      </c>
      <c r="O318" s="7"/>
      <c r="P318" s="1149"/>
      <c r="Q318" s="1149"/>
      <c r="R318" s="1149"/>
      <c r="S318" s="58"/>
      <c r="T318" s="58" t="s">
        <v>95</v>
      </c>
      <c r="V318" s="58"/>
      <c r="W318" s="58"/>
      <c r="X318" s="58"/>
      <c r="Y318" s="58"/>
      <c r="AA318" s="1099" t="s">
        <v>1708</v>
      </c>
      <c r="AB318" s="1100"/>
      <c r="AC318" s="1100"/>
      <c r="AD318" s="1100"/>
      <c r="AE318" s="1100"/>
      <c r="AF318" s="1100"/>
      <c r="AG318" s="7" t="s">
        <v>219</v>
      </c>
      <c r="AH318" s="7"/>
      <c r="AI318" s="1149"/>
      <c r="AJ318" s="1149"/>
      <c r="AK318" s="1149"/>
      <c r="AL318" s="39"/>
    </row>
    <row r="319" spans="1:53" ht="12.75">
      <c r="A319" s="39"/>
      <c r="B319" s="58" t="s">
        <v>96</v>
      </c>
      <c r="C319" s="58"/>
      <c r="D319" s="58"/>
      <c r="E319" s="58"/>
      <c r="F319" s="58"/>
      <c r="G319" s="58"/>
      <c r="H319" s="1160" t="s">
        <v>641</v>
      </c>
      <c r="I319" s="1121"/>
      <c r="J319" s="1121"/>
      <c r="K319" s="1121"/>
      <c r="L319" s="1121"/>
      <c r="M319" s="1121"/>
      <c r="N319" s="60"/>
      <c r="O319" s="60"/>
      <c r="P319" s="62"/>
      <c r="Q319" s="62"/>
      <c r="R319" s="62"/>
      <c r="S319" s="58"/>
      <c r="T319" s="58" t="s">
        <v>96</v>
      </c>
      <c r="V319" s="58"/>
      <c r="W319" s="58"/>
      <c r="X319" s="58"/>
      <c r="Y319" s="58"/>
      <c r="AA319" s="1160" t="s">
        <v>641</v>
      </c>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5" t="s">
        <v>1703</v>
      </c>
      <c r="I320" s="1085"/>
      <c r="J320" s="1085"/>
      <c r="K320" s="1085"/>
      <c r="L320" s="1085"/>
      <c r="M320" s="1085"/>
      <c r="N320" s="1086"/>
      <c r="O320" s="1086"/>
      <c r="P320" s="1086"/>
      <c r="Q320" s="1086"/>
      <c r="R320" s="1086"/>
      <c r="S320" s="58"/>
      <c r="T320" s="58" t="s">
        <v>82</v>
      </c>
      <c r="V320" s="58"/>
      <c r="W320" s="58"/>
      <c r="X320" s="58"/>
      <c r="Y320" s="58"/>
      <c r="AA320" s="1085" t="s">
        <v>1709</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27" t="s">
        <v>1710</v>
      </c>
      <c r="I322" s="1086"/>
      <c r="J322" s="1086"/>
      <c r="K322" s="1086"/>
      <c r="L322" s="1086"/>
      <c r="M322" s="1086"/>
      <c r="N322" s="1086"/>
      <c r="O322" s="1086"/>
      <c r="P322" s="1086"/>
      <c r="Q322" s="1086"/>
      <c r="R322" s="1086"/>
      <c r="T322" s="58" t="s">
        <v>391</v>
      </c>
      <c r="V322" s="58"/>
      <c r="W322" s="58"/>
      <c r="X322" s="58"/>
      <c r="Y322" s="58"/>
      <c r="AA322" s="1086" t="s">
        <v>641</v>
      </c>
      <c r="AB322" s="1086"/>
      <c r="AC322" s="1086"/>
      <c r="AD322" s="1086"/>
      <c r="AE322" s="1086"/>
      <c r="AF322" s="1086"/>
      <c r="AG322" s="1086"/>
      <c r="AH322" s="1086"/>
      <c r="AI322" s="1086"/>
      <c r="AJ322" s="1086"/>
      <c r="AK322" s="1086"/>
      <c r="AL322" s="39"/>
    </row>
    <row r="323" spans="1:53" ht="12.75">
      <c r="A323" s="39"/>
      <c r="B323" s="58" t="s">
        <v>517</v>
      </c>
      <c r="C323" s="58"/>
      <c r="D323" s="58"/>
      <c r="E323" s="58"/>
      <c r="F323" s="58"/>
      <c r="H323" s="1126" t="s">
        <v>1711</v>
      </c>
      <c r="I323" s="1085"/>
      <c r="J323" s="1085"/>
      <c r="K323" s="1085"/>
      <c r="L323" s="1085"/>
      <c r="M323" s="1085"/>
      <c r="N323" s="1085"/>
      <c r="O323" s="1085"/>
      <c r="P323" s="1085"/>
      <c r="Q323" s="1085"/>
      <c r="R323" s="1085"/>
      <c r="T323" s="58" t="s">
        <v>517</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126" t="s">
        <v>1712</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126" t="s">
        <v>1713</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1714</v>
      </c>
      <c r="I326" s="1099"/>
      <c r="J326" s="1099"/>
      <c r="K326" s="1099"/>
      <c r="L326" s="1099"/>
      <c r="M326" s="1099"/>
      <c r="N326" s="7" t="s">
        <v>219</v>
      </c>
      <c r="O326" s="7"/>
      <c r="P326" s="1149"/>
      <c r="Q326" s="1149"/>
      <c r="R326" s="1149"/>
      <c r="S326" s="58"/>
      <c r="T326" s="58" t="s">
        <v>95</v>
      </c>
      <c r="V326" s="58"/>
      <c r="W326" s="58"/>
      <c r="X326" s="58"/>
      <c r="Y326" s="58"/>
      <c r="AA326" s="1100"/>
      <c r="AB326" s="1100"/>
      <c r="AC326" s="1100"/>
      <c r="AD326" s="1100"/>
      <c r="AE326" s="1100"/>
      <c r="AF326" s="1100"/>
      <c r="AG326" s="7" t="s">
        <v>219</v>
      </c>
      <c r="AH326" s="7"/>
      <c r="AI326" s="1149"/>
      <c r="AJ326" s="1149"/>
      <c r="AK326" s="1149"/>
      <c r="AL326" s="39"/>
    </row>
    <row r="327" spans="1:53" ht="12.75" customHeight="1">
      <c r="A327" s="39"/>
      <c r="B327" s="58" t="s">
        <v>96</v>
      </c>
      <c r="C327" s="58"/>
      <c r="D327" s="58"/>
      <c r="E327" s="58"/>
      <c r="F327" s="58"/>
      <c r="G327" s="58"/>
      <c r="H327" s="1160" t="s">
        <v>1715</v>
      </c>
      <c r="I327" s="1160"/>
      <c r="J327" s="1160"/>
      <c r="K327" s="1160"/>
      <c r="L327" s="1160"/>
      <c r="M327" s="1160"/>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126" t="s">
        <v>1716</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6" t="s">
        <v>1717</v>
      </c>
      <c r="I330" s="1086"/>
      <c r="J330" s="1086"/>
      <c r="K330" s="1086"/>
      <c r="L330" s="1086"/>
      <c r="M330" s="1086"/>
      <c r="N330" s="1086"/>
      <c r="O330" s="1086"/>
      <c r="P330" s="1086"/>
      <c r="Q330" s="1086"/>
      <c r="R330" s="1086"/>
      <c r="T330" s="422" t="s">
        <v>981</v>
      </c>
      <c r="V330" s="58"/>
      <c r="W330" s="58"/>
      <c r="X330" s="58"/>
      <c r="Y330" s="58"/>
      <c r="AA330" s="1253" t="s">
        <v>1722</v>
      </c>
      <c r="AB330" s="1253"/>
      <c r="AC330" s="1253"/>
      <c r="AD330" s="1253"/>
      <c r="AE330" s="1253"/>
      <c r="AF330" s="1253"/>
      <c r="AG330" s="1253"/>
      <c r="AH330" s="1253"/>
      <c r="AI330" s="1253"/>
      <c r="AJ330" s="1253"/>
      <c r="AK330" s="1253"/>
      <c r="AL330" s="39"/>
    </row>
    <row r="331" spans="1:53" ht="12.75" customHeight="1">
      <c r="B331" s="58" t="s">
        <v>517</v>
      </c>
      <c r="C331" s="248"/>
      <c r="D331" s="248"/>
      <c r="E331" s="248"/>
      <c r="F331" s="248"/>
      <c r="G331" s="3"/>
      <c r="H331" s="1085" t="s">
        <v>1718</v>
      </c>
      <c r="I331" s="1085"/>
      <c r="J331" s="1085"/>
      <c r="K331" s="1085"/>
      <c r="L331" s="1085"/>
      <c r="M331" s="1085"/>
      <c r="N331" s="1085"/>
      <c r="O331" s="1085"/>
      <c r="P331" s="1085"/>
      <c r="Q331" s="1085"/>
      <c r="R331" s="1085"/>
      <c r="T331" s="58" t="s">
        <v>517</v>
      </c>
      <c r="V331" s="58"/>
      <c r="W331" s="58"/>
      <c r="X331" s="58"/>
      <c r="Y331" s="58"/>
      <c r="AA331" s="1101" t="s">
        <v>1723</v>
      </c>
      <c r="AB331" s="1101"/>
      <c r="AC331" s="1101"/>
      <c r="AD331" s="1101"/>
      <c r="AE331" s="1101"/>
      <c r="AF331" s="1101"/>
      <c r="AG331" s="1101"/>
      <c r="AH331" s="1101"/>
      <c r="AI331" s="1101"/>
      <c r="AJ331" s="1101"/>
      <c r="AK331" s="1101"/>
      <c r="AL331" s="39"/>
    </row>
    <row r="332" spans="1:53" ht="12.75" customHeight="1">
      <c r="B332" s="58" t="s">
        <v>81</v>
      </c>
      <c r="C332" s="248"/>
      <c r="D332" s="248"/>
      <c r="E332" s="248"/>
      <c r="F332" s="248"/>
      <c r="G332" s="3"/>
      <c r="H332" s="1085" t="s">
        <v>1700</v>
      </c>
      <c r="I332" s="1085"/>
      <c r="J332" s="1085"/>
      <c r="K332" s="1085"/>
      <c r="L332" s="1085"/>
      <c r="M332" s="1085"/>
      <c r="N332" s="1085"/>
      <c r="O332" s="1085"/>
      <c r="P332" s="1085"/>
      <c r="Q332" s="1085"/>
      <c r="R332" s="1085"/>
      <c r="T332" s="58" t="s">
        <v>81</v>
      </c>
      <c r="V332" s="58"/>
      <c r="W332" s="58"/>
      <c r="X332" s="58"/>
      <c r="Y332" s="58"/>
      <c r="AA332" s="1101" t="s">
        <v>1700</v>
      </c>
      <c r="AB332" s="1101"/>
      <c r="AC332" s="1101"/>
      <c r="AD332" s="1101"/>
      <c r="AE332" s="1101"/>
      <c r="AF332" s="1101"/>
      <c r="AG332" s="1101"/>
      <c r="AH332" s="1101"/>
      <c r="AI332" s="1101"/>
      <c r="AJ332" s="1101"/>
      <c r="AK332" s="1101"/>
      <c r="AL332" s="39"/>
    </row>
    <row r="333" spans="1:53" ht="12.75">
      <c r="A333" s="39"/>
      <c r="B333" s="58" t="s">
        <v>94</v>
      </c>
      <c r="C333" s="248"/>
      <c r="D333" s="248"/>
      <c r="E333" s="248"/>
      <c r="F333" s="248"/>
      <c r="G333" s="248"/>
      <c r="H333" s="1085" t="s">
        <v>1719</v>
      </c>
      <c r="I333" s="1085"/>
      <c r="J333" s="1085"/>
      <c r="K333" s="1085"/>
      <c r="L333" s="1085"/>
      <c r="M333" s="1085"/>
      <c r="N333" s="1085"/>
      <c r="O333" s="1085"/>
      <c r="P333" s="1085"/>
      <c r="Q333" s="1085"/>
      <c r="R333" s="1085"/>
      <c r="T333" s="58" t="s">
        <v>94</v>
      </c>
      <c r="V333" s="58"/>
      <c r="W333" s="58"/>
      <c r="X333" s="58"/>
      <c r="Y333" s="58"/>
      <c r="AA333" s="1085" t="s">
        <v>1724</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1720</v>
      </c>
      <c r="I334" s="1100"/>
      <c r="J334" s="1100"/>
      <c r="K334" s="1100"/>
      <c r="L334" s="1100"/>
      <c r="M334" s="1100"/>
      <c r="N334" s="7" t="s">
        <v>219</v>
      </c>
      <c r="O334" s="7"/>
      <c r="P334" s="1149"/>
      <c r="Q334" s="1149"/>
      <c r="R334" s="1149"/>
      <c r="S334" s="58"/>
      <c r="T334" s="58" t="s">
        <v>95</v>
      </c>
      <c r="V334" s="58"/>
      <c r="W334" s="58"/>
      <c r="X334" s="58"/>
      <c r="Y334" s="58"/>
      <c r="AA334" s="1099" t="s">
        <v>1726</v>
      </c>
      <c r="AB334" s="1100"/>
      <c r="AC334" s="1100"/>
      <c r="AD334" s="1100"/>
      <c r="AE334" s="1100"/>
      <c r="AF334" s="1100"/>
      <c r="AG334" s="7" t="s">
        <v>219</v>
      </c>
      <c r="AH334" s="7"/>
      <c r="AI334" s="1149"/>
      <c r="AJ334" s="1149"/>
      <c r="AK334" s="1149"/>
      <c r="AL334" s="39"/>
    </row>
    <row r="335" spans="1:53" ht="12.75" customHeight="1">
      <c r="A335" s="39"/>
      <c r="B335" s="58" t="s">
        <v>96</v>
      </c>
      <c r="C335" s="248"/>
      <c r="D335" s="248"/>
      <c r="E335" s="248"/>
      <c r="F335" s="248"/>
      <c r="G335" s="248"/>
      <c r="H335" s="1160" t="s">
        <v>641</v>
      </c>
      <c r="I335" s="1121"/>
      <c r="J335" s="1121"/>
      <c r="K335" s="1121"/>
      <c r="L335" s="1121"/>
      <c r="M335" s="1121"/>
      <c r="N335" s="60"/>
      <c r="O335" s="60"/>
      <c r="P335" s="62"/>
      <c r="Q335" s="62"/>
      <c r="R335" s="62"/>
      <c r="S335" s="58"/>
      <c r="T335" s="58" t="s">
        <v>96</v>
      </c>
      <c r="V335" s="58"/>
      <c r="W335" s="58"/>
      <c r="X335" s="58"/>
      <c r="Y335" s="58"/>
      <c r="AA335" s="1160" t="s">
        <v>1725</v>
      </c>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5" t="s">
        <v>1721</v>
      </c>
      <c r="I336" s="1085"/>
      <c r="J336" s="1085"/>
      <c r="K336" s="1085"/>
      <c r="L336" s="1085"/>
      <c r="M336" s="1085"/>
      <c r="N336" s="1086"/>
      <c r="O336" s="1086"/>
      <c r="P336" s="1086"/>
      <c r="Q336" s="1086"/>
      <c r="R336" s="1086"/>
      <c r="S336" s="58"/>
      <c r="T336" s="58" t="s">
        <v>82</v>
      </c>
      <c r="V336" s="58"/>
      <c r="W336" s="58"/>
      <c r="X336" s="58"/>
      <c r="Y336" s="58"/>
      <c r="AA336" s="1126" t="s">
        <v>1727</v>
      </c>
      <c r="AB336" s="1085"/>
      <c r="AC336" s="1085"/>
      <c r="AD336" s="1085"/>
      <c r="AE336" s="1085"/>
      <c r="AF336" s="1085"/>
      <c r="AG336" s="1086"/>
      <c r="AH336" s="1086"/>
      <c r="AI336" s="1086"/>
      <c r="AJ336" s="1086"/>
      <c r="AK336" s="108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27" t="s">
        <v>641</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2.75">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5" t="s">
        <v>591</v>
      </c>
      <c r="N350" s="1115"/>
      <c r="P350" s="12" t="s">
        <v>598</v>
      </c>
      <c r="AJ350" s="1115" t="s">
        <v>641</v>
      </c>
      <c r="AK350" s="1115"/>
    </row>
    <row r="351" spans="1:53" ht="12.75" customHeight="1">
      <c r="D351" s="7" t="s">
        <v>955</v>
      </c>
      <c r="R351" s="12" t="s">
        <v>599</v>
      </c>
      <c r="AJ351" s="1115" t="s">
        <v>641</v>
      </c>
      <c r="AK351" s="1115"/>
    </row>
    <row r="352" spans="1:53" ht="12.75" customHeight="1">
      <c r="D352" s="12" t="s">
        <v>765</v>
      </c>
      <c r="M352" s="1115" t="s">
        <v>641</v>
      </c>
      <c r="N352" s="1115"/>
      <c r="P352" s="7" t="s">
        <v>952</v>
      </c>
      <c r="AJ352" s="1115" t="s">
        <v>641</v>
      </c>
      <c r="AK352" s="1115"/>
    </row>
    <row r="353" spans="1:34" ht="12.75" customHeight="1">
      <c r="D353" s="12" t="s">
        <v>766</v>
      </c>
      <c r="M353" s="1115" t="s">
        <v>641</v>
      </c>
      <c r="N353" s="111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641</v>
      </c>
      <c r="O358" s="1115"/>
      <c r="P358" s="69"/>
      <c r="Q358" s="69"/>
      <c r="R358" s="69"/>
      <c r="S358" s="69"/>
      <c r="T358" s="69"/>
      <c r="U358" s="69"/>
      <c r="V358" s="69"/>
      <c r="W358" s="69"/>
      <c r="X358" s="69"/>
      <c r="Y358" s="70"/>
      <c r="Z358" s="70"/>
      <c r="AC358" s="69"/>
      <c r="AD358" s="69"/>
      <c r="AE358" s="69"/>
    </row>
    <row r="359" spans="1:34" ht="12.75" customHeight="1">
      <c r="E359" s="12" t="s">
        <v>394</v>
      </c>
      <c r="Y359" s="1115" t="s">
        <v>641</v>
      </c>
      <c r="Z359" s="1115"/>
    </row>
    <row r="360" spans="1:34" ht="12.75" customHeight="1">
      <c r="D360" s="7" t="s">
        <v>1092</v>
      </c>
      <c r="Q360" s="1086" t="s">
        <v>641</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641</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767</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492</v>
      </c>
      <c r="F365" s="7"/>
      <c r="G365" s="7"/>
      <c r="H365" s="7"/>
      <c r="I365" s="7"/>
      <c r="J365" s="7"/>
      <c r="K365" s="7"/>
      <c r="L365" s="7"/>
      <c r="N365" s="1138"/>
      <c r="O365" s="1138"/>
      <c r="P365" s="1138"/>
      <c r="Q365" s="1138"/>
      <c r="R365" s="7"/>
      <c r="U365" s="7" t="s">
        <v>493</v>
      </c>
      <c r="V365" s="7"/>
      <c r="W365" s="7"/>
      <c r="X365" s="7"/>
      <c r="Y365" s="7"/>
      <c r="Z365" s="7"/>
      <c r="AA365" s="7"/>
      <c r="AB365" s="7"/>
      <c r="AC365" s="1138"/>
      <c r="AD365" s="1138"/>
      <c r="AE365" s="1138"/>
      <c r="AF365" s="1138"/>
    </row>
    <row r="366" spans="1:34" ht="12.75" customHeight="1">
      <c r="E366" s="7" t="s">
        <v>494</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1127</v>
      </c>
      <c r="F373" s="7"/>
      <c r="G373" s="7"/>
      <c r="H373" s="7"/>
      <c r="I373" s="7"/>
      <c r="J373" s="7"/>
      <c r="K373" s="7"/>
      <c r="L373" s="7"/>
      <c r="N373" s="1114"/>
      <c r="O373" s="1114"/>
      <c r="P373" s="1114"/>
    </row>
    <row r="374" spans="1:38" ht="12.75" customHeight="1">
      <c r="E374" s="399" t="s">
        <v>1129</v>
      </c>
      <c r="F374" s="7"/>
      <c r="G374" s="7"/>
      <c r="H374" s="7"/>
      <c r="I374" s="7"/>
      <c r="J374" s="7"/>
      <c r="K374" s="7"/>
      <c r="L374" s="7"/>
      <c r="AG374" s="1548" t="s">
        <v>641</v>
      </c>
      <c r="AH374" s="1548"/>
    </row>
    <row r="375" spans="1:38" ht="12.75" customHeight="1">
      <c r="E375" s="7"/>
      <c r="F375" s="7"/>
      <c r="G375" s="7" t="s">
        <v>1150</v>
      </c>
      <c r="H375" s="7"/>
      <c r="I375" s="7"/>
      <c r="J375" s="7"/>
      <c r="K375" s="7"/>
      <c r="L375" s="7"/>
      <c r="AG375" s="1548" t="s">
        <v>641</v>
      </c>
      <c r="AH375" s="1548"/>
    </row>
    <row r="376" spans="1:38" ht="12.75" customHeight="1">
      <c r="E376" s="7"/>
      <c r="F376" s="7"/>
      <c r="G376" s="530" t="s">
        <v>1130</v>
      </c>
      <c r="H376" s="7"/>
      <c r="I376" s="7"/>
      <c r="J376" s="7"/>
      <c r="K376" s="7"/>
      <c r="L376" s="7"/>
      <c r="V376" s="1115" t="s">
        <v>641</v>
      </c>
      <c r="W376" s="1115"/>
      <c r="Y376" s="35" t="s">
        <v>1094</v>
      </c>
    </row>
    <row r="377" spans="1:38" ht="12.75" customHeight="1">
      <c r="E377" s="7" t="s">
        <v>1095</v>
      </c>
      <c r="F377" s="7"/>
      <c r="G377" s="7"/>
      <c r="H377" s="7"/>
      <c r="I377" s="7"/>
      <c r="J377" s="7"/>
      <c r="K377" s="7"/>
      <c r="L377" s="7"/>
      <c r="V377" s="1115" t="s">
        <v>641</v>
      </c>
      <c r="W377" s="1115"/>
      <c r="Y377" s="7" t="s">
        <v>1096</v>
      </c>
    </row>
    <row r="378" spans="1:38" ht="12.75" customHeight="1"/>
    <row r="379" spans="1:38" ht="12.75" customHeight="1">
      <c r="A379" s="50" t="s">
        <v>84</v>
      </c>
      <c r="B379" s="50"/>
    </row>
    <row r="380" spans="1:38" ht="12.75" customHeight="1">
      <c r="D380" s="12" t="s">
        <v>462</v>
      </c>
      <c r="J380" s="1127" t="s">
        <v>1728</v>
      </c>
      <c r="K380" s="1086"/>
      <c r="L380" s="1086"/>
      <c r="M380" s="1086"/>
      <c r="N380" s="1086"/>
      <c r="O380" s="1086"/>
      <c r="P380" s="1086"/>
      <c r="Q380" s="1086"/>
      <c r="R380" s="1086"/>
      <c r="S380" s="1086"/>
      <c r="T380" s="1086"/>
      <c r="U380" s="1086"/>
      <c r="V380" s="14" t="s">
        <v>90</v>
      </c>
      <c r="W380" s="14"/>
      <c r="X380" s="14"/>
      <c r="Y380" s="14"/>
      <c r="Z380" s="14"/>
      <c r="AA380" s="14"/>
      <c r="AB380" s="14"/>
      <c r="AC380" s="1127" t="s">
        <v>1729</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126" t="s">
        <v>1729</v>
      </c>
      <c r="K381" s="1085"/>
      <c r="L381" s="1085"/>
      <c r="M381" s="1085"/>
      <c r="N381" s="1085"/>
      <c r="O381" s="1085"/>
      <c r="P381" s="1085"/>
      <c r="Q381" s="1085"/>
      <c r="R381" s="1085"/>
      <c r="S381" s="1085"/>
      <c r="T381" s="1085"/>
      <c r="U381" s="1085"/>
      <c r="V381" s="58" t="s">
        <v>1422</v>
      </c>
      <c r="W381" s="14"/>
      <c r="X381" s="14"/>
      <c r="Y381" s="14"/>
      <c r="Z381" s="14"/>
      <c r="AA381" s="14"/>
      <c r="AB381" s="14"/>
      <c r="AC381" s="1127" t="s">
        <v>641</v>
      </c>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126" t="s">
        <v>1730</v>
      </c>
      <c r="K382" s="1085"/>
      <c r="L382" s="1085"/>
      <c r="M382" s="1085"/>
      <c r="N382" s="1085"/>
      <c r="O382" s="1085"/>
      <c r="P382" s="1085"/>
      <c r="Q382" s="1085"/>
      <c r="R382" s="1085"/>
      <c r="S382" s="1085"/>
      <c r="T382" s="1085"/>
      <c r="U382" s="1085"/>
      <c r="V382" s="58" t="s">
        <v>477</v>
      </c>
      <c r="W382" s="14"/>
      <c r="X382" s="14"/>
      <c r="Y382" s="14"/>
      <c r="Z382" s="14"/>
      <c r="AA382" s="14"/>
      <c r="AB382" s="14"/>
      <c r="AC382" s="1127" t="s">
        <v>641</v>
      </c>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28" t="s">
        <v>1790</v>
      </c>
      <c r="K383" s="1118"/>
      <c r="L383" s="1118"/>
      <c r="M383" s="1118"/>
      <c r="N383" s="1118"/>
      <c r="O383" s="1118"/>
      <c r="P383" s="1118"/>
      <c r="Q383" s="1118"/>
      <c r="R383" s="1118"/>
      <c r="S383" s="1118"/>
      <c r="T383" s="1118"/>
      <c r="U383" s="1118"/>
      <c r="V383" s="1127" t="s">
        <v>1791</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2">
        <v>43332</v>
      </c>
      <c r="R384" s="1252"/>
      <c r="S384" s="1252"/>
      <c r="T384" s="1252"/>
      <c r="U384" s="1252"/>
      <c r="V384" s="12" t="s">
        <v>330</v>
      </c>
      <c r="AI384" s="1115" t="s">
        <v>722</v>
      </c>
      <c r="AJ384" s="1115"/>
    </row>
    <row r="385" spans="1:38" ht="12.75" customHeight="1">
      <c r="D385" s="12" t="s">
        <v>5</v>
      </c>
      <c r="Q385" s="1420">
        <v>43999</v>
      </c>
      <c r="R385" s="1565"/>
      <c r="S385" s="1565"/>
      <c r="T385" s="1565"/>
      <c r="U385" s="1565"/>
      <c r="W385" s="33" t="s">
        <v>80</v>
      </c>
      <c r="AG385" s="1120"/>
      <c r="AH385" s="1120"/>
      <c r="AI385" s="1120"/>
      <c r="AJ385" s="1120"/>
    </row>
    <row r="386" spans="1:38" ht="12.75" customHeight="1">
      <c r="D386" s="12" t="s">
        <v>461</v>
      </c>
      <c r="Q386" s="1155">
        <v>750000</v>
      </c>
      <c r="R386" s="1155"/>
      <c r="S386" s="1155"/>
      <c r="T386" s="1155"/>
      <c r="U386" s="1155"/>
      <c r="V386" s="58" t="s">
        <v>1421</v>
      </c>
      <c r="AG386" s="1263">
        <v>43999</v>
      </c>
      <c r="AH386" s="1263"/>
      <c r="AI386" s="1263"/>
      <c r="AJ386" s="1263"/>
    </row>
    <row r="387" spans="1:38" ht="12.75" customHeight="1">
      <c r="D387" s="12" t="s">
        <v>95</v>
      </c>
      <c r="I387" s="1099" t="s">
        <v>1731</v>
      </c>
      <c r="J387" s="1100"/>
      <c r="K387" s="1100"/>
      <c r="L387" s="1100"/>
      <c r="M387" s="1100"/>
      <c r="N387" s="1100"/>
      <c r="Q387" s="57" t="s">
        <v>219</v>
      </c>
      <c r="S387" s="1150">
        <v>1140</v>
      </c>
      <c r="T387" s="1150"/>
      <c r="U387" s="1150"/>
      <c r="V387" s="12" t="s">
        <v>79</v>
      </c>
      <c r="AI387" s="1115" t="s">
        <v>722</v>
      </c>
      <c r="AJ387" s="1115"/>
    </row>
    <row r="388" spans="1:38" ht="12.75">
      <c r="D388" s="12" t="s">
        <v>331</v>
      </c>
      <c r="Q388" s="1156" t="s">
        <v>641</v>
      </c>
      <c r="R388" s="1157"/>
      <c r="S388" s="1157"/>
      <c r="T388" s="1157"/>
      <c r="U388" s="1157"/>
      <c r="V388" s="12" t="s">
        <v>332</v>
      </c>
      <c r="AG388" s="1156" t="s">
        <v>641</v>
      </c>
      <c r="AH388" s="1120"/>
      <c r="AI388" s="1120"/>
      <c r="AJ388" s="1120"/>
    </row>
    <row r="389" spans="1:38" ht="12.75">
      <c r="D389" s="12" t="s">
        <v>333</v>
      </c>
      <c r="Q389" s="1264" t="s">
        <v>641</v>
      </c>
      <c r="R389" s="1265"/>
      <c r="S389" s="1265"/>
      <c r="T389" s="1265"/>
      <c r="U389" s="1265"/>
      <c r="V389" s="743" t="s">
        <v>1398</v>
      </c>
      <c r="AG389" s="1120">
        <v>0</v>
      </c>
      <c r="AH389" s="1120"/>
      <c r="AI389" s="1120"/>
      <c r="AJ389" s="1120"/>
    </row>
    <row r="390" spans="1:38" ht="12.75">
      <c r="D390" s="743" t="s">
        <v>1397</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7" t="s">
        <v>1732</v>
      </c>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row>
    <row r="394" spans="1:38" ht="12.75" customHeight="1">
      <c r="C394" s="25"/>
      <c r="D394" s="25"/>
      <c r="E394" s="12" t="s">
        <v>113</v>
      </c>
      <c r="F394" s="25"/>
      <c r="G394" s="25"/>
      <c r="H394" s="25"/>
      <c r="I394" s="25"/>
      <c r="J394" s="25"/>
      <c r="K394" s="25"/>
      <c r="L394" s="25"/>
      <c r="M394" s="25"/>
      <c r="N394" s="25"/>
      <c r="O394" s="25"/>
      <c r="P394" s="743"/>
      <c r="Q394" s="743"/>
      <c r="R394" s="1115" t="s">
        <v>591</v>
      </c>
      <c r="S394" s="1115"/>
      <c r="T394" s="12" t="s">
        <v>619</v>
      </c>
      <c r="U394" s="743"/>
      <c r="V394" s="743"/>
      <c r="W394" s="743"/>
      <c r="X394" s="743"/>
      <c r="Y394" s="743"/>
      <c r="Z394" s="743"/>
      <c r="AA394" s="743"/>
      <c r="AB394" s="743"/>
      <c r="AC394" s="743"/>
      <c r="AD394" s="1138">
        <v>3</v>
      </c>
      <c r="AE394" s="1138"/>
      <c r="AF394" s="743"/>
    </row>
    <row r="395" spans="1:38" ht="12.75" customHeight="1">
      <c r="C395" s="25"/>
      <c r="E395" s="12" t="s">
        <v>114</v>
      </c>
      <c r="F395" s="743"/>
      <c r="G395" s="743"/>
      <c r="H395" s="743"/>
      <c r="I395" s="743"/>
      <c r="J395" s="743"/>
      <c r="K395" s="743"/>
      <c r="L395" s="743"/>
      <c r="M395" s="743"/>
      <c r="N395" s="25"/>
      <c r="O395" s="25"/>
      <c r="P395" s="743"/>
      <c r="Q395" s="743"/>
      <c r="R395" s="1115" t="s">
        <v>641</v>
      </c>
      <c r="S395" s="1115"/>
      <c r="T395" s="12" t="s">
        <v>619</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641</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7" t="s">
        <v>356</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4"/>
      <c r="F406" s="1114"/>
      <c r="G406" s="1114"/>
      <c r="H406" s="23" t="s">
        <v>122</v>
      </c>
      <c r="I406" s="1114"/>
      <c r="J406" s="1114"/>
      <c r="K406" s="1114"/>
      <c r="L406" s="12" t="s">
        <v>123</v>
      </c>
      <c r="N406" s="144" t="s">
        <v>625</v>
      </c>
      <c r="P406" s="1272">
        <v>1.34</v>
      </c>
      <c r="Q406" s="1272"/>
      <c r="R406" s="1272"/>
      <c r="S406" s="12" t="s">
        <v>124</v>
      </c>
      <c r="W406" s="1153">
        <f>IF(E406&gt;0,(E406*I406),(P406*43560))</f>
        <v>58370.400000000001</v>
      </c>
      <c r="X406" s="1153"/>
      <c r="Y406" s="1153"/>
      <c r="Z406" s="12" t="s">
        <v>125</v>
      </c>
      <c r="AF406" s="1272">
        <f>AG424/P406</f>
        <v>41.791044776119399</v>
      </c>
      <c r="AG406" s="1272"/>
      <c r="AH406" s="1272"/>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642</v>
      </c>
      <c r="B410" s="50"/>
      <c r="C410" s="50"/>
      <c r="D410" s="50" t="s">
        <v>127</v>
      </c>
    </row>
    <row r="411" spans="1:36" ht="12.75">
      <c r="E411" s="12" t="s">
        <v>128</v>
      </c>
      <c r="P411" s="1115">
        <v>1</v>
      </c>
      <c r="Q411" s="1115"/>
      <c r="S411" s="12" t="s">
        <v>202</v>
      </c>
      <c r="AE411" s="1115">
        <v>1</v>
      </c>
      <c r="AF411" s="1115"/>
    </row>
    <row r="412" spans="1:36" ht="12.75">
      <c r="E412" s="12" t="s">
        <v>203</v>
      </c>
      <c r="P412" s="1115">
        <v>1</v>
      </c>
      <c r="Q412" s="1115"/>
      <c r="S412" s="12" t="s">
        <v>138</v>
      </c>
      <c r="AE412" s="1115" t="s">
        <v>641</v>
      </c>
      <c r="AF412" s="1115"/>
    </row>
    <row r="413" spans="1:36" ht="12.75" customHeight="1">
      <c r="F413" s="67" t="s">
        <v>139</v>
      </c>
    </row>
    <row r="414" spans="1:36" ht="12.75" customHeight="1">
      <c r="F414" s="1249"/>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c r="AA414" s="1249"/>
      <c r="AB414" s="1249"/>
      <c r="AC414" s="1249"/>
      <c r="AD414" s="1249"/>
      <c r="AE414" s="1249"/>
      <c r="AF414" s="1249"/>
      <c r="AG414" s="1249"/>
      <c r="AH414" s="1249"/>
    </row>
    <row r="415" spans="1:36" ht="12.75" customHeight="1">
      <c r="F415" s="1250"/>
      <c r="G415" s="1250"/>
      <c r="H415" s="1250"/>
      <c r="I415" s="1250"/>
      <c r="J415" s="1250"/>
      <c r="K415" s="1250"/>
      <c r="L415" s="1250"/>
      <c r="M415" s="1250"/>
      <c r="N415" s="1250"/>
      <c r="O415" s="1250"/>
      <c r="P415" s="1250"/>
      <c r="Q415" s="1250"/>
      <c r="R415" s="1250"/>
      <c r="S415" s="1250"/>
      <c r="T415" s="1250"/>
      <c r="U415" s="1250"/>
      <c r="V415" s="1250"/>
      <c r="W415" s="1250"/>
      <c r="X415" s="1250"/>
      <c r="Y415" s="1250"/>
      <c r="Z415" s="1250"/>
      <c r="AA415" s="1250"/>
      <c r="AB415" s="1250"/>
      <c r="AC415" s="1250"/>
      <c r="AD415" s="1250"/>
      <c r="AE415" s="1250"/>
      <c r="AF415" s="1250"/>
      <c r="AG415" s="1250"/>
      <c r="AH415" s="1250"/>
    </row>
    <row r="416" spans="1:36" ht="12.75" customHeight="1">
      <c r="E416" s="12" t="s">
        <v>658</v>
      </c>
      <c r="N416" s="39"/>
      <c r="O416" s="39"/>
      <c r="P416" s="243"/>
      <c r="Q416" s="1115" t="s">
        <v>591</v>
      </c>
      <c r="R416" s="111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5" t="s">
        <v>641</v>
      </c>
      <c r="AG417" s="1134"/>
    </row>
    <row r="418" spans="1:96" ht="12.75" customHeight="1">
      <c r="S418" s="25"/>
      <c r="T418" s="25"/>
    </row>
    <row r="419" spans="1:96" ht="12.75" customHeight="1">
      <c r="A419" s="50"/>
      <c r="B419" s="50"/>
      <c r="C419" s="50"/>
      <c r="E419" s="7" t="s">
        <v>329</v>
      </c>
      <c r="Z419" s="1115" t="s">
        <v>722</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5" t="s">
        <v>641</v>
      </c>
      <c r="AA421" s="1115"/>
    </row>
    <row r="422" spans="1:96" ht="12.75" customHeight="1"/>
    <row r="423" spans="1:96" ht="12.75" customHeight="1">
      <c r="A423" s="50" t="s">
        <v>513</v>
      </c>
      <c r="B423" s="50"/>
      <c r="C423" s="50"/>
      <c r="D423" s="50" t="s">
        <v>842</v>
      </c>
      <c r="AF423" s="80"/>
    </row>
    <row r="424" spans="1:96" ht="12.75" customHeight="1">
      <c r="D424" s="1166"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5">
        <v>56</v>
      </c>
      <c r="AH424" s="1135"/>
      <c r="AI424" s="1135"/>
      <c r="AJ424" s="1135"/>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9">
        <v>0</v>
      </c>
      <c r="AH425" s="1280"/>
      <c r="AI425" s="1280"/>
      <c r="AJ425" s="1280"/>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55</v>
      </c>
      <c r="AH426" s="1135"/>
      <c r="AI426" s="1135"/>
      <c r="AJ426" s="1135"/>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55</v>
      </c>
      <c r="AH427" s="1135"/>
      <c r="AI427" s="1135"/>
      <c r="AJ427" s="1135"/>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33495</v>
      </c>
      <c r="AH429" s="1136"/>
      <c r="AI429" s="1136"/>
      <c r="AJ429" s="1136"/>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f>AG429</f>
        <v>33495</v>
      </c>
      <c r="AH430" s="1136"/>
      <c r="AI430" s="1136"/>
      <c r="AJ430" s="1136"/>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1461</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6">
        <v>3344</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617</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1462</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6">
        <v>11125</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6">
        <f>AG429+AG433+AG435+AG436</f>
        <v>47964</v>
      </c>
      <c r="AH437" s="1306"/>
      <c r="AI437" s="1306"/>
      <c r="AJ437" s="130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570206.11517857143</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570206.11517857143</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517210.39285714284</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749</v>
      </c>
      <c r="E452" s="1088"/>
      <c r="F452" s="1088"/>
      <c r="G452" s="1088"/>
      <c r="H452" s="1088"/>
      <c r="I452" s="1088"/>
      <c r="J452" s="1088"/>
      <c r="K452" s="1088"/>
      <c r="L452" s="1088"/>
      <c r="M452" s="1088"/>
      <c r="N452" s="1088"/>
      <c r="O452" s="1088"/>
      <c r="P452" s="1088"/>
      <c r="Q452" s="1088"/>
      <c r="R452" s="1088"/>
      <c r="S452" s="1088"/>
      <c r="T452" s="1088"/>
      <c r="U452" s="1088"/>
      <c r="V452" s="1089"/>
      <c r="W452" s="1228">
        <v>55</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750</v>
      </c>
      <c r="E453" s="1088"/>
      <c r="F453" s="1088"/>
      <c r="G453" s="1088"/>
      <c r="H453" s="1088"/>
      <c r="I453" s="1088"/>
      <c r="J453" s="1088"/>
      <c r="K453" s="1088"/>
      <c r="L453" s="1088"/>
      <c r="M453" s="1088"/>
      <c r="N453" s="1088"/>
      <c r="O453" s="1088"/>
      <c r="P453" s="1088"/>
      <c r="Q453" s="1088"/>
      <c r="R453" s="1088"/>
      <c r="S453" s="1088"/>
      <c r="T453" s="1088"/>
      <c r="U453" s="1088"/>
      <c r="V453" s="1089"/>
      <c r="W453" s="1228" t="s">
        <v>641</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751</v>
      </c>
      <c r="E454" s="1088"/>
      <c r="F454" s="1088"/>
      <c r="G454" s="1088"/>
      <c r="H454" s="1088"/>
      <c r="I454" s="1088"/>
      <c r="J454" s="1088"/>
      <c r="K454" s="1088"/>
      <c r="L454" s="1088"/>
      <c r="M454" s="1088"/>
      <c r="N454" s="1088"/>
      <c r="O454" s="1088"/>
      <c r="P454" s="1088"/>
      <c r="Q454" s="1088"/>
      <c r="R454" s="1088"/>
      <c r="S454" s="1088"/>
      <c r="T454" s="1088"/>
      <c r="U454" s="1088"/>
      <c r="V454" s="1089"/>
      <c r="W454" s="1228" t="s">
        <v>641</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752</v>
      </c>
      <c r="E455" s="1088"/>
      <c r="F455" s="1088"/>
      <c r="G455" s="1088"/>
      <c r="H455" s="1088"/>
      <c r="I455" s="1088"/>
      <c r="J455" s="1088"/>
      <c r="K455" s="1088"/>
      <c r="L455" s="1088"/>
      <c r="M455" s="1088"/>
      <c r="N455" s="1088"/>
      <c r="O455" s="1088"/>
      <c r="P455" s="1088"/>
      <c r="Q455" s="1088"/>
      <c r="R455" s="1088"/>
      <c r="S455" s="1088"/>
      <c r="T455" s="1088"/>
      <c r="U455" s="1088"/>
      <c r="V455" s="1089"/>
      <c r="W455" s="1228" t="s">
        <v>641</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975</v>
      </c>
      <c r="E456" s="1088"/>
      <c r="F456" s="1088"/>
      <c r="G456" s="1088"/>
      <c r="H456" s="1088"/>
      <c r="I456" s="1088"/>
      <c r="J456" s="1088"/>
      <c r="K456" s="1088"/>
      <c r="L456" s="1088"/>
      <c r="M456" s="1088"/>
      <c r="N456" s="1088"/>
      <c r="O456" s="1088"/>
      <c r="P456" s="1088"/>
      <c r="Q456" s="1088"/>
      <c r="R456" s="1088"/>
      <c r="S456" s="1088"/>
      <c r="T456" s="1088"/>
      <c r="U456" s="1088"/>
      <c r="V456" s="1089"/>
      <c r="W456" s="1228" t="s">
        <v>641</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753</v>
      </c>
      <c r="E457" s="1088"/>
      <c r="F457" s="1088"/>
      <c r="G457" s="1088"/>
      <c r="H457" s="1088"/>
      <c r="I457" s="1088"/>
      <c r="J457" s="1088"/>
      <c r="K457" s="1088"/>
      <c r="L457" s="1088"/>
      <c r="M457" s="1088"/>
      <c r="N457" s="1088"/>
      <c r="O457" s="1088"/>
      <c r="P457" s="1088"/>
      <c r="Q457" s="1088"/>
      <c r="R457" s="1088"/>
      <c r="S457" s="1088"/>
      <c r="T457" s="1088"/>
      <c r="U457" s="1088"/>
      <c r="V457" s="1089"/>
      <c r="W457" s="1228" t="s">
        <v>641</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8" t="s">
        <v>641</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3" t="s">
        <v>1777</v>
      </c>
      <c r="H459" s="1304"/>
      <c r="I459" s="1304"/>
      <c r="J459" s="1304"/>
      <c r="K459" s="1304"/>
      <c r="L459" s="1304"/>
      <c r="M459" s="1304"/>
      <c r="N459" s="1304"/>
      <c r="O459" s="1304"/>
      <c r="P459" s="1304"/>
      <c r="Q459" s="1304"/>
      <c r="R459" s="1304"/>
      <c r="S459" s="1304"/>
      <c r="T459" s="1304"/>
      <c r="U459" s="1304"/>
      <c r="V459" s="1305"/>
      <c r="W459" s="1228">
        <v>55</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4" t="s">
        <v>754</v>
      </c>
      <c r="E463" s="1345"/>
      <c r="F463" s="1345"/>
      <c r="G463" s="1345"/>
      <c r="H463" s="1345"/>
      <c r="I463" s="1345"/>
      <c r="J463" s="1345"/>
      <c r="K463" s="1345"/>
      <c r="L463" s="1345"/>
      <c r="M463" s="1345"/>
      <c r="N463" s="1345"/>
      <c r="O463" s="1345"/>
      <c r="P463" s="1345"/>
      <c r="Q463" s="1345"/>
      <c r="R463" s="1345"/>
      <c r="S463" s="1345"/>
      <c r="T463" s="1345"/>
      <c r="U463" s="1345"/>
      <c r="V463" s="1345"/>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755</v>
      </c>
      <c r="E464" s="1088"/>
      <c r="F464" s="1088"/>
      <c r="G464" s="1088"/>
      <c r="H464" s="1088"/>
      <c r="I464" s="1088"/>
      <c r="J464" s="1088"/>
      <c r="K464" s="1088"/>
      <c r="L464" s="1088"/>
      <c r="M464" s="1088"/>
      <c r="N464" s="1088"/>
      <c r="O464" s="1088"/>
      <c r="P464" s="1088"/>
      <c r="Q464" s="1088"/>
      <c r="R464" s="1088"/>
      <c r="S464" s="1088"/>
      <c r="T464" s="1088"/>
      <c r="U464" s="1088"/>
      <c r="V464" s="1089"/>
      <c r="W464" s="1228" t="s">
        <v>641</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893</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361</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3">
        <v>43403</v>
      </c>
      <c r="U474" s="1163"/>
      <c r="V474" s="1163"/>
      <c r="W474" s="1163"/>
      <c r="X474" s="1163"/>
      <c r="Y474" s="1163"/>
      <c r="Z474" s="1163"/>
      <c r="AA474" s="1163"/>
      <c r="AB474" s="1163"/>
      <c r="AC474" s="1163"/>
      <c r="AD474" s="1163">
        <v>43735</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251">
        <v>43403</v>
      </c>
      <c r="U475" s="1163"/>
      <c r="V475" s="1163"/>
      <c r="W475" s="1163"/>
      <c r="X475" s="1163"/>
      <c r="Y475" s="1251">
        <v>44317</v>
      </c>
      <c r="Z475" s="1163"/>
      <c r="AA475" s="1163"/>
      <c r="AB475" s="1163"/>
      <c r="AC475" s="1163"/>
      <c r="AD475" s="1251"/>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251" t="s">
        <v>641</v>
      </c>
      <c r="U476" s="1163"/>
      <c r="V476" s="1163"/>
      <c r="W476" s="1163"/>
      <c r="X476" s="1163"/>
      <c r="Y476" s="1251" t="s">
        <v>641</v>
      </c>
      <c r="Z476" s="1163"/>
      <c r="AA476" s="1163"/>
      <c r="AB476" s="1163"/>
      <c r="AC476" s="1163"/>
      <c r="AD476" s="1251" t="s">
        <v>641</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251" t="s">
        <v>641</v>
      </c>
      <c r="U477" s="1163"/>
      <c r="V477" s="1163"/>
      <c r="W477" s="1163"/>
      <c r="X477" s="1163"/>
      <c r="Y477" s="1251" t="s">
        <v>641</v>
      </c>
      <c r="Z477" s="1163"/>
      <c r="AA477" s="1163"/>
      <c r="AB477" s="1163"/>
      <c r="AC477" s="1163"/>
      <c r="AD477" s="1251" t="s">
        <v>641</v>
      </c>
      <c r="AE477" s="1163"/>
      <c r="AF477" s="1163"/>
      <c r="AG477" s="1163"/>
      <c r="AH477" s="11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251" t="s">
        <v>641</v>
      </c>
      <c r="U478" s="1163"/>
      <c r="V478" s="1163"/>
      <c r="W478" s="1163"/>
      <c r="X478" s="1163"/>
      <c r="Y478" s="1251" t="s">
        <v>641</v>
      </c>
      <c r="Z478" s="1163"/>
      <c r="AA478" s="1163"/>
      <c r="AB478" s="1163"/>
      <c r="AC478" s="1163"/>
      <c r="AD478" s="1251" t="s">
        <v>641</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251">
        <v>43377</v>
      </c>
      <c r="U479" s="1163"/>
      <c r="V479" s="1163"/>
      <c r="W479" s="1163"/>
      <c r="X479" s="1163"/>
      <c r="Y479" s="1251"/>
      <c r="Z479" s="1163"/>
      <c r="AA479" s="1163"/>
      <c r="AB479" s="1163"/>
      <c r="AC479" s="1163"/>
      <c r="AD479" s="1251">
        <v>43377</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3">
        <v>43403</v>
      </c>
      <c r="U480" s="1163"/>
      <c r="V480" s="1163"/>
      <c r="W480" s="1163"/>
      <c r="X480" s="1163"/>
      <c r="Y480" s="1163"/>
      <c r="Z480" s="1163"/>
      <c r="AA480" s="1163"/>
      <c r="AB480" s="1163"/>
      <c r="AC480" s="1163"/>
      <c r="AD480" s="1163">
        <v>43811</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251" t="s">
        <v>641</v>
      </c>
      <c r="U481" s="1163"/>
      <c r="V481" s="1163"/>
      <c r="W481" s="1163"/>
      <c r="X481" s="1163"/>
      <c r="Y481" s="1251" t="s">
        <v>641</v>
      </c>
      <c r="Z481" s="1163"/>
      <c r="AA481" s="1163"/>
      <c r="AB481" s="1163"/>
      <c r="AC481" s="1163"/>
      <c r="AD481" s="1251" t="s">
        <v>641</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251" t="s">
        <v>641</v>
      </c>
      <c r="U482" s="1163"/>
      <c r="V482" s="1163"/>
      <c r="W482" s="1163"/>
      <c r="X482" s="1163"/>
      <c r="Y482" s="1251" t="s">
        <v>641</v>
      </c>
      <c r="Z482" s="1163"/>
      <c r="AA482" s="1163"/>
      <c r="AB482" s="1163"/>
      <c r="AC482" s="1163"/>
      <c r="AD482" s="1251" t="s">
        <v>641</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v>43403</v>
      </c>
      <c r="U483" s="1163"/>
      <c r="V483" s="1163"/>
      <c r="W483" s="1163"/>
      <c r="X483" s="1163"/>
      <c r="Y483" s="1163">
        <v>0</v>
      </c>
      <c r="Z483" s="1163"/>
      <c r="AA483" s="1163"/>
      <c r="AB483" s="1163"/>
      <c r="AC483" s="1163"/>
      <c r="AD483" s="1163">
        <v>43811</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4" t="s">
        <v>1733</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4" t="s">
        <v>1734</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4" t="s">
        <v>1734</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6" t="s">
        <v>431</v>
      </c>
      <c r="C489" s="1347"/>
      <c r="D489" s="1347"/>
      <c r="E489" s="1347"/>
      <c r="F489" s="1347"/>
      <c r="G489" s="1347"/>
      <c r="H489" s="1347"/>
      <c r="I489" s="1347"/>
      <c r="J489" s="1347"/>
      <c r="K489" s="1347"/>
      <c r="L489" s="1347"/>
      <c r="M489" s="1347"/>
      <c r="N489" s="1347"/>
      <c r="O489" s="1347"/>
      <c r="P489" s="134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9"/>
      <c r="C490" s="1350"/>
      <c r="D490" s="1350"/>
      <c r="E490" s="1350"/>
      <c r="F490" s="1350"/>
      <c r="G490" s="1350"/>
      <c r="H490" s="1350"/>
      <c r="I490" s="1350"/>
      <c r="J490" s="1350"/>
      <c r="K490" s="1350"/>
      <c r="L490" s="1350"/>
      <c r="M490" s="1350"/>
      <c r="N490" s="1350"/>
      <c r="O490" s="1350"/>
      <c r="P490" s="1351"/>
      <c r="Q490" s="1355" t="s">
        <v>591</v>
      </c>
      <c r="R490" s="1356"/>
      <c r="S490" s="1590" t="s">
        <v>1735</v>
      </c>
      <c r="T490" s="1591"/>
      <c r="U490" s="1591"/>
      <c r="V490" s="1591"/>
      <c r="W490" s="1591"/>
      <c r="X490" s="1591"/>
      <c r="Y490" s="1591"/>
      <c r="Z490" s="1591"/>
      <c r="AA490" s="1591"/>
      <c r="AB490" s="1591"/>
      <c r="AC490" s="1591"/>
      <c r="AD490" s="1591"/>
      <c r="AE490" s="1591"/>
      <c r="AF490" s="1591"/>
      <c r="AG490" s="1591"/>
      <c r="AH490" s="1591"/>
      <c r="AI490" s="1591"/>
      <c r="AJ490" s="1591"/>
      <c r="AK490" s="15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2"/>
      <c r="C491" s="1353"/>
      <c r="D491" s="1353"/>
      <c r="E491" s="1353"/>
      <c r="F491" s="1353"/>
      <c r="G491" s="1353"/>
      <c r="H491" s="1353"/>
      <c r="I491" s="1353"/>
      <c r="J491" s="1353"/>
      <c r="K491" s="1353"/>
      <c r="L491" s="1353"/>
      <c r="M491" s="1353"/>
      <c r="N491" s="1353"/>
      <c r="O491" s="1353"/>
      <c r="P491" s="1354"/>
      <c r="Q491" s="1357"/>
      <c r="R491" s="1358"/>
      <c r="S491" s="1593"/>
      <c r="T491" s="1594"/>
      <c r="U491" s="1594"/>
      <c r="V491" s="1594"/>
      <c r="W491" s="1594"/>
      <c r="X491" s="1594"/>
      <c r="Y491" s="1594"/>
      <c r="Z491" s="1594"/>
      <c r="AA491" s="1594"/>
      <c r="AB491" s="1594"/>
      <c r="AC491" s="1594"/>
      <c r="AD491" s="1594"/>
      <c r="AE491" s="1594"/>
      <c r="AF491" s="1594"/>
      <c r="AG491" s="1594"/>
      <c r="AH491" s="1594"/>
      <c r="AI491" s="1594"/>
      <c r="AJ491" s="1594"/>
      <c r="AK491" s="15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4" t="s">
        <v>1736</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4" t="s">
        <v>1737</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436</v>
      </c>
      <c r="AD499" s="1232"/>
      <c r="AE499" s="1232"/>
      <c r="AF499" s="1232"/>
      <c r="AG499" s="82" t="s">
        <v>437</v>
      </c>
      <c r="AH499" s="1232" t="s">
        <v>438</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439</v>
      </c>
      <c r="C500" s="1258"/>
      <c r="D500" s="1258"/>
      <c r="E500" s="1258"/>
      <c r="F500" s="1258"/>
      <c r="G500" s="1258"/>
      <c r="H500" s="1259"/>
      <c r="I500" s="72" t="s">
        <v>440</v>
      </c>
      <c r="J500" s="72"/>
      <c r="K500" s="72"/>
      <c r="L500" s="72"/>
      <c r="M500" s="72"/>
      <c r="N500" s="72"/>
      <c r="O500" s="72"/>
      <c r="P500" s="72"/>
      <c r="Q500" s="72"/>
      <c r="R500" s="72"/>
      <c r="S500" s="72"/>
      <c r="T500" s="72"/>
      <c r="U500" s="72"/>
      <c r="V500" s="72"/>
      <c r="W500" s="72"/>
      <c r="X500" s="25"/>
      <c r="Y500" s="25"/>
      <c r="AC500" s="1172">
        <v>5</v>
      </c>
      <c r="AD500" s="1138"/>
      <c r="AE500" s="1138"/>
      <c r="AF500" s="1138"/>
      <c r="AG500" s="75" t="s">
        <v>437</v>
      </c>
      <c r="AH500" s="1118">
        <v>2021</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441</v>
      </c>
      <c r="J501" s="80"/>
      <c r="K501" s="80"/>
      <c r="L501" s="80"/>
      <c r="M501" s="80"/>
      <c r="N501" s="80"/>
      <c r="O501" s="80"/>
      <c r="P501" s="80"/>
      <c r="Q501" s="80"/>
      <c r="R501" s="80"/>
      <c r="S501" s="80"/>
      <c r="T501" s="80"/>
      <c r="U501" s="80"/>
      <c r="V501" s="80"/>
      <c r="W501" s="80"/>
      <c r="X501" s="80"/>
      <c r="Y501" s="80"/>
      <c r="Z501" s="80"/>
      <c r="AA501" s="80"/>
      <c r="AB501" s="80"/>
      <c r="AC501" s="1172">
        <v>6</v>
      </c>
      <c r="AD501" s="1138"/>
      <c r="AE501" s="1138"/>
      <c r="AF501" s="1138"/>
      <c r="AG501" s="65" t="s">
        <v>437</v>
      </c>
      <c r="AH501" s="1118">
        <v>2020</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442</v>
      </c>
      <c r="C502" s="1258"/>
      <c r="D502" s="1258"/>
      <c r="E502" s="1258"/>
      <c r="F502" s="1258"/>
      <c r="G502" s="1258"/>
      <c r="H502" s="1259"/>
      <c r="I502" s="72" t="s">
        <v>443</v>
      </c>
      <c r="J502" s="72"/>
      <c r="K502" s="72"/>
      <c r="L502" s="72"/>
      <c r="M502" s="72"/>
      <c r="N502" s="72"/>
      <c r="O502" s="72"/>
      <c r="P502" s="72"/>
      <c r="Q502" s="72"/>
      <c r="R502" s="72"/>
      <c r="S502" s="72"/>
      <c r="T502" s="72"/>
      <c r="U502" s="72"/>
      <c r="V502" s="72"/>
      <c r="W502" s="72"/>
      <c r="X502" s="25"/>
      <c r="Y502" s="25"/>
      <c r="AC502" s="1172" t="s">
        <v>641</v>
      </c>
      <c r="AD502" s="1138"/>
      <c r="AE502" s="1138"/>
      <c r="AF502" s="1138"/>
      <c r="AG502" s="75" t="s">
        <v>437</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444</v>
      </c>
      <c r="J503" s="25"/>
      <c r="K503" s="25"/>
      <c r="L503" s="25"/>
      <c r="M503" s="25"/>
      <c r="N503" s="25"/>
      <c r="O503" s="25"/>
      <c r="P503" s="25"/>
      <c r="Q503" s="25"/>
      <c r="R503" s="25"/>
      <c r="S503" s="25"/>
      <c r="T503" s="25"/>
      <c r="U503" s="25"/>
      <c r="V503" s="25"/>
      <c r="W503" s="25"/>
      <c r="X503" s="25"/>
      <c r="Y503" s="25"/>
      <c r="AC503" s="1172" t="s">
        <v>641</v>
      </c>
      <c r="AD503" s="1138"/>
      <c r="AE503" s="1138"/>
      <c r="AF503" s="1138"/>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445</v>
      </c>
      <c r="J504" s="25"/>
      <c r="K504" s="25"/>
      <c r="L504" s="25"/>
      <c r="M504" s="25"/>
      <c r="N504" s="25"/>
      <c r="O504" s="25"/>
      <c r="P504" s="25"/>
      <c r="Q504" s="25"/>
      <c r="R504" s="25"/>
      <c r="S504" s="25"/>
      <c r="T504" s="25"/>
      <c r="U504" s="25"/>
      <c r="V504" s="25"/>
      <c r="W504" s="25"/>
      <c r="X504" s="25"/>
      <c r="Y504" s="25"/>
      <c r="AC504" s="1172">
        <v>12</v>
      </c>
      <c r="AD504" s="1138"/>
      <c r="AE504" s="1138"/>
      <c r="AF504" s="1138"/>
      <c r="AG504" s="75" t="s">
        <v>437</v>
      </c>
      <c r="AH504" s="1118">
        <v>2019</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446</v>
      </c>
      <c r="J505" s="25"/>
      <c r="K505" s="25"/>
      <c r="L505" s="25"/>
      <c r="M505" s="25"/>
      <c r="N505" s="25"/>
      <c r="O505" s="25"/>
      <c r="P505" s="25"/>
      <c r="Q505" s="25"/>
      <c r="R505" s="25"/>
      <c r="S505" s="25"/>
      <c r="T505" s="25"/>
      <c r="U505" s="25"/>
      <c r="V505" s="25"/>
      <c r="W505" s="25"/>
      <c r="X505" s="25"/>
      <c r="Y505" s="25"/>
      <c r="AC505" s="1172">
        <v>5</v>
      </c>
      <c r="AD505" s="1138"/>
      <c r="AE505" s="1138"/>
      <c r="AF505" s="1138"/>
      <c r="AG505" s="75" t="s">
        <v>437</v>
      </c>
      <c r="AH505" s="1118">
        <v>2021</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447</v>
      </c>
      <c r="J506" s="80"/>
      <c r="K506" s="80"/>
      <c r="L506" s="80"/>
      <c r="M506" s="80"/>
      <c r="N506" s="80"/>
      <c r="O506" s="80"/>
      <c r="P506" s="80"/>
      <c r="Q506" s="80"/>
      <c r="R506" s="80"/>
      <c r="S506" s="80"/>
      <c r="T506" s="80"/>
      <c r="U506" s="80"/>
      <c r="V506" s="80"/>
      <c r="W506" s="80"/>
      <c r="X506" s="80"/>
      <c r="Y506" s="80"/>
      <c r="Z506" s="80"/>
      <c r="AA506" s="80"/>
      <c r="AB506" s="80"/>
      <c r="AC506" s="1172">
        <v>5</v>
      </c>
      <c r="AD506" s="1138"/>
      <c r="AE506" s="1138"/>
      <c r="AF506" s="1138"/>
      <c r="AG506" s="65" t="s">
        <v>437</v>
      </c>
      <c r="AH506" s="1118">
        <v>2021</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448</v>
      </c>
      <c r="C507" s="1258"/>
      <c r="D507" s="1258"/>
      <c r="E507" s="1258"/>
      <c r="F507" s="1258"/>
      <c r="G507" s="1258"/>
      <c r="H507" s="1259"/>
      <c r="I507" s="72" t="s">
        <v>449</v>
      </c>
      <c r="J507" s="72"/>
      <c r="K507" s="72"/>
      <c r="L507" s="72"/>
      <c r="M507" s="72"/>
      <c r="N507" s="72"/>
      <c r="O507" s="72"/>
      <c r="P507" s="72"/>
      <c r="Q507" s="72"/>
      <c r="R507" s="72"/>
      <c r="S507" s="72"/>
      <c r="T507" s="72"/>
      <c r="U507" s="72"/>
      <c r="V507" s="72"/>
      <c r="W507" s="72"/>
      <c r="X507" s="25"/>
      <c r="Y507" s="25"/>
      <c r="AC507" s="1172">
        <v>8</v>
      </c>
      <c r="AD507" s="1138"/>
      <c r="AE507" s="1138"/>
      <c r="AF507" s="1138"/>
      <c r="AG507" s="75" t="s">
        <v>437</v>
      </c>
      <c r="AH507" s="1118">
        <v>2020</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450</v>
      </c>
      <c r="J508" s="25"/>
      <c r="K508" s="25"/>
      <c r="L508" s="25"/>
      <c r="M508" s="25"/>
      <c r="N508" s="25"/>
      <c r="O508" s="25"/>
      <c r="P508" s="25"/>
      <c r="Q508" s="25"/>
      <c r="R508" s="25"/>
      <c r="S508" s="25"/>
      <c r="T508" s="25"/>
      <c r="U508" s="25"/>
      <c r="V508" s="25"/>
      <c r="W508" s="25"/>
      <c r="X508" s="25"/>
      <c r="Y508" s="25"/>
      <c r="AC508" s="1172">
        <v>8</v>
      </c>
      <c r="AD508" s="1138"/>
      <c r="AE508" s="1138"/>
      <c r="AF508" s="1138"/>
      <c r="AG508" s="75" t="s">
        <v>437</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451</v>
      </c>
      <c r="J509" s="80"/>
      <c r="K509" s="80"/>
      <c r="L509" s="80"/>
      <c r="M509" s="80"/>
      <c r="N509" s="80"/>
      <c r="O509" s="80"/>
      <c r="P509" s="80"/>
      <c r="Q509" s="80"/>
      <c r="R509" s="80"/>
      <c r="S509" s="80"/>
      <c r="T509" s="80"/>
      <c r="U509" s="80"/>
      <c r="V509" s="80"/>
      <c r="W509" s="80"/>
      <c r="X509" s="80"/>
      <c r="Y509" s="80"/>
      <c r="Z509" s="80"/>
      <c r="AA509" s="80"/>
      <c r="AB509" s="80"/>
      <c r="AC509" s="1172">
        <v>6</v>
      </c>
      <c r="AD509" s="1138"/>
      <c r="AE509" s="1138"/>
      <c r="AF509" s="1138"/>
      <c r="AG509" s="65" t="s">
        <v>437</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452</v>
      </c>
      <c r="C510" s="1258"/>
      <c r="D510" s="1258"/>
      <c r="E510" s="1258"/>
      <c r="F510" s="1258"/>
      <c r="G510" s="1258"/>
      <c r="H510" s="1259"/>
      <c r="I510" s="72" t="s">
        <v>449</v>
      </c>
      <c r="J510" s="72"/>
      <c r="K510" s="72"/>
      <c r="L510" s="72"/>
      <c r="M510" s="72"/>
      <c r="N510" s="72"/>
      <c r="O510" s="72"/>
      <c r="P510" s="72"/>
      <c r="Q510" s="72"/>
      <c r="R510" s="72"/>
      <c r="S510" s="72"/>
      <c r="T510" s="72"/>
      <c r="U510" s="72"/>
      <c r="V510" s="72"/>
      <c r="W510" s="72"/>
      <c r="X510" s="72"/>
      <c r="Y510" s="72"/>
      <c r="Z510" s="72"/>
      <c r="AA510" s="72"/>
      <c r="AB510" s="72"/>
      <c r="AC510" s="1266">
        <v>8</v>
      </c>
      <c r="AD510" s="1267"/>
      <c r="AE510" s="1267"/>
      <c r="AF510" s="1267"/>
      <c r="AG510" s="204" t="s">
        <v>437</v>
      </c>
      <c r="AH510" s="1118">
        <v>2020</v>
      </c>
      <c r="AI510" s="1118"/>
      <c r="AJ510" s="1118"/>
      <c r="AK510" s="111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450</v>
      </c>
      <c r="J511" s="25"/>
      <c r="K511" s="25"/>
      <c r="L511" s="25"/>
      <c r="M511" s="25"/>
      <c r="N511" s="25"/>
      <c r="O511" s="25"/>
      <c r="P511" s="25"/>
      <c r="Q511" s="25"/>
      <c r="R511" s="25"/>
      <c r="S511" s="25"/>
      <c r="T511" s="25"/>
      <c r="U511" s="25"/>
      <c r="V511" s="25"/>
      <c r="W511" s="25"/>
      <c r="X511" s="25"/>
      <c r="Y511" s="25"/>
      <c r="Z511" s="25"/>
      <c r="AA511" s="25"/>
      <c r="AB511" s="25"/>
      <c r="AC511" s="1172">
        <v>8</v>
      </c>
      <c r="AD511" s="1138"/>
      <c r="AE511" s="1138"/>
      <c r="AF511" s="1138"/>
      <c r="AG511" s="75" t="s">
        <v>437</v>
      </c>
      <c r="AH511" s="1118">
        <v>2020</v>
      </c>
      <c r="AI511" s="1118"/>
      <c r="AJ511" s="1118"/>
      <c r="AK511" s="111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451</v>
      </c>
      <c r="J512" s="80"/>
      <c r="K512" s="80"/>
      <c r="L512" s="80"/>
      <c r="M512" s="80"/>
      <c r="N512" s="80"/>
      <c r="O512" s="80"/>
      <c r="P512" s="80"/>
      <c r="Q512" s="80"/>
      <c r="R512" s="80"/>
      <c r="S512" s="80"/>
      <c r="T512" s="80"/>
      <c r="U512" s="80"/>
      <c r="V512" s="80"/>
      <c r="W512" s="80"/>
      <c r="X512" s="80"/>
      <c r="Y512" s="80"/>
      <c r="Z512" s="80"/>
      <c r="AA512" s="80"/>
      <c r="AB512" s="80"/>
      <c r="AC512" s="1172">
        <v>6</v>
      </c>
      <c r="AD512" s="1138"/>
      <c r="AE512" s="1138"/>
      <c r="AF512" s="1138"/>
      <c r="AG512" s="65" t="s">
        <v>437</v>
      </c>
      <c r="AH512" s="1118">
        <v>2021</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453</v>
      </c>
      <c r="C513" s="1258"/>
      <c r="D513" s="1258"/>
      <c r="E513" s="1258"/>
      <c r="F513" s="1258"/>
      <c r="G513" s="1258"/>
      <c r="H513" s="1259"/>
      <c r="I513" s="71" t="s">
        <v>454</v>
      </c>
      <c r="J513" s="72"/>
      <c r="K513" s="72"/>
      <c r="L513" s="72"/>
      <c r="M513" s="72"/>
      <c r="N513" s="72"/>
      <c r="O513" s="1126" t="s">
        <v>1788</v>
      </c>
      <c r="P513" s="1085"/>
      <c r="Q513" s="1085"/>
      <c r="R513" s="1085"/>
      <c r="S513" s="1085"/>
      <c r="T513" s="1085"/>
      <c r="U513" s="1085"/>
      <c r="V513" s="1085"/>
      <c r="W513" s="1085"/>
      <c r="X513" s="1085"/>
      <c r="Y513" s="1085"/>
      <c r="Z513" s="1085"/>
      <c r="AA513" s="1085"/>
      <c r="AB513" s="94"/>
      <c r="AC513" s="1266" t="s">
        <v>641</v>
      </c>
      <c r="AD513" s="1267"/>
      <c r="AE513" s="1267"/>
      <c r="AF513" s="1267"/>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455</v>
      </c>
      <c r="J514" s="25"/>
      <c r="K514" s="25"/>
      <c r="L514" s="25"/>
      <c r="M514" s="25"/>
      <c r="N514" s="25"/>
      <c r="O514" s="25"/>
      <c r="P514" s="25"/>
      <c r="Q514" s="25"/>
      <c r="R514" s="25"/>
      <c r="S514" s="25"/>
      <c r="T514" s="25"/>
      <c r="U514" s="25"/>
      <c r="V514" s="25"/>
      <c r="W514" s="25"/>
      <c r="X514" s="25"/>
      <c r="Y514" s="25"/>
      <c r="Z514" s="25"/>
      <c r="AA514" s="25"/>
      <c r="AB514" s="101"/>
      <c r="AC514" s="1172">
        <v>8</v>
      </c>
      <c r="AD514" s="1138"/>
      <c r="AE514" s="1138"/>
      <c r="AF514" s="1138"/>
      <c r="AG514" s="75" t="s">
        <v>437</v>
      </c>
      <c r="AH514" s="1118">
        <v>2018</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456</v>
      </c>
      <c r="J515" s="80"/>
      <c r="K515" s="80"/>
      <c r="L515" s="80"/>
      <c r="M515" s="80"/>
      <c r="N515" s="80"/>
      <c r="O515" s="80"/>
      <c r="P515" s="80"/>
      <c r="Q515" s="80"/>
      <c r="R515" s="80"/>
      <c r="S515" s="80"/>
      <c r="T515" s="80"/>
      <c r="U515" s="80"/>
      <c r="V515" s="80"/>
      <c r="W515" s="80"/>
      <c r="X515" s="80"/>
      <c r="Y515" s="80"/>
      <c r="Z515" s="80"/>
      <c r="AA515" s="80"/>
      <c r="AB515" s="81"/>
      <c r="AC515" s="1172">
        <v>6</v>
      </c>
      <c r="AD515" s="1138"/>
      <c r="AE515" s="1138"/>
      <c r="AF515" s="1138"/>
      <c r="AG515" s="65" t="s">
        <v>437</v>
      </c>
      <c r="AH515" s="1118">
        <v>2021</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457</v>
      </c>
      <c r="J516" s="72"/>
      <c r="K516" s="72"/>
      <c r="L516" s="72"/>
      <c r="M516" s="72"/>
      <c r="N516" s="72"/>
      <c r="O516" s="1127" t="s">
        <v>1738</v>
      </c>
      <c r="P516" s="1086"/>
      <c r="Q516" s="1086"/>
      <c r="R516" s="1086"/>
      <c r="S516" s="1086"/>
      <c r="T516" s="1086"/>
      <c r="U516" s="1086"/>
      <c r="V516" s="1086"/>
      <c r="W516" s="1086"/>
      <c r="X516" s="1086"/>
      <c r="Y516" s="1086"/>
      <c r="Z516" s="1086"/>
      <c r="AA516" s="1086"/>
      <c r="AC516" s="1172" t="s">
        <v>641</v>
      </c>
      <c r="AD516" s="1138"/>
      <c r="AE516" s="1138"/>
      <c r="AF516" s="1138"/>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455</v>
      </c>
      <c r="J517" s="25"/>
      <c r="K517" s="25"/>
      <c r="L517" s="25"/>
      <c r="M517" s="25"/>
      <c r="N517" s="25"/>
      <c r="O517" s="25"/>
      <c r="P517" s="25"/>
      <c r="Q517" s="25"/>
      <c r="R517" s="25"/>
      <c r="S517" s="25"/>
      <c r="T517" s="25"/>
      <c r="U517" s="25"/>
      <c r="V517" s="25"/>
      <c r="W517" s="25"/>
      <c r="X517" s="25"/>
      <c r="Y517" s="25"/>
      <c r="AC517" s="1172">
        <v>10</v>
      </c>
      <c r="AD517" s="1138"/>
      <c r="AE517" s="1138"/>
      <c r="AF517" s="1138"/>
      <c r="AG517" s="75" t="s">
        <v>437</v>
      </c>
      <c r="AH517" s="1118">
        <v>2018</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456</v>
      </c>
      <c r="J518" s="80"/>
      <c r="K518" s="80"/>
      <c r="L518" s="80"/>
      <c r="M518" s="80"/>
      <c r="N518" s="80"/>
      <c r="O518" s="80"/>
      <c r="P518" s="80"/>
      <c r="Q518" s="80"/>
      <c r="R518" s="80"/>
      <c r="S518" s="80"/>
      <c r="T518" s="80"/>
      <c r="U518" s="80"/>
      <c r="V518" s="80"/>
      <c r="W518" s="80"/>
      <c r="X518" s="80"/>
      <c r="Y518" s="80"/>
      <c r="Z518" s="80"/>
      <c r="AA518" s="80"/>
      <c r="AB518" s="80"/>
      <c r="AC518" s="1172">
        <v>6</v>
      </c>
      <c r="AD518" s="1138"/>
      <c r="AE518" s="1138"/>
      <c r="AF518" s="1138"/>
      <c r="AG518" s="65" t="s">
        <v>437</v>
      </c>
      <c r="AH518" s="1118">
        <v>2021</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457</v>
      </c>
      <c r="J519" s="72"/>
      <c r="K519" s="72"/>
      <c r="L519" s="72"/>
      <c r="M519" s="72"/>
      <c r="N519" s="72"/>
      <c r="O519" s="1127" t="s">
        <v>1792</v>
      </c>
      <c r="P519" s="1086"/>
      <c r="Q519" s="1086"/>
      <c r="R519" s="1086"/>
      <c r="S519" s="1086"/>
      <c r="T519" s="1086"/>
      <c r="U519" s="1086"/>
      <c r="V519" s="1086"/>
      <c r="W519" s="1086"/>
      <c r="X519" s="1086"/>
      <c r="Y519" s="1086"/>
      <c r="Z519" s="1086"/>
      <c r="AA519" s="1086"/>
      <c r="AC519" s="1172" t="s">
        <v>641</v>
      </c>
      <c r="AD519" s="1138"/>
      <c r="AE519" s="1138"/>
      <c r="AF519" s="1138"/>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455</v>
      </c>
      <c r="J520" s="25"/>
      <c r="K520" s="25"/>
      <c r="L520" s="25"/>
      <c r="M520" s="25"/>
      <c r="N520" s="25"/>
      <c r="O520" s="25"/>
      <c r="P520" s="25"/>
      <c r="Q520" s="25"/>
      <c r="R520" s="25"/>
      <c r="S520" s="25"/>
      <c r="T520" s="25"/>
      <c r="U520" s="25"/>
      <c r="V520" s="25"/>
      <c r="W520" s="25"/>
      <c r="X520" s="25"/>
      <c r="Y520" s="25"/>
      <c r="AC520" s="1172" t="s">
        <v>641</v>
      </c>
      <c r="AD520" s="1138"/>
      <c r="AE520" s="1138"/>
      <c r="AF520" s="1138"/>
      <c r="AG520" s="75" t="s">
        <v>437</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456</v>
      </c>
      <c r="J521" s="80"/>
      <c r="K521" s="80"/>
      <c r="L521" s="80"/>
      <c r="M521" s="80"/>
      <c r="N521" s="80"/>
      <c r="O521" s="80"/>
      <c r="P521" s="80"/>
      <c r="Q521" s="80"/>
      <c r="R521" s="80"/>
      <c r="S521" s="80"/>
      <c r="T521" s="80"/>
      <c r="U521" s="80"/>
      <c r="V521" s="80"/>
      <c r="W521" s="80"/>
      <c r="X521" s="80"/>
      <c r="Y521" s="80"/>
      <c r="Z521" s="80"/>
      <c r="AA521" s="80"/>
      <c r="AB521" s="80"/>
      <c r="AC521" s="1172">
        <v>6</v>
      </c>
      <c r="AD521" s="1138"/>
      <c r="AE521" s="1138"/>
      <c r="AF521" s="1138"/>
      <c r="AG521" s="65" t="s">
        <v>437</v>
      </c>
      <c r="AH521" s="1118">
        <v>2021</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457</v>
      </c>
      <c r="J522" s="72"/>
      <c r="K522" s="72"/>
      <c r="L522" s="72"/>
      <c r="M522" s="72"/>
      <c r="N522" s="72"/>
      <c r="O522" s="1086" t="s">
        <v>356</v>
      </c>
      <c r="P522" s="1086"/>
      <c r="Q522" s="1086"/>
      <c r="R522" s="1086"/>
      <c r="S522" s="1086"/>
      <c r="T522" s="1086"/>
      <c r="U522" s="1086"/>
      <c r="V522" s="1086"/>
      <c r="W522" s="1086"/>
      <c r="X522" s="1086"/>
      <c r="Y522" s="1086"/>
      <c r="Z522" s="1086"/>
      <c r="AA522" s="1086"/>
      <c r="AC522" s="1172" t="s">
        <v>641</v>
      </c>
      <c r="AD522" s="1138"/>
      <c r="AE522" s="1138"/>
      <c r="AF522" s="1138"/>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455</v>
      </c>
      <c r="J523" s="25"/>
      <c r="K523" s="25"/>
      <c r="L523" s="25"/>
      <c r="M523" s="25"/>
      <c r="N523" s="25"/>
      <c r="O523" s="25"/>
      <c r="P523" s="25"/>
      <c r="Q523" s="25"/>
      <c r="R523" s="25"/>
      <c r="S523" s="25"/>
      <c r="T523" s="25"/>
      <c r="U523" s="25"/>
      <c r="V523" s="25"/>
      <c r="W523" s="25"/>
      <c r="X523" s="25"/>
      <c r="Y523" s="25"/>
      <c r="AC523" s="1172" t="s">
        <v>641</v>
      </c>
      <c r="AD523" s="1138"/>
      <c r="AE523" s="1138"/>
      <c r="AF523" s="1138"/>
      <c r="AG523" s="75" t="s">
        <v>437</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456</v>
      </c>
      <c r="J524" s="80"/>
      <c r="K524" s="80"/>
      <c r="L524" s="80"/>
      <c r="M524" s="80"/>
      <c r="N524" s="80"/>
      <c r="O524" s="80"/>
      <c r="P524" s="80"/>
      <c r="Q524" s="80"/>
      <c r="R524" s="80"/>
      <c r="S524" s="80"/>
      <c r="T524" s="80"/>
      <c r="U524" s="80"/>
      <c r="V524" s="80"/>
      <c r="W524" s="80"/>
      <c r="X524" s="80"/>
      <c r="Y524" s="80"/>
      <c r="Z524" s="80"/>
      <c r="AA524" s="80"/>
      <c r="AB524" s="80"/>
      <c r="AC524" s="1172" t="s">
        <v>641</v>
      </c>
      <c r="AD524" s="1138"/>
      <c r="AE524" s="1138"/>
      <c r="AF524" s="1138"/>
      <c r="AG524" s="65" t="s">
        <v>437</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457</v>
      </c>
      <c r="J525" s="72"/>
      <c r="K525" s="72"/>
      <c r="L525" s="72"/>
      <c r="M525" s="72"/>
      <c r="N525" s="72"/>
      <c r="O525" s="1086" t="s">
        <v>356</v>
      </c>
      <c r="P525" s="1086"/>
      <c r="Q525" s="1086"/>
      <c r="R525" s="1086"/>
      <c r="S525" s="1086"/>
      <c r="T525" s="1086"/>
      <c r="U525" s="1086"/>
      <c r="V525" s="1086"/>
      <c r="W525" s="1086"/>
      <c r="X525" s="1086"/>
      <c r="Y525" s="1086"/>
      <c r="Z525" s="1086"/>
      <c r="AA525" s="1086"/>
      <c r="AC525" s="1172" t="s">
        <v>641</v>
      </c>
      <c r="AD525" s="1138"/>
      <c r="AE525" s="1138"/>
      <c r="AF525" s="1138"/>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455</v>
      </c>
      <c r="J526" s="25"/>
      <c r="K526" s="25"/>
      <c r="L526" s="25"/>
      <c r="M526" s="25"/>
      <c r="N526" s="25"/>
      <c r="O526" s="25"/>
      <c r="P526" s="25"/>
      <c r="Q526" s="25"/>
      <c r="R526" s="25"/>
      <c r="S526" s="25"/>
      <c r="T526" s="25"/>
      <c r="U526" s="25"/>
      <c r="V526" s="25"/>
      <c r="W526" s="25"/>
      <c r="X526" s="25"/>
      <c r="Y526" s="25"/>
      <c r="AC526" s="1172" t="s">
        <v>641</v>
      </c>
      <c r="AD526" s="1138"/>
      <c r="AE526" s="1138"/>
      <c r="AF526" s="1138"/>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456</v>
      </c>
      <c r="J527" s="80"/>
      <c r="K527" s="80"/>
      <c r="L527" s="80"/>
      <c r="M527" s="80"/>
      <c r="N527" s="80"/>
      <c r="O527" s="80"/>
      <c r="P527" s="80"/>
      <c r="Q527" s="80"/>
      <c r="R527" s="80"/>
      <c r="S527" s="80"/>
      <c r="T527" s="80"/>
      <c r="U527" s="80"/>
      <c r="V527" s="80"/>
      <c r="W527" s="80"/>
      <c r="X527" s="80"/>
      <c r="Y527" s="80"/>
      <c r="Z527" s="80"/>
      <c r="AA527" s="80"/>
      <c r="AB527" s="80"/>
      <c r="AC527" s="1172" t="s">
        <v>641</v>
      </c>
      <c r="AD527" s="1138"/>
      <c r="AE527" s="1138"/>
      <c r="AF527" s="1138"/>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457</v>
      </c>
      <c r="J528" s="72"/>
      <c r="K528" s="72"/>
      <c r="L528" s="72"/>
      <c r="M528" s="72"/>
      <c r="N528" s="72"/>
      <c r="O528" s="1086" t="s">
        <v>356</v>
      </c>
      <c r="P528" s="1086"/>
      <c r="Q528" s="1086"/>
      <c r="R528" s="1086"/>
      <c r="S528" s="1086"/>
      <c r="T528" s="1086"/>
      <c r="U528" s="1086"/>
      <c r="V528" s="1086"/>
      <c r="W528" s="1086"/>
      <c r="X528" s="1086"/>
      <c r="Y528" s="1086"/>
      <c r="Z528" s="1086"/>
      <c r="AA528" s="1086"/>
      <c r="AC528" s="1172" t="s">
        <v>641</v>
      </c>
      <c r="AD528" s="1138"/>
      <c r="AE528" s="1138"/>
      <c r="AF528" s="1138"/>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455</v>
      </c>
      <c r="J529" s="25"/>
      <c r="K529" s="25"/>
      <c r="L529" s="25"/>
      <c r="M529" s="25"/>
      <c r="N529" s="25"/>
      <c r="O529" s="25"/>
      <c r="P529" s="25"/>
      <c r="Q529" s="25"/>
      <c r="R529" s="25"/>
      <c r="S529" s="25"/>
      <c r="T529" s="25"/>
      <c r="U529" s="25"/>
      <c r="V529" s="25"/>
      <c r="W529" s="25"/>
      <c r="X529" s="25"/>
      <c r="Y529" s="25"/>
      <c r="AC529" s="1172" t="s">
        <v>641</v>
      </c>
      <c r="AD529" s="1138"/>
      <c r="AE529" s="1138"/>
      <c r="AF529" s="1138"/>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456</v>
      </c>
      <c r="J530" s="80"/>
      <c r="K530" s="80"/>
      <c r="L530" s="80"/>
      <c r="M530" s="80"/>
      <c r="N530" s="80"/>
      <c r="O530" s="80"/>
      <c r="P530" s="80"/>
      <c r="Q530" s="80"/>
      <c r="R530" s="80"/>
      <c r="S530" s="80"/>
      <c r="T530" s="80"/>
      <c r="U530" s="80"/>
      <c r="V530" s="80"/>
      <c r="W530" s="80"/>
      <c r="X530" s="80"/>
      <c r="Y530" s="80"/>
      <c r="Z530" s="80"/>
      <c r="AA530" s="80"/>
      <c r="AB530" s="80"/>
      <c r="AC530" s="1172" t="s">
        <v>641</v>
      </c>
      <c r="AD530" s="1138"/>
      <c r="AE530" s="1138"/>
      <c r="AF530" s="1138"/>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610</v>
      </c>
      <c r="J531" s="72"/>
      <c r="K531" s="72"/>
      <c r="L531" s="72"/>
      <c r="M531" s="72"/>
      <c r="N531" s="72"/>
      <c r="O531" s="72"/>
      <c r="P531" s="72"/>
      <c r="Q531" s="72"/>
      <c r="R531" s="72"/>
      <c r="S531" s="72"/>
      <c r="T531" s="72"/>
      <c r="U531" s="72"/>
      <c r="V531" s="72"/>
      <c r="W531" s="72"/>
      <c r="X531" s="25"/>
      <c r="Y531" s="25"/>
      <c r="AC531" s="1172">
        <v>9</v>
      </c>
      <c r="AD531" s="1138"/>
      <c r="AE531" s="1138"/>
      <c r="AF531" s="1138"/>
      <c r="AG531" s="65" t="s">
        <v>437</v>
      </c>
      <c r="AH531" s="1118">
        <v>2021</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611</v>
      </c>
      <c r="J532" s="25"/>
      <c r="K532" s="25"/>
      <c r="L532" s="25"/>
      <c r="M532" s="25"/>
      <c r="N532" s="25"/>
      <c r="O532" s="25"/>
      <c r="P532" s="25"/>
      <c r="Q532" s="25"/>
      <c r="R532" s="25"/>
      <c r="S532" s="25"/>
      <c r="T532" s="25"/>
      <c r="U532" s="25"/>
      <c r="V532" s="25"/>
      <c r="W532" s="25"/>
      <c r="X532" s="25"/>
      <c r="Y532" s="25"/>
      <c r="AC532" s="1172">
        <v>6</v>
      </c>
      <c r="AD532" s="1138"/>
      <c r="AE532" s="1138"/>
      <c r="AF532" s="1138"/>
      <c r="AG532" s="75" t="s">
        <v>437</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612</v>
      </c>
      <c r="J533" s="25"/>
      <c r="K533" s="25"/>
      <c r="L533" s="25"/>
      <c r="M533" s="25"/>
      <c r="N533" s="25"/>
      <c r="O533" s="25"/>
      <c r="P533" s="25"/>
      <c r="Q533" s="25"/>
      <c r="R533" s="25"/>
      <c r="S533" s="25"/>
      <c r="T533" s="25"/>
      <c r="U533" s="25"/>
      <c r="V533" s="25"/>
      <c r="W533" s="25"/>
      <c r="X533" s="25"/>
      <c r="Y533" s="25"/>
      <c r="AC533" s="1172">
        <v>2</v>
      </c>
      <c r="AD533" s="1138"/>
      <c r="AE533" s="1138"/>
      <c r="AF533" s="1138"/>
      <c r="AG533" s="65" t="s">
        <v>437</v>
      </c>
      <c r="AH533" s="1118">
        <v>2023</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613</v>
      </c>
      <c r="J534" s="25"/>
      <c r="K534" s="25"/>
      <c r="L534" s="25"/>
      <c r="M534" s="25"/>
      <c r="N534" s="25"/>
      <c r="O534" s="25"/>
      <c r="P534" s="25"/>
      <c r="Q534" s="25"/>
      <c r="R534" s="25"/>
      <c r="S534" s="25"/>
      <c r="T534" s="25"/>
      <c r="U534" s="25"/>
      <c r="V534" s="25"/>
      <c r="W534" s="25"/>
      <c r="X534" s="25"/>
      <c r="Y534" s="25"/>
      <c r="AC534" s="1172">
        <v>2</v>
      </c>
      <c r="AD534" s="1138"/>
      <c r="AE534" s="1138"/>
      <c r="AF534" s="1138"/>
      <c r="AG534" s="65" t="s">
        <v>437</v>
      </c>
      <c r="AH534" s="1118">
        <v>2023</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495</v>
      </c>
      <c r="J535" s="80"/>
      <c r="K535" s="80"/>
      <c r="L535" s="80"/>
      <c r="M535" s="80"/>
      <c r="N535" s="80"/>
      <c r="O535" s="80"/>
      <c r="P535" s="80"/>
      <c r="Q535" s="80"/>
      <c r="R535" s="80"/>
      <c r="S535" s="80"/>
      <c r="T535" s="80"/>
      <c r="U535" s="80"/>
      <c r="V535" s="80"/>
      <c r="W535" s="80"/>
      <c r="X535" s="80"/>
      <c r="Y535" s="80"/>
      <c r="Z535" s="80"/>
      <c r="AA535" s="80"/>
      <c r="AB535" s="80"/>
      <c r="AC535" s="1172">
        <v>5</v>
      </c>
      <c r="AD535" s="1138"/>
      <c r="AE535" s="1138"/>
      <c r="AF535" s="1138"/>
      <c r="AG535" s="65" t="s">
        <v>437</v>
      </c>
      <c r="AH535" s="1118">
        <v>2023</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497</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498</v>
      </c>
      <c r="V544" s="1130"/>
      <c r="W544" s="1130"/>
      <c r="X544" s="1130"/>
      <c r="Y544" s="1131"/>
      <c r="Z544" s="1311" t="s">
        <v>1424</v>
      </c>
      <c r="AA544" s="1312"/>
      <c r="AB544" s="1312"/>
      <c r="AC544" s="1312"/>
      <c r="AD544" s="1313"/>
      <c r="AE544" s="1129" t="s">
        <v>499</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1785</v>
      </c>
      <c r="D545" s="1154"/>
      <c r="E545" s="1154"/>
      <c r="F545" s="1154"/>
      <c r="G545" s="1154"/>
      <c r="H545" s="1154"/>
      <c r="I545" s="1154"/>
      <c r="J545" s="1154"/>
      <c r="K545" s="1154"/>
      <c r="L545" s="1154"/>
      <c r="M545" s="1154"/>
      <c r="N545" s="1154"/>
      <c r="O545" s="1179"/>
      <c r="P545" s="1117">
        <v>26</v>
      </c>
      <c r="Q545" s="1118"/>
      <c r="R545" s="1118"/>
      <c r="S545" s="1118"/>
      <c r="T545" s="1119"/>
      <c r="U545" s="1175">
        <v>0.04</v>
      </c>
      <c r="V545" s="1176"/>
      <c r="W545" s="1176"/>
      <c r="X545" s="1176"/>
      <c r="Y545" s="1177"/>
      <c r="Z545" s="1132" t="s">
        <v>1754</v>
      </c>
      <c r="AA545" s="1132"/>
      <c r="AB545" s="1132"/>
      <c r="AC545" s="1132"/>
      <c r="AD545" s="1133"/>
      <c r="AE545" s="1203">
        <v>16525000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1786</v>
      </c>
      <c r="D546" s="1154"/>
      <c r="E546" s="1154"/>
      <c r="F546" s="1154"/>
      <c r="G546" s="1154"/>
      <c r="H546" s="1154"/>
      <c r="I546" s="1154"/>
      <c r="J546" s="1154"/>
      <c r="K546" s="1154"/>
      <c r="L546" s="1154"/>
      <c r="M546" s="1154"/>
      <c r="N546" s="1154"/>
      <c r="O546" s="1179"/>
      <c r="P546" s="1117">
        <v>26</v>
      </c>
      <c r="Q546" s="1118"/>
      <c r="R546" s="1118"/>
      <c r="S546" s="1118"/>
      <c r="T546" s="1119"/>
      <c r="U546" s="1175">
        <v>0.03</v>
      </c>
      <c r="V546" s="1176"/>
      <c r="W546" s="1176"/>
      <c r="X546" s="1176"/>
      <c r="Y546" s="1177"/>
      <c r="Z546" s="1132" t="s">
        <v>1761</v>
      </c>
      <c r="AA546" s="1132"/>
      <c r="AB546" s="1132"/>
      <c r="AC546" s="1132"/>
      <c r="AD546" s="1133"/>
      <c r="AE546" s="1203">
        <v>1970000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1788</v>
      </c>
      <c r="D547" s="1154"/>
      <c r="E547" s="1154"/>
      <c r="F547" s="1154"/>
      <c r="G547" s="1154"/>
      <c r="H547" s="1154"/>
      <c r="I547" s="1154"/>
      <c r="J547" s="1154"/>
      <c r="K547" s="1154"/>
      <c r="L547" s="1154"/>
      <c r="M547" s="1154"/>
      <c r="N547" s="1154"/>
      <c r="O547" s="1179"/>
      <c r="P547" s="1117">
        <v>26</v>
      </c>
      <c r="Q547" s="1118"/>
      <c r="R547" s="1118"/>
      <c r="S547" s="1118"/>
      <c r="T547" s="1119"/>
      <c r="U547" s="1175">
        <v>0.03</v>
      </c>
      <c r="V547" s="1176"/>
      <c r="W547" s="1176"/>
      <c r="X547" s="1176"/>
      <c r="Y547" s="1177"/>
      <c r="Z547" s="1132" t="s">
        <v>1761</v>
      </c>
      <c r="AA547" s="1132"/>
      <c r="AB547" s="1132"/>
      <c r="AC547" s="1132"/>
      <c r="AD547" s="1133"/>
      <c r="AE547" s="1203">
        <v>8456608</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6" t="s">
        <v>1787</v>
      </c>
      <c r="D548" s="1154"/>
      <c r="E548" s="1154"/>
      <c r="F548" s="1154"/>
      <c r="G548" s="1154"/>
      <c r="H548" s="1154"/>
      <c r="I548" s="1154"/>
      <c r="J548" s="1154"/>
      <c r="K548" s="1154"/>
      <c r="L548" s="1154"/>
      <c r="M548" s="1154"/>
      <c r="N548" s="1154"/>
      <c r="O548" s="1179"/>
      <c r="P548" s="1117"/>
      <c r="Q548" s="1118"/>
      <c r="R548" s="1118"/>
      <c r="S548" s="1118"/>
      <c r="T548" s="1119"/>
      <c r="U548" s="1175"/>
      <c r="V548" s="1176"/>
      <c r="W548" s="1176"/>
      <c r="X548" s="1176"/>
      <c r="Y548" s="1177"/>
      <c r="Z548" s="1302" t="s">
        <v>641</v>
      </c>
      <c r="AA548" s="1132"/>
      <c r="AB548" s="1132"/>
      <c r="AC548" s="1132"/>
      <c r="AD548" s="1133"/>
      <c r="AE548" s="1203">
        <v>945131.45</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6" t="s">
        <v>1739</v>
      </c>
      <c r="D549" s="1154"/>
      <c r="E549" s="1154"/>
      <c r="F549" s="1154"/>
      <c r="G549" s="1154"/>
      <c r="H549" s="1154"/>
      <c r="I549" s="1154"/>
      <c r="J549" s="1154"/>
      <c r="K549" s="1154"/>
      <c r="L549" s="1154"/>
      <c r="M549" s="1154"/>
      <c r="N549" s="1154"/>
      <c r="O549" s="1179"/>
      <c r="P549" s="1117"/>
      <c r="Q549" s="1118"/>
      <c r="R549" s="1118"/>
      <c r="S549" s="1118"/>
      <c r="T549" s="1119"/>
      <c r="U549" s="1175"/>
      <c r="V549" s="1176"/>
      <c r="W549" s="1176"/>
      <c r="X549" s="1176"/>
      <c r="Y549" s="1177"/>
      <c r="Z549" s="1132" t="s">
        <v>641</v>
      </c>
      <c r="AA549" s="1132"/>
      <c r="AB549" s="1132"/>
      <c r="AC549" s="1132"/>
      <c r="AD549" s="1133"/>
      <c r="AE549" s="1203">
        <v>1711679.45</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6" t="s">
        <v>1762</v>
      </c>
      <c r="D550" s="1154"/>
      <c r="E550" s="1154"/>
      <c r="F550" s="1154"/>
      <c r="G550" s="1154"/>
      <c r="H550" s="1154"/>
      <c r="I550" s="1154"/>
      <c r="J550" s="1154"/>
      <c r="K550" s="1154"/>
      <c r="L550" s="1154"/>
      <c r="M550" s="1154"/>
      <c r="N550" s="1154"/>
      <c r="O550" s="1179"/>
      <c r="P550" s="1117"/>
      <c r="Q550" s="1118"/>
      <c r="R550" s="1118"/>
      <c r="S550" s="1118"/>
      <c r="T550" s="1119"/>
      <c r="U550" s="1175"/>
      <c r="V550" s="1176"/>
      <c r="W550" s="1176"/>
      <c r="X550" s="1176"/>
      <c r="Y550" s="1177"/>
      <c r="Z550" s="1132" t="s">
        <v>641</v>
      </c>
      <c r="AA550" s="1132"/>
      <c r="AB550" s="1132"/>
      <c r="AC550" s="1132"/>
      <c r="AD550" s="1133"/>
      <c r="AE550" s="1203">
        <v>2323123</v>
      </c>
      <c r="AF550" s="1204"/>
      <c r="AG550" s="1204"/>
      <c r="AH550" s="1204"/>
      <c r="AI550" s="1204"/>
      <c r="AJ550" s="1204"/>
      <c r="AK550" s="1205"/>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26"/>
      <c r="D551" s="1154"/>
      <c r="E551" s="1154"/>
      <c r="F551" s="1154"/>
      <c r="G551" s="1154"/>
      <c r="H551" s="1154"/>
      <c r="I551" s="1154"/>
      <c r="J551" s="1154"/>
      <c r="K551" s="1154"/>
      <c r="L551" s="1154"/>
      <c r="M551" s="1154"/>
      <c r="N551" s="1154"/>
      <c r="O551" s="1179"/>
      <c r="P551" s="1117"/>
      <c r="Q551" s="1118"/>
      <c r="R551" s="1118"/>
      <c r="S551" s="1118"/>
      <c r="T551" s="1119"/>
      <c r="U551" s="1175"/>
      <c r="V551" s="1176"/>
      <c r="W551" s="1176"/>
      <c r="X551" s="1176"/>
      <c r="Y551" s="1177"/>
      <c r="Z551" s="1132" t="s">
        <v>1425</v>
      </c>
      <c r="AA551" s="1132"/>
      <c r="AB551" s="1132"/>
      <c r="AC551" s="1132"/>
      <c r="AD551" s="1133"/>
      <c r="AE551" s="1203"/>
      <c r="AF551" s="1204"/>
      <c r="AG551" s="1204"/>
      <c r="AH551" s="1204"/>
      <c r="AI551" s="1204"/>
      <c r="AJ551" s="1204"/>
      <c r="AK551" s="120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26"/>
      <c r="D552" s="1154"/>
      <c r="E552" s="1154"/>
      <c r="F552" s="1154"/>
      <c r="G552" s="1154"/>
      <c r="H552" s="1154"/>
      <c r="I552" s="1154"/>
      <c r="J552" s="1154"/>
      <c r="K552" s="1154"/>
      <c r="L552" s="1154"/>
      <c r="M552" s="1154"/>
      <c r="N552" s="1154"/>
      <c r="O552" s="1179"/>
      <c r="P552" s="1117"/>
      <c r="Q552" s="1118"/>
      <c r="R552" s="1118"/>
      <c r="S552" s="1118"/>
      <c r="T552" s="1119"/>
      <c r="U552" s="1175"/>
      <c r="V552" s="1176"/>
      <c r="W552" s="1176"/>
      <c r="X552" s="1176"/>
      <c r="Y552" s="1177"/>
      <c r="Z552" s="1132" t="s">
        <v>1425</v>
      </c>
      <c r="AA552" s="1132"/>
      <c r="AB552" s="1132"/>
      <c r="AC552" s="1132"/>
      <c r="AD552" s="1133"/>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4"/>
      <c r="D553" s="1154"/>
      <c r="E553" s="1154"/>
      <c r="F553" s="1154"/>
      <c r="G553" s="1154"/>
      <c r="H553" s="1154"/>
      <c r="I553" s="1154"/>
      <c r="J553" s="1154"/>
      <c r="K553" s="1154"/>
      <c r="L553" s="1154"/>
      <c r="M553" s="1154"/>
      <c r="N553" s="1154"/>
      <c r="O553" s="1179"/>
      <c r="P553" s="1117"/>
      <c r="Q553" s="1118"/>
      <c r="R553" s="1118"/>
      <c r="S553" s="1118"/>
      <c r="T553" s="1119"/>
      <c r="U553" s="1175"/>
      <c r="V553" s="1176"/>
      <c r="W553" s="1176"/>
      <c r="X553" s="1176"/>
      <c r="Y553" s="1177"/>
      <c r="Z553" s="1132" t="s">
        <v>1425</v>
      </c>
      <c r="AA553" s="1132"/>
      <c r="AB553" s="1132"/>
      <c r="AC553" s="1132"/>
      <c r="AD553" s="1133"/>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4"/>
      <c r="D554" s="1154"/>
      <c r="E554" s="1154"/>
      <c r="F554" s="1154"/>
      <c r="G554" s="1154"/>
      <c r="H554" s="1154"/>
      <c r="I554" s="1154"/>
      <c r="J554" s="1154"/>
      <c r="K554" s="1154"/>
      <c r="L554" s="1154"/>
      <c r="M554" s="1154"/>
      <c r="N554" s="1154"/>
      <c r="O554" s="1179"/>
      <c r="P554" s="1117"/>
      <c r="Q554" s="1118"/>
      <c r="R554" s="1118"/>
      <c r="S554" s="1118"/>
      <c r="T554" s="1119"/>
      <c r="U554" s="1175"/>
      <c r="V554" s="1176"/>
      <c r="W554" s="1176"/>
      <c r="X554" s="1176"/>
      <c r="Y554" s="1177"/>
      <c r="Z554" s="1132" t="s">
        <v>1425</v>
      </c>
      <c r="AA554" s="1132"/>
      <c r="AB554" s="1132"/>
      <c r="AC554" s="1132"/>
      <c r="AD554" s="1133"/>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9"/>
      <c r="P555" s="1117"/>
      <c r="Q555" s="1118"/>
      <c r="R555" s="1118"/>
      <c r="S555" s="1118"/>
      <c r="T555" s="1119"/>
      <c r="U555" s="1175"/>
      <c r="V555" s="1176"/>
      <c r="W555" s="1176"/>
      <c r="X555" s="1176"/>
      <c r="Y555" s="1177"/>
      <c r="Z555" s="1132" t="s">
        <v>1425</v>
      </c>
      <c r="AA555" s="1132"/>
      <c r="AB555" s="1132"/>
      <c r="AC555" s="1132"/>
      <c r="AD555" s="1133"/>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9"/>
      <c r="P556" s="1117"/>
      <c r="Q556" s="1118"/>
      <c r="R556" s="1118"/>
      <c r="S556" s="1118"/>
      <c r="T556" s="1119"/>
      <c r="U556" s="1175"/>
      <c r="V556" s="1176"/>
      <c r="W556" s="1176"/>
      <c r="X556" s="1176"/>
      <c r="Y556" s="1177"/>
      <c r="Z556" s="1132" t="s">
        <v>1425</v>
      </c>
      <c r="AA556" s="1132"/>
      <c r="AB556" s="1132"/>
      <c r="AC556" s="1132"/>
      <c r="AD556" s="1133"/>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5">
        <f>SUM(AE545:AK556)</f>
        <v>31931541.899999999</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8" t="str">
        <f>C545</f>
        <v>Tax-Exempt Construction Loan</v>
      </c>
      <c r="H559" s="1178"/>
      <c r="I559" s="1178"/>
      <c r="J559" s="1178"/>
      <c r="K559" s="1178"/>
      <c r="L559" s="1178"/>
      <c r="M559" s="1178"/>
      <c r="N559" s="1178"/>
      <c r="O559" s="1178"/>
      <c r="P559" s="1178"/>
      <c r="Q559" s="1178"/>
      <c r="R559" s="1178"/>
      <c r="S559" s="14"/>
      <c r="T559" s="87" t="s">
        <v>120</v>
      </c>
      <c r="U559" s="12" t="s">
        <v>509</v>
      </c>
      <c r="Z559" s="1178" t="str">
        <f>C546</f>
        <v>LACDA Affordable Housing Funds</v>
      </c>
      <c r="AA559" s="1178"/>
      <c r="AB559" s="1178"/>
      <c r="AC559" s="1178"/>
      <c r="AD559" s="1178"/>
      <c r="AE559" s="1178"/>
      <c r="AF559" s="1178"/>
      <c r="AG559" s="1178"/>
      <c r="AH559" s="1178"/>
      <c r="AI559" s="1178"/>
      <c r="AJ559" s="1178"/>
      <c r="AK559" s="117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7" t="s">
        <v>1783</v>
      </c>
      <c r="H560" s="1086"/>
      <c r="I560" s="1086"/>
      <c r="J560" s="1086"/>
      <c r="K560" s="1086"/>
      <c r="L560" s="1086"/>
      <c r="M560" s="1086"/>
      <c r="N560" s="1086"/>
      <c r="O560" s="1086"/>
      <c r="P560" s="1086"/>
      <c r="Q560" s="1086"/>
      <c r="R560" s="1086"/>
      <c r="S560" s="14"/>
      <c r="T560" s="35"/>
      <c r="U560" s="12" t="s">
        <v>92</v>
      </c>
      <c r="Z560" s="1127" t="s">
        <v>1764</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7" t="s">
        <v>540</v>
      </c>
      <c r="H561" s="1086"/>
      <c r="I561" s="1086"/>
      <c r="J561" s="1086"/>
      <c r="K561" s="1086"/>
      <c r="L561" s="1086"/>
      <c r="M561" s="1086"/>
      <c r="N561" s="1086"/>
      <c r="O561" s="1086"/>
      <c r="P561" s="1086"/>
      <c r="Q561" s="1086"/>
      <c r="R561" s="1086"/>
      <c r="S561" s="88"/>
      <c r="T561" s="35"/>
      <c r="U561" s="12" t="s">
        <v>630</v>
      </c>
      <c r="Z561" s="1126" t="s">
        <v>1765</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7" t="s">
        <v>1781</v>
      </c>
      <c r="H562" s="1086"/>
      <c r="I562" s="1086"/>
      <c r="J562" s="1086"/>
      <c r="K562" s="1086"/>
      <c r="L562" s="1086"/>
      <c r="M562" s="1086"/>
      <c r="N562" s="1086"/>
      <c r="O562" s="1086"/>
      <c r="P562" s="1086"/>
      <c r="Q562" s="1086"/>
      <c r="R562" s="1086"/>
      <c r="S562" s="14"/>
      <c r="T562" s="35"/>
      <c r="U562" s="12" t="s">
        <v>19</v>
      </c>
      <c r="Z562" s="1126" t="s">
        <v>1766</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60" t="s">
        <v>1782</v>
      </c>
      <c r="H563" s="1121"/>
      <c r="I563" s="1121"/>
      <c r="J563" s="1121"/>
      <c r="K563" s="1121"/>
      <c r="L563" s="1121"/>
      <c r="O563" s="140" t="s">
        <v>219</v>
      </c>
      <c r="P563" s="1154"/>
      <c r="Q563" s="1154"/>
      <c r="R563" s="1154"/>
      <c r="S563" s="16"/>
      <c r="T563" s="35"/>
      <c r="U563" s="12" t="s">
        <v>337</v>
      </c>
      <c r="Z563" s="1160" t="s">
        <v>1767</v>
      </c>
      <c r="AA563" s="1121"/>
      <c r="AB563" s="1121"/>
      <c r="AC563" s="1121"/>
      <c r="AD563" s="1121"/>
      <c r="AE563" s="1121"/>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7" t="s">
        <v>1763</v>
      </c>
      <c r="I564" s="1086"/>
      <c r="J564" s="1086"/>
      <c r="K564" s="1086"/>
      <c r="L564" s="1086"/>
      <c r="M564" s="1086"/>
      <c r="N564" s="1086"/>
      <c r="O564" s="1086"/>
      <c r="P564" s="1086"/>
      <c r="Q564" s="1086"/>
      <c r="R564" s="1086"/>
      <c r="S564" s="14"/>
      <c r="T564" s="35"/>
      <c r="U564" s="12" t="s">
        <v>20</v>
      </c>
      <c r="AA564" s="1127" t="s">
        <v>1773</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0" t="s">
        <v>1778</v>
      </c>
      <c r="N565" s="1301"/>
      <c r="O565" s="1301"/>
      <c r="P565" s="1301"/>
      <c r="Q565" s="1301"/>
      <c r="R565" s="1301"/>
      <c r="S565" s="14"/>
      <c r="T565" s="35"/>
      <c r="U565" s="530" t="s">
        <v>1426</v>
      </c>
      <c r="V565" s="743"/>
      <c r="W565" s="743"/>
      <c r="X565" s="743"/>
      <c r="Y565" s="743"/>
      <c r="Z565" s="743"/>
      <c r="AA565" s="14"/>
      <c r="AB565" s="14"/>
      <c r="AC565" s="14"/>
      <c r="AD565" s="14"/>
      <c r="AE565" s="14"/>
      <c r="AF565" s="1300" t="s">
        <v>641</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591</v>
      </c>
      <c r="O566" s="1115"/>
      <c r="T566" s="35"/>
      <c r="U566" s="12" t="s">
        <v>22</v>
      </c>
      <c r="AG566" s="1115" t="s">
        <v>591</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8" t="str">
        <f>C547</f>
        <v>City of Los Angeles HHH</v>
      </c>
      <c r="H568" s="1178"/>
      <c r="I568" s="1178"/>
      <c r="J568" s="1178"/>
      <c r="K568" s="1178"/>
      <c r="L568" s="1178"/>
      <c r="M568" s="1178"/>
      <c r="N568" s="1178"/>
      <c r="O568" s="1178"/>
      <c r="P568" s="1178"/>
      <c r="Q568" s="1178"/>
      <c r="R568" s="1178"/>
      <c r="T568" s="87" t="s">
        <v>631</v>
      </c>
      <c r="U568" s="12" t="s">
        <v>509</v>
      </c>
      <c r="Z568" s="1178" t="str">
        <f>C548</f>
        <v>General Partner Equity</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7" t="s">
        <v>1768</v>
      </c>
      <c r="H569" s="1086"/>
      <c r="I569" s="1086"/>
      <c r="J569" s="1086"/>
      <c r="K569" s="1086"/>
      <c r="L569" s="1086"/>
      <c r="M569" s="1086"/>
      <c r="N569" s="1086"/>
      <c r="O569" s="1086"/>
      <c r="P569" s="1086"/>
      <c r="Q569" s="1086"/>
      <c r="R569" s="1086"/>
      <c r="T569" s="35"/>
      <c r="U569" s="12" t="s">
        <v>92</v>
      </c>
      <c r="Z569" s="1127" t="s">
        <v>1655</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6" t="s">
        <v>540</v>
      </c>
      <c r="H570" s="1085"/>
      <c r="I570" s="1085"/>
      <c r="J570" s="1085"/>
      <c r="K570" s="1085"/>
      <c r="L570" s="1085"/>
      <c r="M570" s="1085"/>
      <c r="N570" s="1085"/>
      <c r="O570" s="1085"/>
      <c r="P570" s="1085"/>
      <c r="Q570" s="1085"/>
      <c r="R570" s="1085"/>
      <c r="T570" s="35"/>
      <c r="U570" s="12" t="s">
        <v>630</v>
      </c>
      <c r="Z570" s="1126" t="s">
        <v>1656</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1774</v>
      </c>
      <c r="H571" s="1085"/>
      <c r="I571" s="1085"/>
      <c r="J571" s="1085"/>
      <c r="K571" s="1085"/>
      <c r="L571" s="1085"/>
      <c r="M571" s="1085"/>
      <c r="N571" s="1085"/>
      <c r="O571" s="1085"/>
      <c r="P571" s="1085"/>
      <c r="Q571" s="1085"/>
      <c r="R571" s="1085"/>
      <c r="T571" s="35"/>
      <c r="U571" s="12" t="s">
        <v>19</v>
      </c>
      <c r="Z571" s="1126" t="s">
        <v>1769</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60" t="s">
        <v>1775</v>
      </c>
      <c r="H572" s="1121"/>
      <c r="I572" s="1121"/>
      <c r="J572" s="1121"/>
      <c r="K572" s="1121"/>
      <c r="L572" s="1121"/>
      <c r="O572" s="140" t="s">
        <v>219</v>
      </c>
      <c r="P572" s="1154"/>
      <c r="Q572" s="1154"/>
      <c r="R572" s="1154"/>
      <c r="T572" s="35"/>
      <c r="U572" s="12" t="s">
        <v>337</v>
      </c>
      <c r="Z572" s="1160" t="s">
        <v>1770</v>
      </c>
      <c r="AA572" s="1121"/>
      <c r="AB572" s="1121"/>
      <c r="AC572" s="1121"/>
      <c r="AD572" s="1121"/>
      <c r="AE572" s="1121"/>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7" t="s">
        <v>1773</v>
      </c>
      <c r="I573" s="1086"/>
      <c r="J573" s="1086"/>
      <c r="K573" s="1086"/>
      <c r="L573" s="1086"/>
      <c r="M573" s="1086"/>
      <c r="N573" s="1086"/>
      <c r="O573" s="1086"/>
      <c r="P573" s="1086"/>
      <c r="Q573" s="1086"/>
      <c r="R573" s="1086"/>
      <c r="T573" s="35"/>
      <c r="U573" s="12" t="s">
        <v>20</v>
      </c>
      <c r="AA573" s="1127" t="s">
        <v>1771</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591</v>
      </c>
      <c r="O574" s="1115"/>
      <c r="T574" s="35"/>
      <c r="U574" s="12" t="s">
        <v>22</v>
      </c>
      <c r="AG574" s="1115" t="s">
        <v>591</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8" t="str">
        <f>C549</f>
        <v>Costs Deferred Until Completion</v>
      </c>
      <c r="H576" s="1178"/>
      <c r="I576" s="1178"/>
      <c r="J576" s="1178"/>
      <c r="K576" s="1178"/>
      <c r="L576" s="1178"/>
      <c r="M576" s="1178"/>
      <c r="N576" s="1178"/>
      <c r="O576" s="1178"/>
      <c r="P576" s="1178"/>
      <c r="Q576" s="1178"/>
      <c r="R576" s="1178"/>
      <c r="T576" s="87" t="s">
        <v>634</v>
      </c>
      <c r="U576" s="12" t="s">
        <v>509</v>
      </c>
      <c r="Z576" s="1178" t="str">
        <f>C550</f>
        <v>Limited Partner Equity</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tr">
        <f>Z569</f>
        <v>3590 Elm Avenue</v>
      </c>
      <c r="H577" s="1086"/>
      <c r="I577" s="1086"/>
      <c r="J577" s="1086"/>
      <c r="K577" s="1086"/>
      <c r="L577" s="1086"/>
      <c r="M577" s="1086"/>
      <c r="N577" s="1086"/>
      <c r="O577" s="1086"/>
      <c r="P577" s="1086"/>
      <c r="Q577" s="1086"/>
      <c r="R577" s="1086"/>
      <c r="T577" s="35"/>
      <c r="U577" s="12" t="s">
        <v>92</v>
      </c>
      <c r="Z577" s="1127" t="s">
        <v>1697</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6" t="str">
        <f>Z570</f>
        <v>Long Beach</v>
      </c>
      <c r="H578" s="1086"/>
      <c r="I578" s="1086"/>
      <c r="J578" s="1086"/>
      <c r="K578" s="1086"/>
      <c r="L578" s="1086"/>
      <c r="M578" s="1086"/>
      <c r="N578" s="1086"/>
      <c r="O578" s="1086"/>
      <c r="P578" s="1086"/>
      <c r="Q578" s="1086"/>
      <c r="R578" s="1086"/>
      <c r="T578" s="35"/>
      <c r="U578" s="12" t="s">
        <v>630</v>
      </c>
      <c r="Z578" s="1126"/>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tr">
        <f>Z571</f>
        <v>Suny Lay Chang</v>
      </c>
      <c r="H579" s="1086"/>
      <c r="I579" s="1086"/>
      <c r="J579" s="1086"/>
      <c r="K579" s="1086"/>
      <c r="L579" s="1086"/>
      <c r="M579" s="1086"/>
      <c r="N579" s="1086"/>
      <c r="O579" s="1086"/>
      <c r="P579" s="1086"/>
      <c r="Q579" s="1086"/>
      <c r="R579" s="1086"/>
      <c r="T579" s="35"/>
      <c r="U579" s="12" t="s">
        <v>19</v>
      </c>
      <c r="Z579" s="1126"/>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1" t="str">
        <f>Z572</f>
        <v>562-684-1108</v>
      </c>
      <c r="H580" s="1121"/>
      <c r="I580" s="1121"/>
      <c r="J580" s="1121"/>
      <c r="K580" s="1121"/>
      <c r="L580" s="1121"/>
      <c r="O580" s="140" t="s">
        <v>219</v>
      </c>
      <c r="P580" s="1154"/>
      <c r="Q580" s="1154"/>
      <c r="R580" s="1154"/>
      <c r="T580" s="35"/>
      <c r="U580" s="12" t="s">
        <v>337</v>
      </c>
      <c r="Z580" s="1160"/>
      <c r="AA580" s="1121"/>
      <c r="AB580" s="1121"/>
      <c r="AC580" s="1121"/>
      <c r="AD580" s="1121"/>
      <c r="AE580" s="1121"/>
      <c r="AH580" s="140" t="s">
        <v>219</v>
      </c>
      <c r="AI580" s="1154"/>
      <c r="AJ580" s="1154"/>
      <c r="AK580" s="1154"/>
    </row>
    <row r="581" spans="1:112" ht="12.75">
      <c r="A581" s="35"/>
      <c r="B581" s="12" t="s">
        <v>20</v>
      </c>
      <c r="H581" s="1127" t="s">
        <v>1772</v>
      </c>
      <c r="I581" s="1086"/>
      <c r="J581" s="1086"/>
      <c r="K581" s="1086"/>
      <c r="L581" s="1086"/>
      <c r="M581" s="1086"/>
      <c r="N581" s="1086"/>
      <c r="O581" s="1086"/>
      <c r="P581" s="1086"/>
      <c r="Q581" s="1086"/>
      <c r="R581" s="1086"/>
      <c r="T581" s="35"/>
      <c r="U581" s="12" t="s">
        <v>20</v>
      </c>
      <c r="AA581" s="1127" t="s">
        <v>1771</v>
      </c>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591</v>
      </c>
      <c r="O582" s="1115"/>
      <c r="T582" s="35"/>
      <c r="U582" s="12" t="s">
        <v>22</v>
      </c>
      <c r="AG582" s="1115" t="s">
        <v>722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8">
        <f>C551</f>
        <v>0</v>
      </c>
      <c r="H584" s="1178"/>
      <c r="I584" s="1178"/>
      <c r="J584" s="1178"/>
      <c r="K584" s="1178"/>
      <c r="L584" s="1178"/>
      <c r="M584" s="1178"/>
      <c r="N584" s="1178"/>
      <c r="O584" s="1178"/>
      <c r="P584" s="1178"/>
      <c r="Q584" s="1178"/>
      <c r="R584" s="1178"/>
      <c r="T584" s="87" t="s">
        <v>501</v>
      </c>
      <c r="U584" s="12" t="s">
        <v>509</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127"/>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f>Z578</f>
        <v>0</v>
      </c>
      <c r="H586" s="1086"/>
      <c r="I586" s="1086"/>
      <c r="J586" s="1086"/>
      <c r="K586" s="1086"/>
      <c r="L586" s="1086"/>
      <c r="M586" s="1086"/>
      <c r="N586" s="1086"/>
      <c r="O586" s="1086"/>
      <c r="P586" s="1086"/>
      <c r="Q586" s="1086"/>
      <c r="R586" s="1086"/>
      <c r="S586" s="12"/>
      <c r="T586" s="35"/>
      <c r="U586" s="12" t="s">
        <v>630</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f>Z579</f>
        <v>0</v>
      </c>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1">
        <f>Z580</f>
        <v>0</v>
      </c>
      <c r="H588" s="1121"/>
      <c r="I588" s="1121"/>
      <c r="J588" s="1121"/>
      <c r="K588" s="1121"/>
      <c r="L588" s="1121"/>
      <c r="M588" s="12"/>
      <c r="N588" s="12"/>
      <c r="O588" s="140" t="s">
        <v>219</v>
      </c>
      <c r="P588" s="1154"/>
      <c r="Q588" s="1154"/>
      <c r="R588" s="1154"/>
      <c r="S588" s="12"/>
      <c r="T588" s="35"/>
      <c r="U588" s="12" t="s">
        <v>337</v>
      </c>
      <c r="V588" s="12"/>
      <c r="W588" s="12"/>
      <c r="X588" s="12"/>
      <c r="Y588" s="12"/>
      <c r="Z588" s="1121"/>
      <c r="AA588" s="1121"/>
      <c r="AB588" s="1121"/>
      <c r="AC588" s="1121"/>
      <c r="AD588" s="1121"/>
      <c r="AE588" s="1121"/>
      <c r="AF588" s="12"/>
      <c r="AG588" s="12"/>
      <c r="AH588" s="140" t="s">
        <v>219</v>
      </c>
      <c r="AI588" s="1154"/>
      <c r="AJ588" s="1154"/>
      <c r="AK588" s="1154"/>
      <c r="AL588" s="12"/>
      <c r="AM588" s="7" t="s">
        <v>346</v>
      </c>
      <c r="AN588" s="58"/>
      <c r="AO588" s="58"/>
      <c r="AP588" s="58"/>
      <c r="AQ588" s="58"/>
      <c r="AR588" s="193" t="s">
        <v>520</v>
      </c>
      <c r="AS588" s="194"/>
      <c r="AT588" s="1293"/>
      <c r="AU588" s="1294"/>
      <c r="AV588" s="193" t="s">
        <v>521</v>
      </c>
      <c r="AW588" s="194"/>
      <c r="AX588" s="1293"/>
      <c r="AY588" s="1294"/>
      <c r="AZ588" s="58"/>
      <c r="BA588" s="1567" t="s">
        <v>683</v>
      </c>
      <c r="BB588" s="1568"/>
      <c r="BC588" s="1568"/>
      <c r="BD588" s="1568"/>
      <c r="BE588" s="1569"/>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506</v>
      </c>
      <c r="BV588" s="1299"/>
      <c r="BW588" s="1299"/>
      <c r="BX588" s="1299"/>
      <c r="BY588" s="1299"/>
      <c r="BZ588" s="1299" t="s">
        <v>33</v>
      </c>
      <c r="CA588" s="1299"/>
      <c r="CB588" s="1299"/>
      <c r="CC588" s="1299"/>
      <c r="CD588" s="1299"/>
      <c r="CE588" s="1299" t="s">
        <v>683</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506</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27"/>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347</v>
      </c>
      <c r="AN589" s="58"/>
      <c r="AO589" s="58"/>
      <c r="AP589" s="58"/>
      <c r="AQ589" s="58"/>
      <c r="AR589" s="1254">
        <f t="shared" ref="AR589:AR613" si="0">IF(AND(AD709&lt;=0.5,AD709&gt;=0.36),1,0)</f>
        <v>0</v>
      </c>
      <c r="AS589" s="1255"/>
      <c r="AT589" s="1293">
        <f t="shared" ref="AT589:AT613" si="1">IF(AR589=1,G709,0)</f>
        <v>0</v>
      </c>
      <c r="AU589" s="1294"/>
      <c r="AV589" s="1254">
        <f t="shared" ref="AV589:AV613" si="2">IF(AND(AD709&lt;=0.35,AD709&gt;0),1,0)</f>
        <v>1</v>
      </c>
      <c r="AW589" s="1255"/>
      <c r="AX589" s="1293">
        <f t="shared" ref="AX589:AX613" si="3">IF(AV589=1,G709,0)</f>
        <v>55</v>
      </c>
      <c r="AY589" s="1294"/>
      <c r="AZ589" s="58"/>
      <c r="BA589" s="1293">
        <f t="shared" ref="BA589:BA613" si="4">IF(B709="SRO/Studio",G709,0)</f>
        <v>0</v>
      </c>
      <c r="BB589" s="1295"/>
      <c r="BC589" s="1295"/>
      <c r="BD589" s="1295"/>
      <c r="BE589" s="1294"/>
      <c r="BF589" s="1290">
        <f t="shared" ref="BF589:BF613" si="5">IF(B709="1 Bedroom",G709,0)</f>
        <v>55</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0</v>
      </c>
      <c r="CF589" s="1570"/>
      <c r="CG589" s="1570"/>
      <c r="CH589" s="1570"/>
      <c r="CI589" s="1570"/>
      <c r="CJ589" s="1570">
        <f t="shared" ref="CJ589:CJ613" si="11">IF(AND(B709="1 Bedroom",AD709&lt;=0.3),G709,0)</f>
        <v>55</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5" t="s">
        <v>722</v>
      </c>
      <c r="O590" s="1115"/>
      <c r="P590" s="12"/>
      <c r="Q590" s="12"/>
      <c r="R590" s="12"/>
      <c r="S590" s="12"/>
      <c r="T590" s="35"/>
      <c r="U590" s="12" t="s">
        <v>22</v>
      </c>
      <c r="V590" s="12"/>
      <c r="W590" s="12"/>
      <c r="X590" s="12"/>
      <c r="Y590" s="12"/>
      <c r="Z590" s="12"/>
      <c r="AA590" s="12"/>
      <c r="AB590" s="12"/>
      <c r="AC590" s="12"/>
      <c r="AD590" s="12"/>
      <c r="AE590" s="12"/>
      <c r="AF590" s="12"/>
      <c r="AG590" s="1115" t="s">
        <v>722</v>
      </c>
      <c r="AH590" s="1115"/>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0</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4">
        <f t="shared" si="0"/>
        <v>0</v>
      </c>
      <c r="AS591" s="1255"/>
      <c r="AT591" s="1293">
        <f t="shared" si="1"/>
        <v>0</v>
      </c>
      <c r="AU591" s="1294"/>
      <c r="AV591" s="1254">
        <f t="shared" si="2"/>
        <v>0</v>
      </c>
      <c r="AW591" s="1255"/>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507</v>
      </c>
      <c r="B592" s="12" t="s">
        <v>509</v>
      </c>
      <c r="G592" s="1178">
        <f>C553</f>
        <v>0</v>
      </c>
      <c r="H592" s="1178"/>
      <c r="I592" s="1178"/>
      <c r="J592" s="1178"/>
      <c r="K592" s="1178"/>
      <c r="L592" s="1178"/>
      <c r="M592" s="1178"/>
      <c r="N592" s="1178"/>
      <c r="O592" s="1178"/>
      <c r="P592" s="1178"/>
      <c r="Q592" s="1178"/>
      <c r="R592" s="1178"/>
      <c r="T592" s="87" t="s">
        <v>696</v>
      </c>
      <c r="U592" s="12" t="s">
        <v>509</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4">
        <f t="shared" si="0"/>
        <v>0</v>
      </c>
      <c r="AS593" s="1255"/>
      <c r="AT593" s="1293">
        <f t="shared" si="1"/>
        <v>0</v>
      </c>
      <c r="AU593" s="1294"/>
      <c r="AV593" s="1254">
        <f t="shared" si="2"/>
        <v>0</v>
      </c>
      <c r="AW593" s="1255"/>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630</v>
      </c>
      <c r="G594" s="1086"/>
      <c r="H594" s="1086"/>
      <c r="I594" s="1086"/>
      <c r="J594" s="1086"/>
      <c r="K594" s="1086"/>
      <c r="L594" s="1086"/>
      <c r="M594" s="1086"/>
      <c r="N594" s="1086"/>
      <c r="O594" s="1086"/>
      <c r="P594" s="1086"/>
      <c r="Q594" s="1086"/>
      <c r="R594" s="1086"/>
      <c r="T594" s="35"/>
      <c r="U594" s="12" t="s">
        <v>630</v>
      </c>
      <c r="Z594" s="1085"/>
      <c r="AA594" s="1085"/>
      <c r="AB594" s="1085"/>
      <c r="AC594" s="1085"/>
      <c r="AD594" s="1085"/>
      <c r="AE594" s="1085"/>
      <c r="AF594" s="1085"/>
      <c r="AG594" s="1085"/>
      <c r="AH594" s="1085"/>
      <c r="AI594" s="1085"/>
      <c r="AJ594" s="1085"/>
      <c r="AK594" s="1085"/>
      <c r="AM594" s="58"/>
      <c r="AN594" s="58"/>
      <c r="AO594" s="58"/>
      <c r="AP594" s="58"/>
      <c r="AQ594" s="58"/>
      <c r="AR594" s="1254">
        <f t="shared" si="0"/>
        <v>0</v>
      </c>
      <c r="AS594" s="1255"/>
      <c r="AT594" s="1293">
        <f t="shared" si="1"/>
        <v>0</v>
      </c>
      <c r="AU594" s="1294"/>
      <c r="AV594" s="1254">
        <f t="shared" si="2"/>
        <v>0</v>
      </c>
      <c r="AW594" s="1255"/>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21"/>
      <c r="H596" s="1121"/>
      <c r="I596" s="1121"/>
      <c r="J596" s="1121"/>
      <c r="K596" s="1121"/>
      <c r="L596" s="1121"/>
      <c r="O596" s="140" t="s">
        <v>219</v>
      </c>
      <c r="P596" s="1154"/>
      <c r="Q596" s="1154"/>
      <c r="R596" s="1154"/>
      <c r="T596" s="35"/>
      <c r="U596" s="12" t="s">
        <v>337</v>
      </c>
      <c r="Z596" s="1121"/>
      <c r="AA596" s="1121"/>
      <c r="AB596" s="1121"/>
      <c r="AC596" s="1121"/>
      <c r="AD596" s="1121"/>
      <c r="AE596" s="1121"/>
      <c r="AH596" s="140" t="s">
        <v>219</v>
      </c>
      <c r="AI596" s="1154"/>
      <c r="AJ596" s="1154"/>
      <c r="AK596" s="1154"/>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5" t="s">
        <v>722</v>
      </c>
      <c r="O598" s="1115"/>
      <c r="P598" s="12"/>
      <c r="Q598" s="12"/>
      <c r="R598" s="12"/>
      <c r="S598" s="12"/>
      <c r="T598" s="35"/>
      <c r="U598" s="12" t="s">
        <v>22</v>
      </c>
      <c r="V598" s="12"/>
      <c r="W598" s="12"/>
      <c r="X598" s="12"/>
      <c r="Y598" s="12"/>
      <c r="Z598" s="12"/>
      <c r="AA598" s="12"/>
      <c r="AB598" s="12"/>
      <c r="AC598" s="12"/>
      <c r="AD598" s="12"/>
      <c r="AE598" s="12"/>
      <c r="AF598" s="12"/>
      <c r="AG598" s="1115" t="s">
        <v>722</v>
      </c>
      <c r="AH598" s="1115"/>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385</v>
      </c>
      <c r="B600" s="12" t="s">
        <v>509</v>
      </c>
      <c r="G600" s="1178">
        <f>C555</f>
        <v>0</v>
      </c>
      <c r="H600" s="1178"/>
      <c r="I600" s="1178"/>
      <c r="J600" s="1178"/>
      <c r="K600" s="1178"/>
      <c r="L600" s="1178"/>
      <c r="M600" s="1178"/>
      <c r="N600" s="1178"/>
      <c r="O600" s="1178"/>
      <c r="P600" s="1178"/>
      <c r="Q600" s="1178"/>
      <c r="R600" s="1178"/>
      <c r="T600" s="87" t="s">
        <v>386</v>
      </c>
      <c r="U600" s="12" t="s">
        <v>509</v>
      </c>
      <c r="Z600" s="1178">
        <f>C556</f>
        <v>0</v>
      </c>
      <c r="AA600" s="1178"/>
      <c r="AB600" s="1178"/>
      <c r="AC600" s="1178"/>
      <c r="AD600" s="1178"/>
      <c r="AE600" s="1178"/>
      <c r="AF600" s="1178"/>
      <c r="AG600" s="1178"/>
      <c r="AH600" s="1178"/>
      <c r="AI600" s="1178"/>
      <c r="AJ600" s="1178"/>
      <c r="AK600" s="1178"/>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630</v>
      </c>
      <c r="G602" s="1086"/>
      <c r="H602" s="1086"/>
      <c r="I602" s="1086"/>
      <c r="J602" s="1086"/>
      <c r="K602" s="1086"/>
      <c r="L602" s="1086"/>
      <c r="M602" s="1086"/>
      <c r="N602" s="1086"/>
      <c r="O602" s="1086"/>
      <c r="P602" s="1086"/>
      <c r="Q602" s="1086"/>
      <c r="R602" s="1086"/>
      <c r="U602" s="12" t="s">
        <v>630</v>
      </c>
      <c r="Z602" s="1085"/>
      <c r="AA602" s="1085"/>
      <c r="AB602" s="1085"/>
      <c r="AC602" s="1085"/>
      <c r="AD602" s="1085"/>
      <c r="AE602" s="1085"/>
      <c r="AF602" s="1085"/>
      <c r="AG602" s="1085"/>
      <c r="AH602" s="1085"/>
      <c r="AI602" s="1085"/>
      <c r="AJ602" s="1085"/>
      <c r="AK602" s="1085"/>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1"/>
      <c r="H604" s="1121"/>
      <c r="I604" s="1121"/>
      <c r="J604" s="1121"/>
      <c r="K604" s="1121"/>
      <c r="L604" s="1121"/>
      <c r="O604" s="140" t="s">
        <v>219</v>
      </c>
      <c r="P604" s="1154"/>
      <c r="Q604" s="1154"/>
      <c r="R604" s="1154"/>
      <c r="U604" s="12" t="s">
        <v>337</v>
      </c>
      <c r="Z604" s="1121"/>
      <c r="AA604" s="1121"/>
      <c r="AB604" s="1121"/>
      <c r="AC604" s="1121"/>
      <c r="AD604" s="1121"/>
      <c r="AE604" s="1121"/>
      <c r="AH604" s="140" t="s">
        <v>219</v>
      </c>
      <c r="AI604" s="1154"/>
      <c r="AJ604" s="1154"/>
      <c r="AK604" s="1154"/>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5" t="s">
        <v>722</v>
      </c>
      <c r="O606" s="1115"/>
      <c r="U606" s="12" t="s">
        <v>22</v>
      </c>
      <c r="AG606" s="1115" t="s">
        <v>722</v>
      </c>
      <c r="AH606" s="1115"/>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7" t="s">
        <v>590</v>
      </c>
      <c r="B608" s="1307"/>
      <c r="C608" s="1307"/>
      <c r="D608" s="1307"/>
      <c r="E608" s="1307"/>
      <c r="F608" s="1307"/>
      <c r="G608" s="1307"/>
      <c r="H608" s="1307"/>
      <c r="I608" s="1307"/>
      <c r="J608" s="1307"/>
      <c r="K608" s="1307"/>
      <c r="L608" s="1307"/>
      <c r="M608" s="1307"/>
      <c r="N608" s="1307"/>
      <c r="O608" s="1307"/>
      <c r="P608" s="1307"/>
      <c r="Q608" s="1307"/>
      <c r="R608" s="1307"/>
      <c r="S608" s="1307"/>
      <c r="T608" s="1307"/>
      <c r="U608" s="1307"/>
      <c r="V608" s="1307"/>
      <c r="W608" s="1307"/>
      <c r="X608" s="1307"/>
      <c r="Y608" s="1307"/>
      <c r="Z608" s="1307"/>
      <c r="AA608" s="1307"/>
      <c r="AB608" s="1307"/>
      <c r="AC608" s="1307"/>
      <c r="AD608" s="1307"/>
      <c r="AE608" s="1307"/>
      <c r="AF608" s="1307"/>
      <c r="AG608" s="1307"/>
      <c r="AH608" s="1307"/>
      <c r="AI608" s="1307"/>
      <c r="AJ608" s="1307"/>
      <c r="AK608" s="1307"/>
      <c r="AL608" s="1307"/>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0</v>
      </c>
      <c r="AU614" s="1255"/>
      <c r="AV614" s="58"/>
      <c r="AW614" s="58"/>
      <c r="AX614" s="1254">
        <f>SUM(AX589:AY613)</f>
        <v>55</v>
      </c>
      <c r="AY614" s="1255"/>
      <c r="AZ614" s="58"/>
      <c r="BA614" s="1254">
        <f>SUM(BA589:BE613)</f>
        <v>0</v>
      </c>
      <c r="BB614" s="1291"/>
      <c r="BC614" s="1291"/>
      <c r="BD614" s="1291"/>
      <c r="BE614" s="1255"/>
      <c r="BF614" s="1292">
        <f>SUM(BF589:BJ613)</f>
        <v>55</v>
      </c>
      <c r="BG614" s="1292"/>
      <c r="BH614" s="1292"/>
      <c r="BI614" s="1292"/>
      <c r="BJ614" s="1292"/>
      <c r="BK614" s="1292">
        <f>SUM(BK589:BO613)</f>
        <v>0</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55</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1" t="s">
        <v>497</v>
      </c>
      <c r="C615" s="1362"/>
      <c r="D615" s="1362"/>
      <c r="E615" s="1362"/>
      <c r="F615" s="1362"/>
      <c r="G615" s="1362"/>
      <c r="H615" s="1362"/>
      <c r="I615" s="1362"/>
      <c r="J615" s="1362"/>
      <c r="K615" s="1362"/>
      <c r="L615" s="1362"/>
      <c r="M615" s="1362"/>
      <c r="N615" s="1362"/>
      <c r="O615" s="1363"/>
      <c r="P615" s="1370" t="s">
        <v>345</v>
      </c>
      <c r="Q615" s="1371"/>
      <c r="R615" s="1372"/>
      <c r="S615" s="1281" t="s">
        <v>498</v>
      </c>
      <c r="T615" s="1282"/>
      <c r="U615" s="1283"/>
      <c r="V615" s="1146" t="s">
        <v>18</v>
      </c>
      <c r="W615" s="1146"/>
      <c r="X615" s="1146"/>
      <c r="Y615" s="1146"/>
      <c r="Z615" s="1146"/>
      <c r="AA615" s="1146"/>
      <c r="AB615" s="1146" t="s">
        <v>17</v>
      </c>
      <c r="AC615" s="1146"/>
      <c r="AD615" s="1146"/>
      <c r="AE615" s="1146"/>
      <c r="AF615" s="1146"/>
      <c r="AG615" s="1146" t="s">
        <v>499</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4"/>
      <c r="C616" s="1365"/>
      <c r="D616" s="1365"/>
      <c r="E616" s="1365"/>
      <c r="F616" s="1365"/>
      <c r="G616" s="1365"/>
      <c r="H616" s="1365"/>
      <c r="I616" s="1365"/>
      <c r="J616" s="1365"/>
      <c r="K616" s="1365"/>
      <c r="L616" s="1365"/>
      <c r="M616" s="1365"/>
      <c r="N616" s="1365"/>
      <c r="O616" s="1366"/>
      <c r="P616" s="1373"/>
      <c r="Q616" s="1374"/>
      <c r="R616" s="1375"/>
      <c r="S616" s="1284"/>
      <c r="T616" s="1285"/>
      <c r="U616" s="1286"/>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7"/>
      <c r="C617" s="1368"/>
      <c r="D617" s="1368"/>
      <c r="E617" s="1368"/>
      <c r="F617" s="1368"/>
      <c r="G617" s="1368"/>
      <c r="H617" s="1368"/>
      <c r="I617" s="1368"/>
      <c r="J617" s="1368"/>
      <c r="K617" s="1368"/>
      <c r="L617" s="1368"/>
      <c r="M617" s="1368"/>
      <c r="N617" s="1368"/>
      <c r="O617" s="1369"/>
      <c r="P617" s="1376"/>
      <c r="Q617" s="1377"/>
      <c r="R617" s="1378"/>
      <c r="S617" s="1287"/>
      <c r="T617" s="1288"/>
      <c r="U617" s="1289"/>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26" t="s">
        <v>1780</v>
      </c>
      <c r="D618" s="1359"/>
      <c r="E618" s="1359"/>
      <c r="F618" s="1359"/>
      <c r="G618" s="1359"/>
      <c r="H618" s="1359"/>
      <c r="I618" s="1359"/>
      <c r="J618" s="1359"/>
      <c r="K618" s="1359"/>
      <c r="L618" s="1359"/>
      <c r="M618" s="1359"/>
      <c r="N618" s="1359"/>
      <c r="O618" s="1360"/>
      <c r="P618" s="1117">
        <f>35*12</f>
        <v>420</v>
      </c>
      <c r="Q618" s="1118"/>
      <c r="R618" s="1119"/>
      <c r="S618" s="1271">
        <v>4.2500000000000003E-2</v>
      </c>
      <c r="T618" s="1132"/>
      <c r="U618" s="1133"/>
      <c r="V618" s="1117"/>
      <c r="W618" s="1118"/>
      <c r="X618" s="1118"/>
      <c r="Y618" s="1118"/>
      <c r="Z618" s="1118"/>
      <c r="AA618" s="1119"/>
      <c r="AB618" s="1145">
        <v>484415</v>
      </c>
      <c r="AC618" s="1145"/>
      <c r="AD618" s="1145"/>
      <c r="AE618" s="1145"/>
      <c r="AF618" s="1145"/>
      <c r="AG618" s="1145">
        <v>8816000</v>
      </c>
      <c r="AH618" s="1145"/>
      <c r="AI618" s="1145"/>
      <c r="AJ618" s="1145"/>
      <c r="AK618" s="1145"/>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26" t="s">
        <v>1786</v>
      </c>
      <c r="D619" s="1154"/>
      <c r="E619" s="1154"/>
      <c r="F619" s="1154"/>
      <c r="G619" s="1154"/>
      <c r="H619" s="1154"/>
      <c r="I619" s="1154"/>
      <c r="J619" s="1154"/>
      <c r="K619" s="1154"/>
      <c r="L619" s="1154"/>
      <c r="M619" s="1154"/>
      <c r="N619" s="1154"/>
      <c r="O619" s="1179"/>
      <c r="P619" s="1117">
        <f>55*12</f>
        <v>660</v>
      </c>
      <c r="Q619" s="1118"/>
      <c r="R619" s="1119"/>
      <c r="S619" s="1271">
        <v>0.03</v>
      </c>
      <c r="T619" s="1132"/>
      <c r="U619" s="1133"/>
      <c r="V619" s="1117" t="s">
        <v>503</v>
      </c>
      <c r="W619" s="1118"/>
      <c r="X619" s="1118"/>
      <c r="Y619" s="1118"/>
      <c r="Z619" s="1118"/>
      <c r="AA619" s="1119"/>
      <c r="AB619" s="1145"/>
      <c r="AC619" s="1145"/>
      <c r="AD619" s="1145"/>
      <c r="AE619" s="1145"/>
      <c r="AF619" s="1145"/>
      <c r="AG619" s="1145">
        <v>2000000</v>
      </c>
      <c r="AH619" s="1145"/>
      <c r="AI619" s="1145"/>
      <c r="AJ619" s="1145"/>
      <c r="AK619" s="1145"/>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26" t="s">
        <v>1788</v>
      </c>
      <c r="D620" s="1154"/>
      <c r="E620" s="1154"/>
      <c r="F620" s="1154"/>
      <c r="G620" s="1154"/>
      <c r="H620" s="1154"/>
      <c r="I620" s="1154"/>
      <c r="J620" s="1154"/>
      <c r="K620" s="1154"/>
      <c r="L620" s="1154"/>
      <c r="M620" s="1154"/>
      <c r="N620" s="1154"/>
      <c r="O620" s="1179"/>
      <c r="P620" s="1117">
        <f>55*12</f>
        <v>660</v>
      </c>
      <c r="Q620" s="1118"/>
      <c r="R620" s="1119"/>
      <c r="S620" s="1271">
        <v>0.03</v>
      </c>
      <c r="T620" s="1132"/>
      <c r="U620" s="1133"/>
      <c r="V620" s="1117" t="s">
        <v>503</v>
      </c>
      <c r="W620" s="1118"/>
      <c r="X620" s="1118"/>
      <c r="Y620" s="1118"/>
      <c r="Z620" s="1118"/>
      <c r="AA620" s="1119"/>
      <c r="AB620" s="1145"/>
      <c r="AC620" s="1145"/>
      <c r="AD620" s="1145"/>
      <c r="AE620" s="1145"/>
      <c r="AF620" s="1145"/>
      <c r="AG620" s="1145">
        <v>12100000</v>
      </c>
      <c r="AH620" s="1145"/>
      <c r="AI620" s="1145"/>
      <c r="AJ620" s="1145"/>
      <c r="AK620" s="1145"/>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631</v>
      </c>
      <c r="C621" s="1126" t="s">
        <v>1787</v>
      </c>
      <c r="D621" s="1154"/>
      <c r="E621" s="1154"/>
      <c r="F621" s="1154"/>
      <c r="G621" s="1154"/>
      <c r="H621" s="1154"/>
      <c r="I621" s="1154"/>
      <c r="J621" s="1154"/>
      <c r="K621" s="1154"/>
      <c r="L621" s="1154"/>
      <c r="M621" s="1154"/>
      <c r="N621" s="1154"/>
      <c r="O621" s="1179"/>
      <c r="P621" s="1117"/>
      <c r="Q621" s="1118"/>
      <c r="R621" s="1119"/>
      <c r="S621" s="1271"/>
      <c r="T621" s="1132"/>
      <c r="U621" s="1133"/>
      <c r="V621" s="1117"/>
      <c r="W621" s="1118"/>
      <c r="X621" s="1118"/>
      <c r="Y621" s="1118"/>
      <c r="Z621" s="1118"/>
      <c r="AA621" s="1119"/>
      <c r="AB621" s="1145"/>
      <c r="AC621" s="1145"/>
      <c r="AD621" s="1145"/>
      <c r="AE621" s="1145"/>
      <c r="AF621" s="1145"/>
      <c r="AG621" s="1145">
        <v>945131.45</v>
      </c>
      <c r="AH621" s="1145"/>
      <c r="AI621" s="1145"/>
      <c r="AJ621" s="1145"/>
      <c r="AK621" s="1145"/>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841</v>
      </c>
      <c r="C622" s="1126"/>
      <c r="D622" s="1154"/>
      <c r="E622" s="1154"/>
      <c r="F622" s="1154"/>
      <c r="G622" s="1154"/>
      <c r="H622" s="1154"/>
      <c r="I622" s="1154"/>
      <c r="J622" s="1154"/>
      <c r="K622" s="1154"/>
      <c r="L622" s="1154"/>
      <c r="M622" s="1154"/>
      <c r="N622" s="1154"/>
      <c r="O622" s="1179"/>
      <c r="P622" s="1117"/>
      <c r="Q622" s="1118"/>
      <c r="R622" s="1119"/>
      <c r="S622" s="1271"/>
      <c r="T622" s="1132"/>
      <c r="U622" s="1133"/>
      <c r="V622" s="1117"/>
      <c r="W622" s="1118"/>
      <c r="X622" s="1118"/>
      <c r="Y622" s="1118"/>
      <c r="Z622" s="1118"/>
      <c r="AA622" s="1119"/>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26"/>
      <c r="D623" s="1154"/>
      <c r="E623" s="1154"/>
      <c r="F623" s="1154"/>
      <c r="G623" s="1154"/>
      <c r="H623" s="1154"/>
      <c r="I623" s="1154"/>
      <c r="J623" s="1154"/>
      <c r="K623" s="1154"/>
      <c r="L623" s="1154"/>
      <c r="M623" s="1154"/>
      <c r="N623" s="1154"/>
      <c r="O623" s="1179"/>
      <c r="P623" s="1117"/>
      <c r="Q623" s="1118"/>
      <c r="R623" s="1119"/>
      <c r="S623" s="1271"/>
      <c r="T623" s="1132"/>
      <c r="U623" s="1133"/>
      <c r="V623" s="1117"/>
      <c r="W623" s="1118"/>
      <c r="X623" s="1118"/>
      <c r="Y623" s="1118"/>
      <c r="Z623" s="1118"/>
      <c r="AA623" s="1119"/>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179"/>
      <c r="P624" s="1117"/>
      <c r="Q624" s="1118"/>
      <c r="R624" s="1119"/>
      <c r="S624" s="1271"/>
      <c r="T624" s="1132"/>
      <c r="U624" s="1133"/>
      <c r="V624" s="1117"/>
      <c r="W624" s="1118"/>
      <c r="X624" s="1118"/>
      <c r="Y624" s="1118"/>
      <c r="Z624" s="1118"/>
      <c r="AA624" s="1119"/>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179"/>
      <c r="P625" s="1117"/>
      <c r="Q625" s="1118"/>
      <c r="R625" s="1119"/>
      <c r="S625" s="1271"/>
      <c r="T625" s="1132"/>
      <c r="U625" s="1133"/>
      <c r="V625" s="1117"/>
      <c r="W625" s="1118"/>
      <c r="X625" s="1118"/>
      <c r="Y625" s="1118"/>
      <c r="Z625" s="1118"/>
      <c r="AA625" s="1119"/>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179"/>
      <c r="P626" s="1117"/>
      <c r="Q626" s="1118"/>
      <c r="R626" s="1119"/>
      <c r="S626" s="1271"/>
      <c r="T626" s="1132"/>
      <c r="U626" s="1133"/>
      <c r="V626" s="1117"/>
      <c r="W626" s="1118"/>
      <c r="X626" s="1118"/>
      <c r="Y626" s="1118"/>
      <c r="Z626" s="1118"/>
      <c r="AA626" s="1119"/>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179"/>
      <c r="P627" s="1117"/>
      <c r="Q627" s="1118"/>
      <c r="R627" s="1119"/>
      <c r="S627" s="1271"/>
      <c r="T627" s="1132"/>
      <c r="U627" s="1133"/>
      <c r="V627" s="1117"/>
      <c r="W627" s="1118"/>
      <c r="X627" s="1118"/>
      <c r="Y627" s="1118"/>
      <c r="Z627" s="1118"/>
      <c r="AA627" s="1119"/>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9"/>
      <c r="P628" s="1117"/>
      <c r="Q628" s="1118"/>
      <c r="R628" s="1119"/>
      <c r="S628" s="1271"/>
      <c r="T628" s="1132"/>
      <c r="U628" s="1133"/>
      <c r="V628" s="1117"/>
      <c r="W628" s="1118"/>
      <c r="X628" s="1118"/>
      <c r="Y628" s="1118"/>
      <c r="Z628" s="1118"/>
      <c r="AA628" s="1119"/>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386</v>
      </c>
      <c r="C629" s="1126"/>
      <c r="D629" s="1154"/>
      <c r="E629" s="1154"/>
      <c r="F629" s="1154"/>
      <c r="G629" s="1154"/>
      <c r="H629" s="1154"/>
      <c r="I629" s="1154"/>
      <c r="J629" s="1154"/>
      <c r="K629" s="1154"/>
      <c r="L629" s="1154"/>
      <c r="M629" s="1154"/>
      <c r="N629" s="1154"/>
      <c r="O629" s="1179"/>
      <c r="P629" s="1117"/>
      <c r="Q629" s="1118"/>
      <c r="R629" s="1119"/>
      <c r="S629" s="1271"/>
      <c r="T629" s="1132"/>
      <c r="U629" s="1133"/>
      <c r="V629" s="1117"/>
      <c r="W629" s="1118"/>
      <c r="X629" s="1118"/>
      <c r="Y629" s="1118"/>
      <c r="Z629" s="1118"/>
      <c r="AA629" s="1119"/>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15">
        <f>SUM(AG618:AJ629)</f>
        <v>23861131.449999999</v>
      </c>
      <c r="AH630" s="1216"/>
      <c r="AI630" s="1216"/>
      <c r="AJ630" s="1216"/>
      <c r="AK630" s="1217"/>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4" t="s">
        <v>282</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03">
        <v>8070411</v>
      </c>
      <c r="AH631" s="1204"/>
      <c r="AI631" s="1204"/>
      <c r="AJ631" s="1204"/>
      <c r="AK631" s="1205"/>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4" t="s">
        <v>283</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15">
        <f>AG630+AG631</f>
        <v>31931542.449999999</v>
      </c>
      <c r="AH632" s="1216"/>
      <c r="AI632" s="1216"/>
      <c r="AJ632" s="1216"/>
      <c r="AK632" s="1217"/>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509</v>
      </c>
      <c r="G634" s="1178" t="str">
        <f>C618</f>
        <v>Citibank, N.A. Permanent Loan</v>
      </c>
      <c r="H634" s="1178"/>
      <c r="I634" s="1178"/>
      <c r="J634" s="1178"/>
      <c r="K634" s="1178"/>
      <c r="L634" s="1178"/>
      <c r="M634" s="1178"/>
      <c r="N634" s="1178"/>
      <c r="O634" s="1178"/>
      <c r="P634" s="1178"/>
      <c r="Q634" s="1178"/>
      <c r="R634" s="1178"/>
      <c r="S634" s="14"/>
      <c r="T634" s="87" t="s">
        <v>120</v>
      </c>
      <c r="U634" s="12" t="s">
        <v>509</v>
      </c>
      <c r="Z634" s="1178" t="str">
        <f>C619</f>
        <v>LACDA Affordable Housing Funds</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7" t="s">
        <v>1783</v>
      </c>
      <c r="H635" s="1086"/>
      <c r="I635" s="1086"/>
      <c r="J635" s="1086"/>
      <c r="K635" s="1086"/>
      <c r="L635" s="1086"/>
      <c r="M635" s="1086"/>
      <c r="N635" s="1086"/>
      <c r="O635" s="1086"/>
      <c r="P635" s="1086"/>
      <c r="Q635" s="1086"/>
      <c r="R635" s="1086"/>
      <c r="S635" s="14"/>
      <c r="T635" s="35"/>
      <c r="U635" s="12" t="s">
        <v>92</v>
      </c>
      <c r="Z635" s="1127" t="s">
        <v>1764</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55</v>
      </c>
      <c r="BG635" s="1297"/>
      <c r="BH635" s="1297"/>
      <c r="BI635" s="1297"/>
      <c r="BJ635" s="1298"/>
      <c r="BK635" s="1296">
        <f>BK614+BK621+BK633</f>
        <v>1</v>
      </c>
      <c r="BL635" s="1297"/>
      <c r="BM635" s="1297"/>
      <c r="BN635" s="1297"/>
      <c r="BO635" s="1298"/>
      <c r="BP635" s="1296">
        <f>BP614+BP621+BP633</f>
        <v>0</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630</v>
      </c>
      <c r="G636" s="1127" t="s">
        <v>540</v>
      </c>
      <c r="H636" s="1086"/>
      <c r="I636" s="1086"/>
      <c r="J636" s="1086"/>
      <c r="K636" s="1086"/>
      <c r="L636" s="1086"/>
      <c r="M636" s="1086"/>
      <c r="N636" s="1086"/>
      <c r="O636" s="1086"/>
      <c r="P636" s="1086"/>
      <c r="Q636" s="1086"/>
      <c r="R636" s="1086"/>
      <c r="S636" s="88"/>
      <c r="T636" s="35"/>
      <c r="U636" s="12" t="s">
        <v>630</v>
      </c>
      <c r="Z636" s="1126" t="s">
        <v>1765</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7" t="s">
        <v>1781</v>
      </c>
      <c r="H637" s="1086"/>
      <c r="I637" s="1086"/>
      <c r="J637" s="1086"/>
      <c r="K637" s="1086"/>
      <c r="L637" s="1086"/>
      <c r="M637" s="1086"/>
      <c r="N637" s="1086"/>
      <c r="O637" s="1086"/>
      <c r="P637" s="1086"/>
      <c r="Q637" s="1086"/>
      <c r="R637" s="1086"/>
      <c r="S637" s="14"/>
      <c r="T637" s="35"/>
      <c r="U637" s="12" t="s">
        <v>19</v>
      </c>
      <c r="Z637" s="1126" t="s">
        <v>1766</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60" t="s">
        <v>1782</v>
      </c>
      <c r="H638" s="1121"/>
      <c r="I638" s="1121"/>
      <c r="J638" s="1121"/>
      <c r="K638" s="1121"/>
      <c r="L638" s="1121"/>
      <c r="O638" s="140" t="s">
        <v>219</v>
      </c>
      <c r="P638" s="1154"/>
      <c r="Q638" s="1154"/>
      <c r="R638" s="1154"/>
      <c r="S638" s="16"/>
      <c r="T638" s="35"/>
      <c r="U638" s="12" t="s">
        <v>337</v>
      </c>
      <c r="Z638" s="1121" t="s">
        <v>1767</v>
      </c>
      <c r="AA638" s="1121"/>
      <c r="AB638" s="1121"/>
      <c r="AC638" s="1121"/>
      <c r="AD638" s="1121"/>
      <c r="AE638" s="1121"/>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7" t="s">
        <v>1784</v>
      </c>
      <c r="I639" s="1086"/>
      <c r="J639" s="1086"/>
      <c r="K639" s="1086"/>
      <c r="L639" s="1086"/>
      <c r="M639" s="1086"/>
      <c r="N639" s="1086"/>
      <c r="O639" s="1086"/>
      <c r="P639" s="1086"/>
      <c r="Q639" s="1086"/>
      <c r="R639" s="1086"/>
      <c r="S639" s="14"/>
      <c r="T639" s="35"/>
      <c r="U639" s="12" t="s">
        <v>20</v>
      </c>
      <c r="AA639" s="1127" t="s">
        <v>1773</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591</v>
      </c>
      <c r="O640" s="1115"/>
      <c r="T640" s="35"/>
      <c r="U640" s="12" t="s">
        <v>22</v>
      </c>
      <c r="AG640" s="1115" t="s">
        <v>591</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8" t="str">
        <f>C620</f>
        <v>City of Los Angeles HHH</v>
      </c>
      <c r="H642" s="1178"/>
      <c r="I642" s="1178"/>
      <c r="J642" s="1178"/>
      <c r="K642" s="1178"/>
      <c r="L642" s="1178"/>
      <c r="M642" s="1178"/>
      <c r="N642" s="1178"/>
      <c r="O642" s="1178"/>
      <c r="P642" s="1178"/>
      <c r="Q642" s="1178"/>
      <c r="R642" s="1178"/>
      <c r="T642" s="87" t="s">
        <v>631</v>
      </c>
      <c r="U642" s="12" t="s">
        <v>509</v>
      </c>
      <c r="Z642" s="1178" t="str">
        <f>C621</f>
        <v>General Partner Equity</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7" t="s">
        <v>1768</v>
      </c>
      <c r="H643" s="1086"/>
      <c r="I643" s="1086"/>
      <c r="J643" s="1086"/>
      <c r="K643" s="1086"/>
      <c r="L643" s="1086"/>
      <c r="M643" s="1086"/>
      <c r="N643" s="1086"/>
      <c r="O643" s="1086"/>
      <c r="P643" s="1086"/>
      <c r="Q643" s="1086"/>
      <c r="R643" s="1086"/>
      <c r="T643" s="35"/>
      <c r="U643" s="12" t="s">
        <v>92</v>
      </c>
      <c r="Z643" s="1127" t="s">
        <v>1655</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6" t="s">
        <v>540</v>
      </c>
      <c r="H644" s="1085"/>
      <c r="I644" s="1085"/>
      <c r="J644" s="1085"/>
      <c r="K644" s="1085"/>
      <c r="L644" s="1085"/>
      <c r="M644" s="1085"/>
      <c r="N644" s="1085"/>
      <c r="O644" s="1085"/>
      <c r="P644" s="1085"/>
      <c r="Q644" s="1085"/>
      <c r="R644" s="1085"/>
      <c r="T644" s="35"/>
      <c r="U644" s="12" t="s">
        <v>630</v>
      </c>
      <c r="Z644" s="1126" t="s">
        <v>1656</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6" t="s">
        <v>1774</v>
      </c>
      <c r="H645" s="1085"/>
      <c r="I645" s="1085"/>
      <c r="J645" s="1085"/>
      <c r="K645" s="1085"/>
      <c r="L645" s="1085"/>
      <c r="M645" s="1085"/>
      <c r="N645" s="1085"/>
      <c r="O645" s="1085"/>
      <c r="P645" s="1085"/>
      <c r="Q645" s="1085"/>
      <c r="R645" s="1085"/>
      <c r="T645" s="35"/>
      <c r="U645" s="12" t="s">
        <v>19</v>
      </c>
      <c r="Z645" s="1126" t="s">
        <v>1769</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60" t="s">
        <v>1775</v>
      </c>
      <c r="H646" s="1121"/>
      <c r="I646" s="1121"/>
      <c r="J646" s="1121"/>
      <c r="K646" s="1121"/>
      <c r="L646" s="1121"/>
      <c r="O646" s="140" t="s">
        <v>219</v>
      </c>
      <c r="P646" s="1154"/>
      <c r="Q646" s="1154"/>
      <c r="R646" s="1154"/>
      <c r="T646" s="35"/>
      <c r="U646" s="12" t="s">
        <v>337</v>
      </c>
      <c r="Z646" s="1160" t="s">
        <v>1770</v>
      </c>
      <c r="AA646" s="1121"/>
      <c r="AB646" s="1121"/>
      <c r="AC646" s="1121"/>
      <c r="AD646" s="1121"/>
      <c r="AE646" s="1121"/>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7" t="s">
        <v>1773</v>
      </c>
      <c r="I647" s="1086"/>
      <c r="J647" s="1086"/>
      <c r="K647" s="1086"/>
      <c r="L647" s="1086"/>
      <c r="M647" s="1086"/>
      <c r="N647" s="1086"/>
      <c r="O647" s="1086"/>
      <c r="P647" s="1086"/>
      <c r="Q647" s="1086"/>
      <c r="R647" s="1086"/>
      <c r="T647" s="35"/>
      <c r="U647" s="12" t="s">
        <v>20</v>
      </c>
      <c r="AA647" s="1127" t="s">
        <v>1771</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591</v>
      </c>
      <c r="O648" s="1115"/>
      <c r="T648" s="35"/>
      <c r="U648" s="12" t="s">
        <v>22</v>
      </c>
      <c r="AG648" s="1115" t="s">
        <v>591</v>
      </c>
      <c r="AH648" s="111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8">
        <f>C622</f>
        <v>0</v>
      </c>
      <c r="H650" s="1178"/>
      <c r="I650" s="1178"/>
      <c r="J650" s="1178"/>
      <c r="K650" s="1178"/>
      <c r="L650" s="1178"/>
      <c r="M650" s="1178"/>
      <c r="N650" s="1178"/>
      <c r="O650" s="1178"/>
      <c r="P650" s="1178"/>
      <c r="Q650" s="1178"/>
      <c r="R650" s="1178"/>
      <c r="T650" s="87" t="s">
        <v>634</v>
      </c>
      <c r="U650" s="12" t="s">
        <v>509</v>
      </c>
      <c r="Z650" s="1178">
        <f>C623</f>
        <v>0</v>
      </c>
      <c r="AA650" s="1178"/>
      <c r="AB650" s="1178"/>
      <c r="AC650" s="1178"/>
      <c r="AD650" s="1178"/>
      <c r="AE650" s="1178"/>
      <c r="AF650" s="1178"/>
      <c r="AG650" s="1178"/>
      <c r="AH650" s="1178"/>
      <c r="AI650" s="1178"/>
      <c r="AJ650" s="1178"/>
      <c r="AK650" s="1178"/>
      <c r="AM650" s="58"/>
      <c r="AN650" s="463" t="str">
        <f t="shared" si="22"/>
        <v>N/A</v>
      </c>
      <c r="AO650" s="58"/>
      <c r="AP650" s="58"/>
      <c r="AQ650" s="58"/>
      <c r="AR650" s="58"/>
      <c r="AS650" s="399"/>
      <c r="AT650" s="473">
        <f t="shared" ref="AT650:AT674" si="23">G709</f>
        <v>55</v>
      </c>
      <c r="AU650" s="477">
        <f>AT650/$AT$675</f>
        <v>1</v>
      </c>
      <c r="AV650" s="478">
        <f t="shared" ref="AV650:AV674" si="24">IF(AU650=0," ",AU650*AD709)</f>
        <v>0.3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7"/>
      <c r="H651" s="1086"/>
      <c r="I651" s="1086"/>
      <c r="J651" s="1086"/>
      <c r="K651" s="1086"/>
      <c r="L651" s="1086"/>
      <c r="M651" s="1086"/>
      <c r="N651" s="1086"/>
      <c r="O651" s="1086"/>
      <c r="P651" s="1086"/>
      <c r="Q651" s="1086"/>
      <c r="R651" s="1086"/>
      <c r="T651" s="35"/>
      <c r="U651" s="12" t="s">
        <v>92</v>
      </c>
      <c r="Z651" s="1127"/>
      <c r="AA651" s="1086"/>
      <c r="AB651" s="1086"/>
      <c r="AC651" s="1086"/>
      <c r="AD651" s="1086"/>
      <c r="AE651" s="1086"/>
      <c r="AF651" s="1086"/>
      <c r="AG651" s="1086"/>
      <c r="AH651" s="1086"/>
      <c r="AI651" s="1086"/>
      <c r="AJ651" s="1086"/>
      <c r="AK651" s="1086"/>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26"/>
      <c r="H652" s="1085"/>
      <c r="I652" s="1085"/>
      <c r="J652" s="1085"/>
      <c r="K652" s="1085"/>
      <c r="L652" s="1085"/>
      <c r="M652" s="1085"/>
      <c r="N652" s="1085"/>
      <c r="O652" s="1085"/>
      <c r="P652" s="1085"/>
      <c r="Q652" s="1085"/>
      <c r="R652" s="1085"/>
      <c r="T652" s="35"/>
      <c r="U652" s="12" t="s">
        <v>630</v>
      </c>
      <c r="Z652" s="1126"/>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6"/>
      <c r="H653" s="1085"/>
      <c r="I653" s="1085"/>
      <c r="J653" s="1085"/>
      <c r="K653" s="1085"/>
      <c r="L653" s="1085"/>
      <c r="M653" s="1085"/>
      <c r="N653" s="1085"/>
      <c r="O653" s="1085"/>
      <c r="P653" s="1085"/>
      <c r="Q653" s="1085"/>
      <c r="R653" s="1085"/>
      <c r="T653" s="35"/>
      <c r="U653" s="12" t="s">
        <v>19</v>
      </c>
      <c r="Z653" s="1126"/>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1"/>
      <c r="H654" s="1121"/>
      <c r="I654" s="1121"/>
      <c r="J654" s="1121"/>
      <c r="K654" s="1121"/>
      <c r="L654" s="1121"/>
      <c r="O654" s="140" t="s">
        <v>219</v>
      </c>
      <c r="P654" s="1154"/>
      <c r="Q654" s="1154"/>
      <c r="R654" s="1154"/>
      <c r="T654" s="35"/>
      <c r="U654" s="12" t="s">
        <v>337</v>
      </c>
      <c r="Z654" s="1160"/>
      <c r="AA654" s="1121"/>
      <c r="AB654" s="1121"/>
      <c r="AC654" s="1121"/>
      <c r="AD654" s="1121"/>
      <c r="AE654" s="1121"/>
      <c r="AH654" s="140" t="s">
        <v>219</v>
      </c>
      <c r="AI654" s="1154"/>
      <c r="AJ654" s="1154"/>
      <c r="AK654" s="1154"/>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7"/>
      <c r="I655" s="1086"/>
      <c r="J655" s="1086"/>
      <c r="K655" s="1086"/>
      <c r="L655" s="1086"/>
      <c r="M655" s="1086"/>
      <c r="N655" s="1086"/>
      <c r="O655" s="1086"/>
      <c r="P655" s="1086"/>
      <c r="Q655" s="1086"/>
      <c r="R655" s="1086"/>
      <c r="T655" s="35"/>
      <c r="U655" s="12" t="s">
        <v>20</v>
      </c>
      <c r="AA655" s="1127"/>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722</v>
      </c>
      <c r="O656" s="1115"/>
      <c r="T656" s="35"/>
      <c r="U656" s="12" t="s">
        <v>22</v>
      </c>
      <c r="AG656" s="1115" t="s">
        <v>722</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8">
        <f>C624</f>
        <v>0</v>
      </c>
      <c r="H658" s="1178"/>
      <c r="I658" s="1178"/>
      <c r="J658" s="1178"/>
      <c r="K658" s="1178"/>
      <c r="L658" s="1178"/>
      <c r="M658" s="1178"/>
      <c r="N658" s="1178"/>
      <c r="O658" s="1178"/>
      <c r="P658" s="1178"/>
      <c r="Q658" s="1178"/>
      <c r="R658" s="1178"/>
      <c r="T658" s="87" t="s">
        <v>501</v>
      </c>
      <c r="U658" s="12" t="s">
        <v>509</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6"/>
      <c r="H660" s="1086"/>
      <c r="I660" s="1086"/>
      <c r="J660" s="1086"/>
      <c r="K660" s="1086"/>
      <c r="L660" s="1086"/>
      <c r="M660" s="1086"/>
      <c r="N660" s="1086"/>
      <c r="O660" s="1086"/>
      <c r="P660" s="1086"/>
      <c r="Q660" s="1086"/>
      <c r="R660" s="1086"/>
      <c r="T660" s="35"/>
      <c r="U660" s="12" t="s">
        <v>630</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1"/>
      <c r="H662" s="1121"/>
      <c r="I662" s="1121"/>
      <c r="J662" s="1121"/>
      <c r="K662" s="1121"/>
      <c r="L662" s="1121"/>
      <c r="O662" s="140" t="s">
        <v>219</v>
      </c>
      <c r="P662" s="1154"/>
      <c r="Q662" s="1154"/>
      <c r="R662" s="1154"/>
      <c r="T662" s="35"/>
      <c r="U662" s="12" t="s">
        <v>337</v>
      </c>
      <c r="Z662" s="1121"/>
      <c r="AA662" s="1121"/>
      <c r="AB662" s="1121"/>
      <c r="AC662" s="1121"/>
      <c r="AD662" s="1121"/>
      <c r="AE662" s="1121"/>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722</v>
      </c>
      <c r="O664" s="1115"/>
      <c r="T664" s="35"/>
      <c r="U664" s="12" t="s">
        <v>22</v>
      </c>
      <c r="AG664" s="1115" t="s">
        <v>722</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8">
        <f>C626</f>
        <v>0</v>
      </c>
      <c r="H666" s="1178"/>
      <c r="I666" s="1178"/>
      <c r="J666" s="1178"/>
      <c r="K666" s="1178"/>
      <c r="L666" s="1178"/>
      <c r="M666" s="1178"/>
      <c r="N666" s="1178"/>
      <c r="O666" s="1178"/>
      <c r="P666" s="1178"/>
      <c r="Q666" s="1178"/>
      <c r="R666" s="1178"/>
      <c r="T666" s="87" t="s">
        <v>696</v>
      </c>
      <c r="U666" s="12" t="s">
        <v>509</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6"/>
      <c r="H668" s="1086"/>
      <c r="I668" s="1086"/>
      <c r="J668" s="1086"/>
      <c r="K668" s="1086"/>
      <c r="L668" s="1086"/>
      <c r="M668" s="1086"/>
      <c r="N668" s="1086"/>
      <c r="O668" s="1086"/>
      <c r="P668" s="1086"/>
      <c r="Q668" s="1086"/>
      <c r="R668" s="1086"/>
      <c r="T668" s="35"/>
      <c r="U668" s="12" t="s">
        <v>630</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1"/>
      <c r="H670" s="1121"/>
      <c r="I670" s="1121"/>
      <c r="J670" s="1121"/>
      <c r="K670" s="1121"/>
      <c r="L670" s="1121"/>
      <c r="O670" s="140" t="s">
        <v>219</v>
      </c>
      <c r="P670" s="1154"/>
      <c r="Q670" s="1154"/>
      <c r="R670" s="1154"/>
      <c r="T670" s="35"/>
      <c r="U670" s="12" t="s">
        <v>337</v>
      </c>
      <c r="Z670" s="1121"/>
      <c r="AA670" s="1121"/>
      <c r="AB670" s="1121"/>
      <c r="AC670" s="1121"/>
      <c r="AD670" s="1121"/>
      <c r="AE670" s="1121"/>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722</v>
      </c>
      <c r="O672" s="1115"/>
      <c r="T672" s="35"/>
      <c r="U672" s="12" t="s">
        <v>22</v>
      </c>
      <c r="AG672" s="1115" t="s">
        <v>722</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8">
        <f>C628</f>
        <v>0</v>
      </c>
      <c r="H674" s="1178"/>
      <c r="I674" s="1178"/>
      <c r="J674" s="1178"/>
      <c r="K674" s="1178"/>
      <c r="L674" s="1178"/>
      <c r="M674" s="1178"/>
      <c r="N674" s="1178"/>
      <c r="O674" s="1178"/>
      <c r="P674" s="1178"/>
      <c r="Q674" s="1178"/>
      <c r="R674" s="1178"/>
      <c r="T674" s="87" t="s">
        <v>386</v>
      </c>
      <c r="U674" s="12" t="s">
        <v>509</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55</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6"/>
      <c r="H676" s="1086"/>
      <c r="I676" s="1086"/>
      <c r="J676" s="1086"/>
      <c r="K676" s="1086"/>
      <c r="L676" s="1086"/>
      <c r="M676" s="1086"/>
      <c r="N676" s="1086"/>
      <c r="O676" s="1086"/>
      <c r="P676" s="1086"/>
      <c r="Q676" s="1086"/>
      <c r="R676" s="1086"/>
      <c r="U676" s="12" t="s">
        <v>630</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1"/>
      <c r="H678" s="1121"/>
      <c r="I678" s="1121"/>
      <c r="J678" s="1121"/>
      <c r="K678" s="1121"/>
      <c r="L678" s="1121"/>
      <c r="O678" s="140" t="s">
        <v>219</v>
      </c>
      <c r="P678" s="1154"/>
      <c r="Q678" s="1154"/>
      <c r="R678" s="1154"/>
      <c r="U678" s="12" t="s">
        <v>337</v>
      </c>
      <c r="Z678" s="1121"/>
      <c r="AA678" s="1121"/>
      <c r="AB678" s="1121"/>
      <c r="AC678" s="1121"/>
      <c r="AD678" s="1121"/>
      <c r="AE678" s="1121"/>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722</v>
      </c>
      <c r="O680" s="1115"/>
      <c r="U680" s="12" t="s">
        <v>22</v>
      </c>
      <c r="AG680" s="1115" t="s">
        <v>722</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591</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44098</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44174</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44348</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3">
        <v>0.56010000000000004</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8" t="str">
        <f>H330</f>
        <v>HCIDLA</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722</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6" t="s">
        <v>328</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356</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7" t="s">
        <v>102</v>
      </c>
      <c r="B700" s="1307"/>
      <c r="C700" s="1307"/>
      <c r="D700" s="1307"/>
      <c r="E700" s="1307"/>
      <c r="F700" s="1307"/>
      <c r="G700" s="1307"/>
      <c r="H700" s="1307"/>
      <c r="I700" s="1307"/>
      <c r="J700" s="1307"/>
      <c r="K700" s="1307"/>
      <c r="L700" s="1307"/>
      <c r="M700" s="1307"/>
      <c r="N700" s="1307"/>
      <c r="O700" s="1307"/>
      <c r="P700" s="1307"/>
      <c r="Q700" s="1307"/>
      <c r="R700" s="1307"/>
      <c r="S700" s="1307"/>
      <c r="T700" s="1307"/>
      <c r="U700" s="1307"/>
      <c r="V700" s="1307"/>
      <c r="W700" s="1307"/>
      <c r="X700" s="1307"/>
      <c r="Y700" s="1307"/>
      <c r="Z700" s="1307"/>
      <c r="AA700" s="1307"/>
      <c r="AB700" s="1307"/>
      <c r="AC700" s="1307"/>
      <c r="AD700" s="1307"/>
      <c r="AE700" s="1307"/>
      <c r="AF700" s="1307"/>
      <c r="AG700" s="1307"/>
      <c r="AH700" s="1307"/>
      <c r="AI700" s="1307"/>
      <c r="AJ700" s="1307"/>
      <c r="AK700" s="1307"/>
      <c r="AL700" s="1307"/>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2" t="s">
        <v>420</v>
      </c>
      <c r="C705" s="1393"/>
      <c r="D705" s="1393"/>
      <c r="E705" s="1393"/>
      <c r="F705" s="1394"/>
      <c r="G705" s="1392" t="s">
        <v>301</v>
      </c>
      <c r="H705" s="1393"/>
      <c r="I705" s="1393"/>
      <c r="J705" s="1394"/>
      <c r="K705" s="1392" t="s">
        <v>491</v>
      </c>
      <c r="L705" s="1393"/>
      <c r="M705" s="1393"/>
      <c r="N705" s="1393"/>
      <c r="O705" s="1394"/>
      <c r="P705" s="1392" t="s">
        <v>302</v>
      </c>
      <c r="Q705" s="1393"/>
      <c r="R705" s="1393"/>
      <c r="S705" s="1393"/>
      <c r="T705" s="1394"/>
      <c r="U705" s="1392" t="s">
        <v>303</v>
      </c>
      <c r="V705" s="1393"/>
      <c r="W705" s="1393"/>
      <c r="X705" s="1394"/>
      <c r="Y705" s="1392" t="s">
        <v>304</v>
      </c>
      <c r="Z705" s="1393"/>
      <c r="AA705" s="1393"/>
      <c r="AB705" s="1393"/>
      <c r="AC705" s="1394"/>
      <c r="AD705" s="1392" t="s">
        <v>421</v>
      </c>
      <c r="AE705" s="1393"/>
      <c r="AF705" s="1393"/>
      <c r="AG705" s="1393"/>
      <c r="AH705" s="1394"/>
      <c r="AI705" s="1392" t="s">
        <v>697</v>
      </c>
      <c r="AJ705" s="1393"/>
      <c r="AK705" s="1394"/>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5"/>
      <c r="C706" s="1396"/>
      <c r="D706" s="1396"/>
      <c r="E706" s="1396"/>
      <c r="F706" s="1397"/>
      <c r="G706" s="1395"/>
      <c r="H706" s="1396"/>
      <c r="I706" s="1396"/>
      <c r="J706" s="1397"/>
      <c r="K706" s="1395"/>
      <c r="L706" s="1396"/>
      <c r="M706" s="1396"/>
      <c r="N706" s="1396"/>
      <c r="O706" s="1397"/>
      <c r="P706" s="1395"/>
      <c r="Q706" s="1396"/>
      <c r="R706" s="1396"/>
      <c r="S706" s="1396"/>
      <c r="T706" s="1397"/>
      <c r="U706" s="1395"/>
      <c r="V706" s="1396"/>
      <c r="W706" s="1396"/>
      <c r="X706" s="1397"/>
      <c r="Y706" s="1395"/>
      <c r="Z706" s="1396"/>
      <c r="AA706" s="1396"/>
      <c r="AB706" s="1396"/>
      <c r="AC706" s="1397"/>
      <c r="AD706" s="1395"/>
      <c r="AE706" s="1396"/>
      <c r="AF706" s="1396"/>
      <c r="AG706" s="1396"/>
      <c r="AH706" s="1397"/>
      <c r="AI706" s="1395"/>
      <c r="AJ706" s="1396"/>
      <c r="AK706" s="1397"/>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5"/>
      <c r="C707" s="1396"/>
      <c r="D707" s="1396"/>
      <c r="E707" s="1396"/>
      <c r="F707" s="1397"/>
      <c r="G707" s="1395"/>
      <c r="H707" s="1396"/>
      <c r="I707" s="1396"/>
      <c r="J707" s="1397"/>
      <c r="K707" s="1395"/>
      <c r="L707" s="1396"/>
      <c r="M707" s="1396"/>
      <c r="N707" s="1396"/>
      <c r="O707" s="1397"/>
      <c r="P707" s="1395"/>
      <c r="Q707" s="1396"/>
      <c r="R707" s="1396"/>
      <c r="S707" s="1396"/>
      <c r="T707" s="1397"/>
      <c r="U707" s="1395"/>
      <c r="V707" s="1396"/>
      <c r="W707" s="1396"/>
      <c r="X707" s="1397"/>
      <c r="Y707" s="1395"/>
      <c r="Z707" s="1396"/>
      <c r="AA707" s="1396"/>
      <c r="AB707" s="1396"/>
      <c r="AC707" s="1397"/>
      <c r="AD707" s="1395"/>
      <c r="AE707" s="1396"/>
      <c r="AF707" s="1396"/>
      <c r="AG707" s="1396"/>
      <c r="AH707" s="1397"/>
      <c r="AI707" s="1395"/>
      <c r="AJ707" s="1396"/>
      <c r="AK707" s="139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8"/>
      <c r="C708" s="1399"/>
      <c r="D708" s="1399"/>
      <c r="E708" s="1399"/>
      <c r="F708" s="1400"/>
      <c r="G708" s="1398"/>
      <c r="H708" s="1399"/>
      <c r="I708" s="1399"/>
      <c r="J708" s="1400"/>
      <c r="K708" s="1398"/>
      <c r="L708" s="1399"/>
      <c r="M708" s="1399"/>
      <c r="N708" s="1399"/>
      <c r="O708" s="1400"/>
      <c r="P708" s="1398"/>
      <c r="Q708" s="1399"/>
      <c r="R708" s="1399"/>
      <c r="S708" s="1399"/>
      <c r="T708" s="1400"/>
      <c r="U708" s="1398"/>
      <c r="V708" s="1399"/>
      <c r="W708" s="1399"/>
      <c r="X708" s="1400"/>
      <c r="Y708" s="1398"/>
      <c r="Z708" s="1399"/>
      <c r="AA708" s="1399"/>
      <c r="AB708" s="1399"/>
      <c r="AC708" s="1400"/>
      <c r="AD708" s="1398"/>
      <c r="AE708" s="1399"/>
      <c r="AF708" s="1399"/>
      <c r="AG708" s="1399"/>
      <c r="AH708" s="1400"/>
      <c r="AI708" s="1398"/>
      <c r="AJ708" s="1399"/>
      <c r="AK708" s="140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347</v>
      </c>
      <c r="C709" s="1267"/>
      <c r="D709" s="1267"/>
      <c r="E709" s="1267"/>
      <c r="F709" s="1385"/>
      <c r="G709" s="1379">
        <v>55</v>
      </c>
      <c r="H709" s="1380"/>
      <c r="I709" s="1380"/>
      <c r="J709" s="1381"/>
      <c r="K709" s="1389">
        <v>595</v>
      </c>
      <c r="L709" s="1390"/>
      <c r="M709" s="1390"/>
      <c r="N709" s="1390"/>
      <c r="O709" s="1391"/>
      <c r="P709" s="1386">
        <f t="shared" ref="P709:P733" si="26">G709*K709</f>
        <v>32725</v>
      </c>
      <c r="Q709" s="1387"/>
      <c r="R709" s="1387"/>
      <c r="S709" s="1387"/>
      <c r="T709" s="1388"/>
      <c r="U709" s="1389">
        <v>39</v>
      </c>
      <c r="V709" s="1390"/>
      <c r="W709" s="1390"/>
      <c r="X709" s="1391"/>
      <c r="Y709" s="1386">
        <f>K709+U709</f>
        <v>634</v>
      </c>
      <c r="Z709" s="1387"/>
      <c r="AA709" s="1387"/>
      <c r="AB709" s="1387"/>
      <c r="AC709" s="1388"/>
      <c r="AD709" s="1181">
        <v>0.3</v>
      </c>
      <c r="AE709" s="1182"/>
      <c r="AF709" s="1182"/>
      <c r="AG709" s="1182"/>
      <c r="AH709" s="1183"/>
      <c r="AI709" s="1276">
        <f t="shared" ref="AI709:AI733" si="27">IF($AD709&gt;0,($Y709/$AN649), " ")</f>
        <v>0.30018939393939392</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c r="C710" s="1267"/>
      <c r="D710" s="1267"/>
      <c r="E710" s="1267"/>
      <c r="F710" s="1385"/>
      <c r="G710" s="1379"/>
      <c r="H710" s="1380"/>
      <c r="I710" s="1380"/>
      <c r="J710" s="1381"/>
      <c r="K710" s="1389"/>
      <c r="L710" s="1390"/>
      <c r="M710" s="1390"/>
      <c r="N710" s="1390"/>
      <c r="O710" s="1391"/>
      <c r="P710" s="1386">
        <f t="shared" si="26"/>
        <v>0</v>
      </c>
      <c r="Q710" s="1387"/>
      <c r="R710" s="1387"/>
      <c r="S710" s="1387"/>
      <c r="T710" s="1388"/>
      <c r="U710" s="1389"/>
      <c r="V710" s="1390"/>
      <c r="W710" s="1390"/>
      <c r="X710" s="1391"/>
      <c r="Y710" s="1386">
        <f t="shared" ref="Y710:Y733" si="28">K710+U710</f>
        <v>0</v>
      </c>
      <c r="Z710" s="1387"/>
      <c r="AA710" s="1387"/>
      <c r="AB710" s="1387"/>
      <c r="AC710" s="1388"/>
      <c r="AD710" s="1181"/>
      <c r="AE710" s="1182"/>
      <c r="AF710" s="1182"/>
      <c r="AG710" s="1182"/>
      <c r="AH710" s="1183"/>
      <c r="AI710" s="1276" t="str">
        <f t="shared" si="27"/>
        <v xml:space="preserve"> </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c r="C711" s="1267"/>
      <c r="D711" s="1267"/>
      <c r="E711" s="1267"/>
      <c r="F711" s="1385"/>
      <c r="G711" s="1379"/>
      <c r="H711" s="1380"/>
      <c r="I711" s="1380"/>
      <c r="J711" s="1381"/>
      <c r="K711" s="1389"/>
      <c r="L711" s="1390"/>
      <c r="M711" s="1390"/>
      <c r="N711" s="1390"/>
      <c r="O711" s="1391"/>
      <c r="P711" s="1386">
        <f t="shared" si="26"/>
        <v>0</v>
      </c>
      <c r="Q711" s="1387"/>
      <c r="R711" s="1387"/>
      <c r="S711" s="1387"/>
      <c r="T711" s="1388"/>
      <c r="U711" s="1389"/>
      <c r="V711" s="1390"/>
      <c r="W711" s="1390"/>
      <c r="X711" s="1391"/>
      <c r="Y711" s="1386">
        <f t="shared" si="28"/>
        <v>0</v>
      </c>
      <c r="Z711" s="1387"/>
      <c r="AA711" s="1387"/>
      <c r="AB711" s="1387"/>
      <c r="AC711" s="1388"/>
      <c r="AD711" s="1181"/>
      <c r="AE711" s="1182"/>
      <c r="AF711" s="1182"/>
      <c r="AG711" s="1182"/>
      <c r="AH711" s="1183"/>
      <c r="AI711" s="1276" t="str">
        <f t="shared" si="27"/>
        <v xml:space="preserve"> </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c r="C712" s="1267"/>
      <c r="D712" s="1267"/>
      <c r="E712" s="1267"/>
      <c r="F712" s="1385"/>
      <c r="G712" s="1379"/>
      <c r="H712" s="1380"/>
      <c r="I712" s="1380"/>
      <c r="J712" s="1381"/>
      <c r="K712" s="1401"/>
      <c r="L712" s="1401"/>
      <c r="M712" s="1401"/>
      <c r="N712" s="1401"/>
      <c r="O712" s="1401"/>
      <c r="P712" s="1116">
        <f t="shared" si="26"/>
        <v>0</v>
      </c>
      <c r="Q712" s="1116"/>
      <c r="R712" s="1116"/>
      <c r="S712" s="1116"/>
      <c r="T712" s="1116"/>
      <c r="U712" s="1389"/>
      <c r="V712" s="1390"/>
      <c r="W712" s="1390"/>
      <c r="X712" s="1391"/>
      <c r="Y712" s="1116">
        <f t="shared" si="28"/>
        <v>0</v>
      </c>
      <c r="Z712" s="1116"/>
      <c r="AA712" s="1116"/>
      <c r="AB712" s="1116"/>
      <c r="AC712" s="1116"/>
      <c r="AD712" s="1181"/>
      <c r="AE712" s="1182"/>
      <c r="AF712" s="1182"/>
      <c r="AG712" s="1182"/>
      <c r="AH712" s="1183"/>
      <c r="AI712" s="1276" t="str">
        <f t="shared" si="27"/>
        <v xml:space="preserve"> </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c r="C713" s="1267"/>
      <c r="D713" s="1267"/>
      <c r="E713" s="1267"/>
      <c r="F713" s="1385"/>
      <c r="G713" s="1379"/>
      <c r="H713" s="1380"/>
      <c r="I713" s="1380"/>
      <c r="J713" s="1381"/>
      <c r="K713" s="1401"/>
      <c r="L713" s="1401"/>
      <c r="M713" s="1401"/>
      <c r="N713" s="1401"/>
      <c r="O713" s="1401"/>
      <c r="P713" s="1116">
        <f t="shared" si="26"/>
        <v>0</v>
      </c>
      <c r="Q713" s="1116"/>
      <c r="R713" s="1116"/>
      <c r="S713" s="1116"/>
      <c r="T713" s="1116"/>
      <c r="U713" s="1389"/>
      <c r="V713" s="1390"/>
      <c r="W713" s="1390"/>
      <c r="X713" s="1391"/>
      <c r="Y713" s="1116">
        <f t="shared" si="28"/>
        <v>0</v>
      </c>
      <c r="Z713" s="1116"/>
      <c r="AA713" s="1116"/>
      <c r="AB713" s="1116"/>
      <c r="AC713" s="1116"/>
      <c r="AD713" s="1181"/>
      <c r="AE713" s="1182"/>
      <c r="AF713" s="1182"/>
      <c r="AG713" s="1182"/>
      <c r="AH713" s="1183"/>
      <c r="AI713" s="1276" t="str">
        <f t="shared" si="27"/>
        <v xml:space="preserve"> </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5"/>
      <c r="G714" s="1379"/>
      <c r="H714" s="1380"/>
      <c r="I714" s="1380"/>
      <c r="J714" s="1381"/>
      <c r="K714" s="1401"/>
      <c r="L714" s="1401"/>
      <c r="M714" s="1401"/>
      <c r="N714" s="1401"/>
      <c r="O714" s="1401"/>
      <c r="P714" s="1116">
        <f t="shared" si="26"/>
        <v>0</v>
      </c>
      <c r="Q714" s="1116"/>
      <c r="R714" s="1116"/>
      <c r="S714" s="1116"/>
      <c r="T714" s="1116"/>
      <c r="U714" s="1389"/>
      <c r="V714" s="1390"/>
      <c r="W714" s="1390"/>
      <c r="X714" s="1391"/>
      <c r="Y714" s="1116">
        <f t="shared" si="28"/>
        <v>0</v>
      </c>
      <c r="Z714" s="1116"/>
      <c r="AA714" s="1116"/>
      <c r="AB714" s="1116"/>
      <c r="AC714" s="1116"/>
      <c r="AD714" s="1181"/>
      <c r="AE714" s="1182"/>
      <c r="AF714" s="1182"/>
      <c r="AG714" s="1182"/>
      <c r="AH714" s="1183"/>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5"/>
      <c r="G715" s="1379"/>
      <c r="H715" s="1380"/>
      <c r="I715" s="1380"/>
      <c r="J715" s="1381"/>
      <c r="K715" s="1401"/>
      <c r="L715" s="1401"/>
      <c r="M715" s="1401"/>
      <c r="N715" s="1401"/>
      <c r="O715" s="1401"/>
      <c r="P715" s="1116">
        <f t="shared" si="26"/>
        <v>0</v>
      </c>
      <c r="Q715" s="1116"/>
      <c r="R715" s="1116"/>
      <c r="S715" s="1116"/>
      <c r="T715" s="1116"/>
      <c r="U715" s="1389"/>
      <c r="V715" s="1390"/>
      <c r="W715" s="1390"/>
      <c r="X715" s="1391"/>
      <c r="Y715" s="1116">
        <f t="shared" si="28"/>
        <v>0</v>
      </c>
      <c r="Z715" s="1116"/>
      <c r="AA715" s="1116"/>
      <c r="AB715" s="1116"/>
      <c r="AC715" s="1116"/>
      <c r="AD715" s="1181"/>
      <c r="AE715" s="1182"/>
      <c r="AF715" s="1182"/>
      <c r="AG715" s="1182"/>
      <c r="AH715" s="1183"/>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5"/>
      <c r="G716" s="1379"/>
      <c r="H716" s="1380"/>
      <c r="I716" s="1380"/>
      <c r="J716" s="1381"/>
      <c r="K716" s="1401"/>
      <c r="L716" s="1401"/>
      <c r="M716" s="1401"/>
      <c r="N716" s="1401"/>
      <c r="O716" s="1401"/>
      <c r="P716" s="1116">
        <f t="shared" si="26"/>
        <v>0</v>
      </c>
      <c r="Q716" s="1116"/>
      <c r="R716" s="1116"/>
      <c r="S716" s="1116"/>
      <c r="T716" s="1116"/>
      <c r="U716" s="1389"/>
      <c r="V716" s="1390"/>
      <c r="W716" s="1390"/>
      <c r="X716" s="1391"/>
      <c r="Y716" s="1116">
        <f t="shared" si="28"/>
        <v>0</v>
      </c>
      <c r="Z716" s="1116"/>
      <c r="AA716" s="1116"/>
      <c r="AB716" s="1116"/>
      <c r="AC716" s="1116"/>
      <c r="AD716" s="1181"/>
      <c r="AE716" s="1182"/>
      <c r="AF716" s="1182"/>
      <c r="AG716" s="1182"/>
      <c r="AH716" s="1183"/>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5"/>
      <c r="G717" s="1379"/>
      <c r="H717" s="1380"/>
      <c r="I717" s="1380"/>
      <c r="J717" s="1381"/>
      <c r="K717" s="1401"/>
      <c r="L717" s="1401"/>
      <c r="M717" s="1401"/>
      <c r="N717" s="1401"/>
      <c r="O717" s="1401"/>
      <c r="P717" s="1116">
        <f t="shared" si="26"/>
        <v>0</v>
      </c>
      <c r="Q717" s="1116"/>
      <c r="R717" s="1116"/>
      <c r="S717" s="1116"/>
      <c r="T717" s="1116"/>
      <c r="U717" s="1389"/>
      <c r="V717" s="1390"/>
      <c r="W717" s="1390"/>
      <c r="X717" s="1391"/>
      <c r="Y717" s="1116">
        <f t="shared" si="28"/>
        <v>0</v>
      </c>
      <c r="Z717" s="1116"/>
      <c r="AA717" s="1116"/>
      <c r="AB717" s="1116"/>
      <c r="AC717" s="1116"/>
      <c r="AD717" s="1181"/>
      <c r="AE717" s="1182"/>
      <c r="AF717" s="1182"/>
      <c r="AG717" s="1182"/>
      <c r="AH717" s="1183"/>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5"/>
      <c r="G718" s="1379"/>
      <c r="H718" s="1380"/>
      <c r="I718" s="1380"/>
      <c r="J718" s="1381"/>
      <c r="K718" s="1551"/>
      <c r="L718" s="1551"/>
      <c r="M718" s="1551"/>
      <c r="N718" s="1551"/>
      <c r="O718" s="1551"/>
      <c r="P718" s="1552">
        <f t="shared" si="26"/>
        <v>0</v>
      </c>
      <c r="Q718" s="1552"/>
      <c r="R718" s="1552"/>
      <c r="S718" s="1552"/>
      <c r="T718" s="1552"/>
      <c r="U718" s="1389"/>
      <c r="V718" s="1390"/>
      <c r="W718" s="1390"/>
      <c r="X718" s="1391"/>
      <c r="Y718" s="1552">
        <f t="shared" si="28"/>
        <v>0</v>
      </c>
      <c r="Z718" s="1552"/>
      <c r="AA718" s="1552"/>
      <c r="AB718" s="1552"/>
      <c r="AC718" s="1552"/>
      <c r="AD718" s="1181"/>
      <c r="AE718" s="1182"/>
      <c r="AF718" s="1182"/>
      <c r="AG718" s="1182"/>
      <c r="AH718" s="1183"/>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5"/>
      <c r="G719" s="1379"/>
      <c r="H719" s="1380"/>
      <c r="I719" s="1380"/>
      <c r="J719" s="1381"/>
      <c r="K719" s="1401"/>
      <c r="L719" s="1401"/>
      <c r="M719" s="1401"/>
      <c r="N719" s="1401"/>
      <c r="O719" s="1401"/>
      <c r="P719" s="1116">
        <f t="shared" si="26"/>
        <v>0</v>
      </c>
      <c r="Q719" s="1116"/>
      <c r="R719" s="1116"/>
      <c r="S719" s="1116"/>
      <c r="T719" s="1116"/>
      <c r="U719" s="1389"/>
      <c r="V719" s="1390"/>
      <c r="W719" s="1390"/>
      <c r="X719" s="1391"/>
      <c r="Y719" s="1116">
        <f t="shared" si="28"/>
        <v>0</v>
      </c>
      <c r="Z719" s="1116"/>
      <c r="AA719" s="1116"/>
      <c r="AB719" s="1116"/>
      <c r="AC719" s="1116"/>
      <c r="AD719" s="1181"/>
      <c r="AE719" s="1182"/>
      <c r="AF719" s="1182"/>
      <c r="AG719" s="1182"/>
      <c r="AH719" s="1183"/>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5"/>
      <c r="G720" s="1379"/>
      <c r="H720" s="1380"/>
      <c r="I720" s="1380"/>
      <c r="J720" s="1381"/>
      <c r="K720" s="1401"/>
      <c r="L720" s="1401"/>
      <c r="M720" s="1401"/>
      <c r="N720" s="1401"/>
      <c r="O720" s="1401"/>
      <c r="P720" s="1116">
        <f t="shared" si="26"/>
        <v>0</v>
      </c>
      <c r="Q720" s="1116"/>
      <c r="R720" s="1116"/>
      <c r="S720" s="1116"/>
      <c r="T720" s="1116"/>
      <c r="U720" s="1389">
        <v>0</v>
      </c>
      <c r="V720" s="1390"/>
      <c r="W720" s="1390"/>
      <c r="X720" s="1391"/>
      <c r="Y720" s="1116">
        <f t="shared" si="28"/>
        <v>0</v>
      </c>
      <c r="Z720" s="1116"/>
      <c r="AA720" s="1116"/>
      <c r="AB720" s="1116"/>
      <c r="AC720" s="1116"/>
      <c r="AD720" s="1181">
        <v>0</v>
      </c>
      <c r="AE720" s="1182"/>
      <c r="AF720" s="1182"/>
      <c r="AG720" s="1182"/>
      <c r="AH720" s="1183"/>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5"/>
      <c r="G721" s="1379"/>
      <c r="H721" s="1380"/>
      <c r="I721" s="1380"/>
      <c r="J721" s="1381"/>
      <c r="K721" s="1401"/>
      <c r="L721" s="1401"/>
      <c r="M721" s="1401"/>
      <c r="N721" s="1401"/>
      <c r="O721" s="1401"/>
      <c r="P721" s="1116">
        <f t="shared" si="26"/>
        <v>0</v>
      </c>
      <c r="Q721" s="1116"/>
      <c r="R721" s="1116"/>
      <c r="S721" s="1116"/>
      <c r="T721" s="1116"/>
      <c r="U721" s="1389">
        <v>0</v>
      </c>
      <c r="V721" s="1390"/>
      <c r="W721" s="1390"/>
      <c r="X721" s="1391"/>
      <c r="Y721" s="1116">
        <f t="shared" si="28"/>
        <v>0</v>
      </c>
      <c r="Z721" s="1116"/>
      <c r="AA721" s="1116"/>
      <c r="AB721" s="1116"/>
      <c r="AC721" s="1116"/>
      <c r="AD721" s="1181">
        <v>0</v>
      </c>
      <c r="AE721" s="1182"/>
      <c r="AF721" s="1182"/>
      <c r="AG721" s="1182"/>
      <c r="AH721" s="1183"/>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5"/>
      <c r="G722" s="1379"/>
      <c r="H722" s="1380"/>
      <c r="I722" s="1380"/>
      <c r="J722" s="1381"/>
      <c r="K722" s="1401"/>
      <c r="L722" s="1401"/>
      <c r="M722" s="1401"/>
      <c r="N722" s="1401"/>
      <c r="O722" s="1401"/>
      <c r="P722" s="1116">
        <f t="shared" si="26"/>
        <v>0</v>
      </c>
      <c r="Q722" s="1116"/>
      <c r="R722" s="1116"/>
      <c r="S722" s="1116"/>
      <c r="T722" s="1116"/>
      <c r="U722" s="1389">
        <v>0</v>
      </c>
      <c r="V722" s="1390"/>
      <c r="W722" s="1390"/>
      <c r="X722" s="1391"/>
      <c r="Y722" s="1116">
        <f t="shared" si="28"/>
        <v>0</v>
      </c>
      <c r="Z722" s="1116"/>
      <c r="AA722" s="1116"/>
      <c r="AB722" s="1116"/>
      <c r="AC722" s="1116"/>
      <c r="AD722" s="1181">
        <v>0</v>
      </c>
      <c r="AE722" s="1182"/>
      <c r="AF722" s="1182"/>
      <c r="AG722" s="1182"/>
      <c r="AH722" s="1183"/>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5"/>
      <c r="G723" s="1379"/>
      <c r="H723" s="1380"/>
      <c r="I723" s="1380"/>
      <c r="J723" s="1381"/>
      <c r="K723" s="1401"/>
      <c r="L723" s="1401"/>
      <c r="M723" s="1401"/>
      <c r="N723" s="1401"/>
      <c r="O723" s="1401"/>
      <c r="P723" s="1116">
        <f t="shared" si="26"/>
        <v>0</v>
      </c>
      <c r="Q723" s="1116"/>
      <c r="R723" s="1116"/>
      <c r="S723" s="1116"/>
      <c r="T723" s="1116"/>
      <c r="U723" s="1389">
        <v>0</v>
      </c>
      <c r="V723" s="1390"/>
      <c r="W723" s="1390"/>
      <c r="X723" s="1391"/>
      <c r="Y723" s="1116">
        <f t="shared" si="28"/>
        <v>0</v>
      </c>
      <c r="Z723" s="1116"/>
      <c r="AA723" s="1116"/>
      <c r="AB723" s="1116"/>
      <c r="AC723" s="1116"/>
      <c r="AD723" s="1181">
        <v>0</v>
      </c>
      <c r="AE723" s="1182"/>
      <c r="AF723" s="1182"/>
      <c r="AG723" s="1182"/>
      <c r="AH723" s="1183"/>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5"/>
      <c r="G724" s="1379"/>
      <c r="H724" s="1380"/>
      <c r="I724" s="1380"/>
      <c r="J724" s="1381"/>
      <c r="K724" s="1401"/>
      <c r="L724" s="1401"/>
      <c r="M724" s="1401"/>
      <c r="N724" s="1401"/>
      <c r="O724" s="1401"/>
      <c r="P724" s="1116">
        <f t="shared" si="26"/>
        <v>0</v>
      </c>
      <c r="Q724" s="1116"/>
      <c r="R724" s="1116"/>
      <c r="S724" s="1116"/>
      <c r="T724" s="1116"/>
      <c r="U724" s="1389">
        <v>0</v>
      </c>
      <c r="V724" s="1390"/>
      <c r="W724" s="1390"/>
      <c r="X724" s="1391"/>
      <c r="Y724" s="1116">
        <f>K724+U724</f>
        <v>0</v>
      </c>
      <c r="Z724" s="1116"/>
      <c r="AA724" s="1116"/>
      <c r="AB724" s="1116"/>
      <c r="AC724" s="1116"/>
      <c r="AD724" s="1181">
        <v>0</v>
      </c>
      <c r="AE724" s="1182"/>
      <c r="AF724" s="1182"/>
      <c r="AG724" s="1182"/>
      <c r="AH724" s="1183"/>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5"/>
      <c r="G725" s="1379"/>
      <c r="H725" s="1380"/>
      <c r="I725" s="1380"/>
      <c r="J725" s="1381"/>
      <c r="K725" s="1401"/>
      <c r="L725" s="1401"/>
      <c r="M725" s="1401"/>
      <c r="N725" s="1401"/>
      <c r="O725" s="1401"/>
      <c r="P725" s="1116">
        <f t="shared" si="26"/>
        <v>0</v>
      </c>
      <c r="Q725" s="1116"/>
      <c r="R725" s="1116"/>
      <c r="S725" s="1116"/>
      <c r="T725" s="1116"/>
      <c r="U725" s="1389">
        <v>0</v>
      </c>
      <c r="V725" s="1390"/>
      <c r="W725" s="1390"/>
      <c r="X725" s="1391"/>
      <c r="Y725" s="1116">
        <f>K725+U725</f>
        <v>0</v>
      </c>
      <c r="Z725" s="1116"/>
      <c r="AA725" s="1116"/>
      <c r="AB725" s="1116"/>
      <c r="AC725" s="1116"/>
      <c r="AD725" s="1181">
        <v>0</v>
      </c>
      <c r="AE725" s="1182"/>
      <c r="AF725" s="1182"/>
      <c r="AG725" s="1182"/>
      <c r="AH725" s="1183"/>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5"/>
      <c r="G726" s="1379"/>
      <c r="H726" s="1380"/>
      <c r="I726" s="1380"/>
      <c r="J726" s="1381"/>
      <c r="K726" s="1401"/>
      <c r="L726" s="1401"/>
      <c r="M726" s="1401"/>
      <c r="N726" s="1401"/>
      <c r="O726" s="1401"/>
      <c r="P726" s="1116">
        <f t="shared" si="26"/>
        <v>0</v>
      </c>
      <c r="Q726" s="1116"/>
      <c r="R726" s="1116"/>
      <c r="S726" s="1116"/>
      <c r="T726" s="1116"/>
      <c r="U726" s="1389">
        <v>0</v>
      </c>
      <c r="V726" s="1390"/>
      <c r="W726" s="1390"/>
      <c r="X726" s="1391"/>
      <c r="Y726" s="1116">
        <f>K726+U726</f>
        <v>0</v>
      </c>
      <c r="Z726" s="1116"/>
      <c r="AA726" s="1116"/>
      <c r="AB726" s="1116"/>
      <c r="AC726" s="1116"/>
      <c r="AD726" s="1181">
        <v>0</v>
      </c>
      <c r="AE726" s="1182"/>
      <c r="AF726" s="1182"/>
      <c r="AG726" s="1182"/>
      <c r="AH726" s="1183"/>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5"/>
      <c r="G727" s="1379"/>
      <c r="H727" s="1380"/>
      <c r="I727" s="1380"/>
      <c r="J727" s="1381"/>
      <c r="K727" s="1401"/>
      <c r="L727" s="1401"/>
      <c r="M727" s="1401"/>
      <c r="N727" s="1401"/>
      <c r="O727" s="1401"/>
      <c r="P727" s="1116">
        <f t="shared" si="26"/>
        <v>0</v>
      </c>
      <c r="Q727" s="1116"/>
      <c r="R727" s="1116"/>
      <c r="S727" s="1116"/>
      <c r="T727" s="1116"/>
      <c r="U727" s="1389">
        <v>0</v>
      </c>
      <c r="V727" s="1390"/>
      <c r="W727" s="1390"/>
      <c r="X727" s="1391"/>
      <c r="Y727" s="1116">
        <f>K727+U727</f>
        <v>0</v>
      </c>
      <c r="Z727" s="1116"/>
      <c r="AA727" s="1116"/>
      <c r="AB727" s="1116"/>
      <c r="AC727" s="1116"/>
      <c r="AD727" s="1181">
        <v>0</v>
      </c>
      <c r="AE727" s="1182"/>
      <c r="AF727" s="1182"/>
      <c r="AG727" s="1182"/>
      <c r="AH727" s="1183"/>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5"/>
      <c r="G728" s="1379"/>
      <c r="H728" s="1380"/>
      <c r="I728" s="1380"/>
      <c r="J728" s="1381"/>
      <c r="K728" s="1401"/>
      <c r="L728" s="1401"/>
      <c r="M728" s="1401"/>
      <c r="N728" s="1401"/>
      <c r="O728" s="1401"/>
      <c r="P728" s="1116">
        <f t="shared" si="26"/>
        <v>0</v>
      </c>
      <c r="Q728" s="1116"/>
      <c r="R728" s="1116"/>
      <c r="S728" s="1116"/>
      <c r="T728" s="1116"/>
      <c r="U728" s="1389">
        <v>0</v>
      </c>
      <c r="V728" s="1390"/>
      <c r="W728" s="1390"/>
      <c r="X728" s="1391"/>
      <c r="Y728" s="1116">
        <f>K728+U728</f>
        <v>0</v>
      </c>
      <c r="Z728" s="1116"/>
      <c r="AA728" s="1116"/>
      <c r="AB728" s="1116"/>
      <c r="AC728" s="1116"/>
      <c r="AD728" s="1181">
        <v>0</v>
      </c>
      <c r="AE728" s="1182"/>
      <c r="AF728" s="1182"/>
      <c r="AG728" s="1182"/>
      <c r="AH728" s="1183"/>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5"/>
      <c r="G729" s="1379"/>
      <c r="H729" s="1380"/>
      <c r="I729" s="1380"/>
      <c r="J729" s="1381"/>
      <c r="K729" s="1401"/>
      <c r="L729" s="1401"/>
      <c r="M729" s="1401"/>
      <c r="N729" s="1401"/>
      <c r="O729" s="1401"/>
      <c r="P729" s="1116">
        <f t="shared" si="26"/>
        <v>0</v>
      </c>
      <c r="Q729" s="1116"/>
      <c r="R729" s="1116"/>
      <c r="S729" s="1116"/>
      <c r="T729" s="1116"/>
      <c r="U729" s="1389">
        <v>0</v>
      </c>
      <c r="V729" s="1390"/>
      <c r="W729" s="1390"/>
      <c r="X729" s="1391"/>
      <c r="Y729" s="1116">
        <f t="shared" si="28"/>
        <v>0</v>
      </c>
      <c r="Z729" s="1116"/>
      <c r="AA729" s="1116"/>
      <c r="AB729" s="1116"/>
      <c r="AC729" s="1116"/>
      <c r="AD729" s="1181">
        <v>0</v>
      </c>
      <c r="AE729" s="1182"/>
      <c r="AF729" s="1182"/>
      <c r="AG729" s="1182"/>
      <c r="AH729" s="1183"/>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5"/>
      <c r="G730" s="1379"/>
      <c r="H730" s="1380"/>
      <c r="I730" s="1380"/>
      <c r="J730" s="1381"/>
      <c r="K730" s="1401"/>
      <c r="L730" s="1401"/>
      <c r="M730" s="1401"/>
      <c r="N730" s="1401"/>
      <c r="O730" s="1401"/>
      <c r="P730" s="1116">
        <f t="shared" si="26"/>
        <v>0</v>
      </c>
      <c r="Q730" s="1116"/>
      <c r="R730" s="1116"/>
      <c r="S730" s="1116"/>
      <c r="T730" s="1116"/>
      <c r="U730" s="1389">
        <v>0</v>
      </c>
      <c r="V730" s="1390"/>
      <c r="W730" s="1390"/>
      <c r="X730" s="1391"/>
      <c r="Y730" s="1116">
        <f t="shared" si="28"/>
        <v>0</v>
      </c>
      <c r="Z730" s="1116"/>
      <c r="AA730" s="1116"/>
      <c r="AB730" s="1116"/>
      <c r="AC730" s="1116"/>
      <c r="AD730" s="1181">
        <v>0</v>
      </c>
      <c r="AE730" s="1182"/>
      <c r="AF730" s="1182"/>
      <c r="AG730" s="1182"/>
      <c r="AH730" s="1183"/>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5"/>
      <c r="G731" s="1379"/>
      <c r="H731" s="1380"/>
      <c r="I731" s="1380"/>
      <c r="J731" s="1381"/>
      <c r="K731" s="1401"/>
      <c r="L731" s="1401"/>
      <c r="M731" s="1401"/>
      <c r="N731" s="1401"/>
      <c r="O731" s="1401"/>
      <c r="P731" s="1116">
        <f t="shared" si="26"/>
        <v>0</v>
      </c>
      <c r="Q731" s="1116"/>
      <c r="R731" s="1116"/>
      <c r="S731" s="1116"/>
      <c r="T731" s="1116"/>
      <c r="U731" s="1389">
        <v>0</v>
      </c>
      <c r="V731" s="1390"/>
      <c r="W731" s="1390"/>
      <c r="X731" s="1391"/>
      <c r="Y731" s="1116">
        <f t="shared" si="28"/>
        <v>0</v>
      </c>
      <c r="Z731" s="1116"/>
      <c r="AA731" s="1116"/>
      <c r="AB731" s="1116"/>
      <c r="AC731" s="1116"/>
      <c r="AD731" s="1181">
        <v>0</v>
      </c>
      <c r="AE731" s="1182"/>
      <c r="AF731" s="1182"/>
      <c r="AG731" s="1182"/>
      <c r="AH731" s="1183"/>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5"/>
      <c r="G732" s="1379"/>
      <c r="H732" s="1380"/>
      <c r="I732" s="1380"/>
      <c r="J732" s="1381"/>
      <c r="K732" s="1401"/>
      <c r="L732" s="1401"/>
      <c r="M732" s="1401"/>
      <c r="N732" s="1401"/>
      <c r="O732" s="1401"/>
      <c r="P732" s="1116">
        <f t="shared" si="26"/>
        <v>0</v>
      </c>
      <c r="Q732" s="1116"/>
      <c r="R732" s="1116"/>
      <c r="S732" s="1116"/>
      <c r="T732" s="1116"/>
      <c r="U732" s="1389">
        <v>0</v>
      </c>
      <c r="V732" s="1390"/>
      <c r="W732" s="1390"/>
      <c r="X732" s="1391"/>
      <c r="Y732" s="1116">
        <f t="shared" si="28"/>
        <v>0</v>
      </c>
      <c r="Z732" s="1116"/>
      <c r="AA732" s="1116"/>
      <c r="AB732" s="1116"/>
      <c r="AC732" s="1116"/>
      <c r="AD732" s="1181">
        <v>0</v>
      </c>
      <c r="AE732" s="1182"/>
      <c r="AF732" s="1182"/>
      <c r="AG732" s="1182"/>
      <c r="AH732" s="1183"/>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5"/>
      <c r="G733" s="1379"/>
      <c r="H733" s="1380"/>
      <c r="I733" s="1380"/>
      <c r="J733" s="1381"/>
      <c r="K733" s="1401"/>
      <c r="L733" s="1401"/>
      <c r="M733" s="1401"/>
      <c r="N733" s="1401"/>
      <c r="O733" s="1401"/>
      <c r="P733" s="1116">
        <f t="shared" si="26"/>
        <v>0</v>
      </c>
      <c r="Q733" s="1116"/>
      <c r="R733" s="1116"/>
      <c r="S733" s="1116"/>
      <c r="T733" s="1116"/>
      <c r="U733" s="1389">
        <v>0</v>
      </c>
      <c r="V733" s="1390"/>
      <c r="W733" s="1390"/>
      <c r="X733" s="1391"/>
      <c r="Y733" s="1116">
        <f t="shared" si="28"/>
        <v>0</v>
      </c>
      <c r="Z733" s="1116"/>
      <c r="AA733" s="1116"/>
      <c r="AB733" s="1116"/>
      <c r="AC733" s="1116"/>
      <c r="AD733" s="1181">
        <v>0</v>
      </c>
      <c r="AE733" s="1182"/>
      <c r="AF733" s="1182"/>
      <c r="AG733" s="1182"/>
      <c r="AH733" s="1183"/>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3">
        <f>SUM(G709:J733)</f>
        <v>55</v>
      </c>
      <c r="H734" s="1554"/>
      <c r="I734" s="1554"/>
      <c r="J734" s="1555"/>
      <c r="K734" s="1268" t="s">
        <v>131</v>
      </c>
      <c r="L734" s="1269"/>
      <c r="M734" s="1269"/>
      <c r="N734" s="1269"/>
      <c r="O734" s="1270"/>
      <c r="P734" s="1386">
        <f>SUM(P709:T733)</f>
        <v>32725</v>
      </c>
      <c r="Q734" s="1387"/>
      <c r="R734" s="1387"/>
      <c r="S734" s="1387"/>
      <c r="T734" s="1388"/>
      <c r="Y734" s="1561" t="s">
        <v>998</v>
      </c>
      <c r="Z734" s="1562"/>
      <c r="AA734" s="1562"/>
      <c r="AB734" s="1562"/>
      <c r="AC734" s="1563"/>
      <c r="AD734" s="1142">
        <f>AV675</f>
        <v>0.3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641</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2" t="s">
        <v>420</v>
      </c>
      <c r="K750" s="1393"/>
      <c r="L750" s="1393"/>
      <c r="M750" s="1393"/>
      <c r="N750" s="1394"/>
      <c r="O750" s="1403" t="s">
        <v>301</v>
      </c>
      <c r="P750" s="1403"/>
      <c r="Q750" s="1403"/>
      <c r="R750" s="1403"/>
      <c r="S750" s="1403"/>
      <c r="T750" s="1403" t="s">
        <v>491</v>
      </c>
      <c r="U750" s="1403"/>
      <c r="V750" s="1403"/>
      <c r="W750" s="1403"/>
      <c r="X750" s="1403"/>
      <c r="Y750" s="1403" t="s">
        <v>302</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5"/>
      <c r="K751" s="1396"/>
      <c r="L751" s="1396"/>
      <c r="M751" s="1396"/>
      <c r="N751" s="1397"/>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5"/>
      <c r="K752" s="1396"/>
      <c r="L752" s="1396"/>
      <c r="M752" s="1396"/>
      <c r="N752" s="1397"/>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8"/>
      <c r="K753" s="1399"/>
      <c r="L753" s="1399"/>
      <c r="M753" s="1399"/>
      <c r="N753" s="1400"/>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5"/>
      <c r="O754" s="1280">
        <v>1</v>
      </c>
      <c r="P754" s="1280"/>
      <c r="Q754" s="1280"/>
      <c r="R754" s="1280"/>
      <c r="S754" s="1280"/>
      <c r="T754" s="1401"/>
      <c r="U754" s="1401"/>
      <c r="V754" s="1401"/>
      <c r="W754" s="1401"/>
      <c r="X754" s="1401"/>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5"/>
      <c r="O755" s="1280"/>
      <c r="P755" s="1280"/>
      <c r="Q755" s="1280"/>
      <c r="R755" s="1280"/>
      <c r="S755" s="1280"/>
      <c r="T755" s="1401"/>
      <c r="U755" s="1401"/>
      <c r="V755" s="1401"/>
      <c r="W755" s="1401"/>
      <c r="X755" s="1401"/>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5"/>
      <c r="O756" s="1280"/>
      <c r="P756" s="1280"/>
      <c r="Q756" s="1280"/>
      <c r="R756" s="1280"/>
      <c r="S756" s="1280"/>
      <c r="T756" s="1401"/>
      <c r="U756" s="1401"/>
      <c r="V756" s="1401"/>
      <c r="W756" s="1401"/>
      <c r="X756" s="1401"/>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5"/>
      <c r="O757" s="1280"/>
      <c r="P757" s="1280"/>
      <c r="Q757" s="1280"/>
      <c r="R757" s="1280"/>
      <c r="S757" s="1280"/>
      <c r="T757" s="1401"/>
      <c r="U757" s="1401"/>
      <c r="V757" s="1401"/>
      <c r="W757" s="1401"/>
      <c r="X757" s="1401"/>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4">
        <f>SUM(O754:S757)</f>
        <v>1</v>
      </c>
      <c r="P758" s="1405"/>
      <c r="Q758" s="1405"/>
      <c r="R758" s="1405"/>
      <c r="S758" s="1406"/>
      <c r="T758" s="1407" t="s">
        <v>131</v>
      </c>
      <c r="U758" s="1408"/>
      <c r="V758" s="1408"/>
      <c r="W758" s="1408"/>
      <c r="X758" s="1409"/>
      <c r="Y758" s="1386">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2" t="s">
        <v>420</v>
      </c>
      <c r="K764" s="1393"/>
      <c r="L764" s="1393"/>
      <c r="M764" s="1393"/>
      <c r="N764" s="1394"/>
      <c r="O764" s="1403" t="s">
        <v>301</v>
      </c>
      <c r="P764" s="1403"/>
      <c r="Q764" s="1403"/>
      <c r="R764" s="1403"/>
      <c r="S764" s="1403"/>
      <c r="T764" s="1403" t="s">
        <v>491</v>
      </c>
      <c r="U764" s="1403"/>
      <c r="V764" s="1403"/>
      <c r="W764" s="1403"/>
      <c r="X764" s="1403"/>
      <c r="Y764" s="1403" t="s">
        <v>302</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5"/>
      <c r="K765" s="1396"/>
      <c r="L765" s="1396"/>
      <c r="M765" s="1396"/>
      <c r="N765" s="1397"/>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5"/>
      <c r="K766" s="1396"/>
      <c r="L766" s="1396"/>
      <c r="M766" s="1396"/>
      <c r="N766" s="1397"/>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8"/>
      <c r="K767" s="1399"/>
      <c r="L767" s="1399"/>
      <c r="M767" s="1399"/>
      <c r="N767" s="1400"/>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5"/>
      <c r="O768" s="1280"/>
      <c r="P768" s="1280"/>
      <c r="Q768" s="1280"/>
      <c r="R768" s="1280"/>
      <c r="S768" s="1280"/>
      <c r="T768" s="1401"/>
      <c r="U768" s="1401"/>
      <c r="V768" s="1401"/>
      <c r="W768" s="1401"/>
      <c r="X768" s="1401"/>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5"/>
      <c r="O769" s="1280"/>
      <c r="P769" s="1280"/>
      <c r="Q769" s="1280"/>
      <c r="R769" s="1280"/>
      <c r="S769" s="1280"/>
      <c r="T769" s="1401"/>
      <c r="U769" s="1401"/>
      <c r="V769" s="1401"/>
      <c r="W769" s="1401"/>
      <c r="X769" s="1401"/>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5"/>
      <c r="O770" s="1280"/>
      <c r="P770" s="1280"/>
      <c r="Q770" s="1280"/>
      <c r="R770" s="1280"/>
      <c r="S770" s="1280"/>
      <c r="T770" s="1401"/>
      <c r="U770" s="1401"/>
      <c r="V770" s="1401"/>
      <c r="W770" s="1401"/>
      <c r="X770" s="1401"/>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5"/>
      <c r="O771" s="1280"/>
      <c r="P771" s="1280"/>
      <c r="Q771" s="1280"/>
      <c r="R771" s="1280"/>
      <c r="S771" s="1280"/>
      <c r="T771" s="1401"/>
      <c r="U771" s="1401"/>
      <c r="V771" s="1401"/>
      <c r="W771" s="1401"/>
      <c r="X771" s="1401"/>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5"/>
      <c r="O772" s="1280"/>
      <c r="P772" s="1280"/>
      <c r="Q772" s="1280"/>
      <c r="R772" s="1280"/>
      <c r="S772" s="1280"/>
      <c r="T772" s="1401"/>
      <c r="U772" s="1401"/>
      <c r="V772" s="1401"/>
      <c r="W772" s="1401"/>
      <c r="X772" s="1401"/>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5"/>
      <c r="O773" s="1280"/>
      <c r="P773" s="1280"/>
      <c r="Q773" s="1280"/>
      <c r="R773" s="1280"/>
      <c r="S773" s="1280"/>
      <c r="T773" s="1401"/>
      <c r="U773" s="1401"/>
      <c r="V773" s="1401"/>
      <c r="W773" s="1401"/>
      <c r="X773" s="1401"/>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5"/>
      <c r="O774" s="1280"/>
      <c r="P774" s="1280"/>
      <c r="Q774" s="1280"/>
      <c r="R774" s="1280"/>
      <c r="S774" s="1280"/>
      <c r="T774" s="1401"/>
      <c r="U774" s="1401"/>
      <c r="V774" s="1401"/>
      <c r="W774" s="1401"/>
      <c r="X774" s="1401"/>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5"/>
      <c r="O775" s="1280"/>
      <c r="P775" s="1280"/>
      <c r="Q775" s="1280"/>
      <c r="R775" s="1280"/>
      <c r="S775" s="1280"/>
      <c r="T775" s="1401"/>
      <c r="U775" s="1401"/>
      <c r="V775" s="1401"/>
      <c r="W775" s="1401"/>
      <c r="X775" s="1401"/>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5"/>
      <c r="O776" s="1280"/>
      <c r="P776" s="1280"/>
      <c r="Q776" s="1280"/>
      <c r="R776" s="1280"/>
      <c r="S776" s="1280"/>
      <c r="T776" s="1401"/>
      <c r="U776" s="1401"/>
      <c r="V776" s="1401"/>
      <c r="W776" s="1401"/>
      <c r="X776" s="1401"/>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5"/>
      <c r="O777" s="1280"/>
      <c r="P777" s="1280"/>
      <c r="Q777" s="1280"/>
      <c r="R777" s="1280"/>
      <c r="S777" s="1280"/>
      <c r="T777" s="1401"/>
      <c r="U777" s="1401"/>
      <c r="V777" s="1401"/>
      <c r="W777" s="1401"/>
      <c r="X777" s="1401"/>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8">
        <f>SUM(O768:S777)</f>
        <v>0</v>
      </c>
      <c r="P778" s="1418"/>
      <c r="Q778" s="1418"/>
      <c r="R778" s="1418"/>
      <c r="S778" s="1418"/>
      <c r="T778" s="1407" t="s">
        <v>131</v>
      </c>
      <c r="U778" s="1408"/>
      <c r="V778" s="1408"/>
      <c r="W778" s="1408"/>
      <c r="X778" s="1409"/>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9" t="s">
        <v>515</v>
      </c>
      <c r="BB779" s="1560"/>
      <c r="BC779" s="58"/>
      <c r="BD779" s="58"/>
      <c r="BE779" s="58"/>
      <c r="BF779" s="51" t="s">
        <v>684</v>
      </c>
      <c r="BG779" s="51"/>
      <c r="BH779" s="51"/>
      <c r="BI779" s="51"/>
      <c r="BJ779" s="51"/>
      <c r="BK779" s="51"/>
      <c r="BL779" s="51"/>
      <c r="BM779" s="51"/>
      <c r="BN779" s="51"/>
      <c r="BO779" s="1556" t="str">
        <f>T191</f>
        <v>Los Angeles</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32725</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392700</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2">
        <v>55</v>
      </c>
      <c r="AA786" s="1453"/>
      <c r="AB786" s="1453"/>
      <c r="AC786" s="1453"/>
      <c r="AD786" s="1453"/>
      <c r="AE786" s="14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4">
        <v>20</v>
      </c>
      <c r="AA787" s="1453"/>
      <c r="AB787" s="1453"/>
      <c r="AC787" s="1453"/>
      <c r="AD787" s="1453"/>
      <c r="AE787" s="14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52263</v>
      </c>
      <c r="AA788" s="1420"/>
      <c r="AB788" s="1420"/>
      <c r="AC788" s="1420"/>
      <c r="AD788" s="1420"/>
      <c r="AE788" s="142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682440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3360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v>0</v>
      </c>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v>0</v>
      </c>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87" t="s">
        <v>356</v>
      </c>
      <c r="Q796" s="1482"/>
      <c r="R796" s="1482"/>
      <c r="S796" s="1482"/>
      <c r="T796" s="1482"/>
      <c r="U796" s="1482"/>
      <c r="V796" s="1482"/>
      <c r="W796" s="1482"/>
      <c r="X796" s="1482"/>
      <c r="Y796" s="1483"/>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3360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5">
        <f>Z797+Y781+Z789</f>
        <v>1078500</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5" t="s">
        <v>133</v>
      </c>
      <c r="N803" s="1575"/>
      <c r="O803" s="1575"/>
      <c r="P803" s="1576"/>
      <c r="Q803" s="1564" t="s">
        <v>308</v>
      </c>
      <c r="R803" s="1564"/>
      <c r="S803" s="1564"/>
      <c r="T803" s="1564"/>
      <c r="U803" s="1564" t="s">
        <v>309</v>
      </c>
      <c r="V803" s="1564"/>
      <c r="W803" s="1564"/>
      <c r="X803" s="1564"/>
      <c r="Y803" s="1564" t="s">
        <v>310</v>
      </c>
      <c r="Z803" s="1564"/>
      <c r="AA803" s="1564"/>
      <c r="AB803" s="1564"/>
      <c r="AC803" s="1564" t="s">
        <v>384</v>
      </c>
      <c r="AD803" s="1564"/>
      <c r="AE803" s="1564"/>
      <c r="AF803" s="1564"/>
      <c r="AG803" s="1466" t="s">
        <v>357</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7"/>
      <c r="N804" s="1577"/>
      <c r="O804" s="1577"/>
      <c r="P804" s="1578"/>
      <c r="Q804" s="1564"/>
      <c r="R804" s="1564"/>
      <c r="S804" s="1564"/>
      <c r="T804" s="1564"/>
      <c r="U804" s="1564"/>
      <c r="V804" s="1564"/>
      <c r="W804" s="1564"/>
      <c r="X804" s="1564"/>
      <c r="Y804" s="1564"/>
      <c r="Z804" s="1564"/>
      <c r="AA804" s="1564"/>
      <c r="AB804" s="1564"/>
      <c r="AC804" s="1564"/>
      <c r="AD804" s="1564"/>
      <c r="AE804" s="1564"/>
      <c r="AF804" s="1564"/>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2" t="s">
        <v>45</v>
      </c>
      <c r="D805" s="1423"/>
      <c r="E805" s="1423"/>
      <c r="F805" s="1423"/>
      <c r="G805" s="1423"/>
      <c r="H805" s="1423"/>
      <c r="I805" s="80"/>
      <c r="J805" s="80"/>
      <c r="K805" s="80"/>
      <c r="L805" s="81"/>
      <c r="M805" s="1412"/>
      <c r="N805" s="1412"/>
      <c r="O805" s="1412"/>
      <c r="P805" s="1412"/>
      <c r="Q805" s="1412">
        <v>13</v>
      </c>
      <c r="R805" s="1412"/>
      <c r="S805" s="1412"/>
      <c r="T805" s="1412"/>
      <c r="U805" s="1412"/>
      <c r="V805" s="1412"/>
      <c r="W805" s="1412"/>
      <c r="X805" s="1412"/>
      <c r="Y805" s="1412"/>
      <c r="Z805" s="1412"/>
      <c r="AA805" s="1412"/>
      <c r="AB805" s="1412"/>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8"/>
      <c r="E806" s="1158"/>
      <c r="F806" s="1158"/>
      <c r="G806" s="1158"/>
      <c r="H806" s="1158"/>
      <c r="I806" s="77"/>
      <c r="J806" s="77"/>
      <c r="K806" s="77"/>
      <c r="L806" s="78"/>
      <c r="M806" s="1412"/>
      <c r="N806" s="1412"/>
      <c r="O806" s="1412"/>
      <c r="P806" s="1412"/>
      <c r="Q806" s="1412"/>
      <c r="R806" s="1412"/>
      <c r="S806" s="1412"/>
      <c r="T806" s="1412"/>
      <c r="U806" s="1412"/>
      <c r="V806" s="1412"/>
      <c r="W806" s="1412"/>
      <c r="X806" s="1412"/>
      <c r="Y806" s="1412"/>
      <c r="Z806" s="1412"/>
      <c r="AA806" s="1412"/>
      <c r="AB806" s="1412"/>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8"/>
      <c r="E807" s="1158"/>
      <c r="F807" s="1158"/>
      <c r="G807" s="1158"/>
      <c r="H807" s="1158"/>
      <c r="I807" s="96"/>
      <c r="J807" s="96"/>
      <c r="K807" s="96"/>
      <c r="L807" s="97"/>
      <c r="M807" s="1412"/>
      <c r="N807" s="1412"/>
      <c r="O807" s="1412"/>
      <c r="P807" s="1412"/>
      <c r="Q807" s="1412">
        <v>5</v>
      </c>
      <c r="R807" s="1412"/>
      <c r="S807" s="1412"/>
      <c r="T807" s="1412"/>
      <c r="U807" s="1412"/>
      <c r="V807" s="1412"/>
      <c r="W807" s="1412"/>
      <c r="X807" s="1412"/>
      <c r="Y807" s="1412"/>
      <c r="Z807" s="1412"/>
      <c r="AA807" s="1412"/>
      <c r="AB807" s="1412"/>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840</v>
      </c>
      <c r="D808" s="1158"/>
      <c r="E808" s="1158"/>
      <c r="F808" s="1158"/>
      <c r="G808" s="1158"/>
      <c r="H808" s="1158"/>
      <c r="I808" s="96"/>
      <c r="J808" s="96"/>
      <c r="K808" s="96"/>
      <c r="L808" s="97"/>
      <c r="M808" s="1412"/>
      <c r="N808" s="1412"/>
      <c r="O808" s="1412"/>
      <c r="P808" s="1412"/>
      <c r="Q808" s="1412"/>
      <c r="R808" s="1412"/>
      <c r="S808" s="1412"/>
      <c r="T808" s="1412"/>
      <c r="U808" s="1412"/>
      <c r="V808" s="1412"/>
      <c r="W808" s="1412"/>
      <c r="X808" s="1412"/>
      <c r="Y808" s="1412"/>
      <c r="Z808" s="1412"/>
      <c r="AA808" s="1412"/>
      <c r="AB808" s="1412"/>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505</v>
      </c>
      <c r="D809" s="1158"/>
      <c r="E809" s="1158"/>
      <c r="F809" s="1158"/>
      <c r="G809" s="1158"/>
      <c r="H809" s="1158"/>
      <c r="I809" s="96"/>
      <c r="J809" s="96"/>
      <c r="K809" s="96"/>
      <c r="L809" s="97"/>
      <c r="M809" s="1412"/>
      <c r="N809" s="1412"/>
      <c r="O809" s="1412"/>
      <c r="P809" s="1412"/>
      <c r="Q809" s="1412">
        <v>19</v>
      </c>
      <c r="R809" s="1412"/>
      <c r="S809" s="1412"/>
      <c r="T809" s="1412"/>
      <c r="U809" s="1412"/>
      <c r="V809" s="1412"/>
      <c r="W809" s="1412"/>
      <c r="X809" s="1412"/>
      <c r="Y809" s="1412"/>
      <c r="Z809" s="1412"/>
      <c r="AA809" s="1412"/>
      <c r="AB809" s="1412"/>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2" t="s">
        <v>864</v>
      </c>
      <c r="D810" s="1158"/>
      <c r="E810" s="1158"/>
      <c r="F810" s="1158"/>
      <c r="G810" s="1158"/>
      <c r="H810" s="1158"/>
      <c r="I810" s="96"/>
      <c r="J810" s="96"/>
      <c r="K810" s="96"/>
      <c r="L810" s="97"/>
      <c r="M810" s="1412"/>
      <c r="N810" s="1412"/>
      <c r="O810" s="1412"/>
      <c r="P810" s="1412"/>
      <c r="Q810" s="1412"/>
      <c r="R810" s="1412"/>
      <c r="S810" s="1412"/>
      <c r="T810" s="1412"/>
      <c r="U810" s="1412"/>
      <c r="V810" s="1412"/>
      <c r="W810" s="1412"/>
      <c r="X810" s="1412"/>
      <c r="Y810" s="1412"/>
      <c r="Z810" s="1412"/>
      <c r="AA810" s="1412"/>
      <c r="AB810" s="1412"/>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4" t="s">
        <v>1740</v>
      </c>
      <c r="G811" s="1195"/>
      <c r="H811" s="1195"/>
      <c r="I811" s="1195"/>
      <c r="J811" s="1195"/>
      <c r="K811" s="1195"/>
      <c r="L811" s="1196"/>
      <c r="M811" s="1412"/>
      <c r="N811" s="1412"/>
      <c r="O811" s="1412"/>
      <c r="P811" s="1412"/>
      <c r="Q811" s="1412">
        <v>2</v>
      </c>
      <c r="R811" s="1412"/>
      <c r="S811" s="1412"/>
      <c r="T811" s="1412"/>
      <c r="U811" s="1412"/>
      <c r="V811" s="1412"/>
      <c r="W811" s="1412"/>
      <c r="X811" s="1412"/>
      <c r="Y811" s="1412"/>
      <c r="Z811" s="1412"/>
      <c r="AA811" s="1412"/>
      <c r="AB811" s="1412"/>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3">
        <f>SUM(M805:P811)</f>
        <v>0</v>
      </c>
      <c r="N812" s="1413"/>
      <c r="O812" s="1413"/>
      <c r="P812" s="1413"/>
      <c r="Q812" s="1413">
        <f>SUM(Q805:T811)</f>
        <v>39</v>
      </c>
      <c r="R812" s="1413"/>
      <c r="S812" s="1413"/>
      <c r="T812" s="1413"/>
      <c r="U812" s="1413">
        <f>SUM(U805:X811)</f>
        <v>0</v>
      </c>
      <c r="V812" s="1413"/>
      <c r="W812" s="1413"/>
      <c r="X812" s="1413"/>
      <c r="Y812" s="1413">
        <f>SUM(Y805:AB811)</f>
        <v>0</v>
      </c>
      <c r="Z812" s="1413"/>
      <c r="AA812" s="1413"/>
      <c r="AB812" s="1413"/>
      <c r="AC812" s="1413">
        <f>SUM(AC805:AF811)</f>
        <v>0</v>
      </c>
      <c r="AD812" s="1413"/>
      <c r="AE812" s="1413"/>
      <c r="AF812" s="1413"/>
      <c r="AG812" s="1413">
        <f>SUM(AG805:AJ811)</f>
        <v>0</v>
      </c>
      <c r="AH812" s="1413"/>
      <c r="AI812" s="1413"/>
      <c r="AJ812" s="141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1741</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1200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v>6000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12000</v>
      </c>
      <c r="X824" s="1145"/>
      <c r="Y824" s="1145"/>
      <c r="Z824" s="1145"/>
      <c r="AA824" s="1145"/>
      <c r="AB824" s="1145"/>
      <c r="AC824" s="1145"/>
      <c r="AD824" s="12"/>
      <c r="AE824" s="12"/>
      <c r="AF824" s="12"/>
      <c r="AG824" s="12"/>
      <c r="AH824" s="12"/>
      <c r="AI824" s="12"/>
      <c r="AJ824" s="12"/>
      <c r="AK824" s="12"/>
      <c r="AL824" s="12"/>
      <c r="AS824" s="21"/>
      <c r="AT824" s="56"/>
      <c r="AV824" s="1585">
        <f>ROUNDDOWN(AP908*2,2)</f>
        <v>0</v>
      </c>
      <c r="AW824" s="1585"/>
      <c r="AX824" s="1585"/>
      <c r="AY824" s="158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v>10752</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4" t="s">
        <v>1742</v>
      </c>
      <c r="N826" s="1195"/>
      <c r="O826" s="1195"/>
      <c r="P826" s="1195"/>
      <c r="Q826" s="1195"/>
      <c r="R826" s="1195"/>
      <c r="S826" s="1195"/>
      <c r="T826" s="1195"/>
      <c r="U826" s="1195"/>
      <c r="V826" s="1196"/>
      <c r="W826" s="1145">
        <f>16200+13000</f>
        <v>29200</v>
      </c>
      <c r="X826" s="1145"/>
      <c r="Y826" s="1145"/>
      <c r="Z826" s="1145"/>
      <c r="AA826" s="1145"/>
      <c r="AB826" s="1145"/>
      <c r="AC826" s="11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59152</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8" t="s">
        <v>368</v>
      </c>
      <c r="K829" s="1269"/>
      <c r="L829" s="1269"/>
      <c r="M829" s="1269"/>
      <c r="N829" s="1269"/>
      <c r="O829" s="1269"/>
      <c r="P829" s="1269"/>
      <c r="Q829" s="1269"/>
      <c r="R829" s="1269"/>
      <c r="S829" s="1269"/>
      <c r="T829" s="1269"/>
      <c r="U829" s="1269"/>
      <c r="V829" s="1270"/>
      <c r="W829" s="1203">
        <v>40320</v>
      </c>
      <c r="X829" s="1204"/>
      <c r="Y829" s="1204"/>
      <c r="Z829" s="1204"/>
      <c r="AA829" s="1204"/>
      <c r="AB829" s="1204"/>
      <c r="AC829" s="120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5">
        <v>0</v>
      </c>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61"/>
      <c r="AU831" s="1461"/>
      <c r="AV831" s="1461"/>
      <c r="AW831" s="1461"/>
      <c r="AX831" s="1461"/>
      <c r="AY831" s="1461"/>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5">
        <v>23160</v>
      </c>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5">
        <v>10680</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5">
        <v>57200</v>
      </c>
      <c r="X834" s="1425"/>
      <c r="Y834" s="1425"/>
      <c r="Z834" s="1425"/>
      <c r="AA834" s="1425"/>
      <c r="AB834" s="1425"/>
      <c r="AC834" s="1425"/>
      <c r="AD834" s="12"/>
      <c r="AE834" s="12"/>
      <c r="AF834" s="12"/>
      <c r="AG834" s="12"/>
      <c r="AH834" s="12"/>
      <c r="AI834" s="12"/>
      <c r="AJ834" s="12"/>
      <c r="AK834" s="12"/>
      <c r="AL834" s="12"/>
      <c r="AM834" s="1428">
        <f>SUM(AM801:AM829)</f>
        <v>0</v>
      </c>
      <c r="AN834" s="142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6">
        <f>SUM(W831:AC834)</f>
        <v>91040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8">
        <v>89120</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8">
        <v>20280</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14" t="s">
        <v>356</v>
      </c>
      <c r="N839" s="1195"/>
      <c r="O839" s="1195"/>
      <c r="P839" s="1195"/>
      <c r="Q839" s="1195"/>
      <c r="R839" s="1195"/>
      <c r="S839" s="1195"/>
      <c r="T839" s="1195"/>
      <c r="U839" s="1195"/>
      <c r="V839" s="1196"/>
      <c r="W839" s="1218"/>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6">
        <f>SUM(W837:AC839)</f>
        <v>109400</v>
      </c>
      <c r="X840" s="1477"/>
      <c r="Y840" s="1477"/>
      <c r="Z840" s="1477"/>
      <c r="AA840" s="1477"/>
      <c r="AB840" s="1477"/>
      <c r="AC840" s="147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8">
        <v>22400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5">
        <v>2800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5">
        <v>11200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5">
        <v>11760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5">
        <v>4480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5">
        <v>11200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5">
        <v>5000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4" t="s">
        <v>1743</v>
      </c>
      <c r="N849" s="1195"/>
      <c r="O849" s="1195"/>
      <c r="P849" s="1195"/>
      <c r="Q849" s="1195"/>
      <c r="R849" s="1195"/>
      <c r="S849" s="1195"/>
      <c r="T849" s="1195"/>
      <c r="U849" s="1195"/>
      <c r="V849" s="1196"/>
      <c r="W849" s="1145">
        <v>1600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6">
        <f>SUM(W843:AC849)</f>
        <v>48040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94" t="s">
        <v>1744</v>
      </c>
      <c r="N852" s="1195"/>
      <c r="O852" s="1195"/>
      <c r="P852" s="1195"/>
      <c r="Q852" s="1195"/>
      <c r="R852" s="1195"/>
      <c r="S852" s="1195"/>
      <c r="T852" s="1195"/>
      <c r="U852" s="1195"/>
      <c r="V852" s="1196"/>
      <c r="W852" s="1203">
        <v>4785</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14" t="s">
        <v>356</v>
      </c>
      <c r="N853" s="1195"/>
      <c r="O853" s="1195"/>
      <c r="P853" s="1195"/>
      <c r="Q853" s="1195"/>
      <c r="R853" s="1195"/>
      <c r="S853" s="1195"/>
      <c r="T853" s="1195"/>
      <c r="U853" s="1195"/>
      <c r="V853" s="1196"/>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4" t="s">
        <v>356</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4" t="s">
        <v>356</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4" t="s">
        <v>356</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4785</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375137</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7">
        <f>O778+O758+G734</f>
        <v>56</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3">
        <f>IF(ISERROR((ROUNDDOWN(AC861/AC862,0))),0,(ROUNDDOWN(AC861/AC862,0)))</f>
        <v>6698</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3">
        <v>224083</v>
      </c>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5"/>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3"/>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16800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8960</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5" t="s">
        <v>1065</v>
      </c>
      <c r="F869" s="1416"/>
      <c r="G869" s="1416"/>
      <c r="H869" s="1416"/>
      <c r="I869" s="1416"/>
      <c r="J869" s="1416"/>
      <c r="K869" s="1416"/>
      <c r="L869" s="1416"/>
      <c r="M869" s="1416"/>
      <c r="N869" s="1416"/>
      <c r="O869" s="1416"/>
      <c r="P869" s="1416"/>
      <c r="Q869" s="1416"/>
      <c r="R869" s="1416"/>
      <c r="S869" s="1416"/>
      <c r="T869" s="1416"/>
      <c r="U869" s="1416"/>
      <c r="V869" s="1416"/>
      <c r="W869" s="1416"/>
      <c r="X869" s="1416"/>
      <c r="Y869" s="1416"/>
      <c r="Z869" s="1416"/>
      <c r="AA869" s="1416"/>
      <c r="AB869" s="1417"/>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5" t="s">
        <v>1065</v>
      </c>
      <c r="F870" s="1416"/>
      <c r="G870" s="1416"/>
      <c r="H870" s="1416"/>
      <c r="I870" s="1416"/>
      <c r="J870" s="1416"/>
      <c r="K870" s="1416"/>
      <c r="L870" s="1416"/>
      <c r="M870" s="1416"/>
      <c r="N870" s="1416"/>
      <c r="O870" s="1416"/>
      <c r="P870" s="1416"/>
      <c r="Q870" s="1416"/>
      <c r="R870" s="1416"/>
      <c r="S870" s="1416"/>
      <c r="T870" s="1416"/>
      <c r="U870" s="1416"/>
      <c r="V870" s="1416"/>
      <c r="W870" s="1416"/>
      <c r="X870" s="1416"/>
      <c r="Y870" s="1416"/>
      <c r="Z870" s="1416"/>
      <c r="AA870" s="1416"/>
      <c r="AB870" s="1417"/>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0</v>
      </c>
      <c r="AA877" s="1216"/>
      <c r="AB877" s="1216"/>
      <c r="AC877" s="1216"/>
      <c r="AD877" s="1216"/>
      <c r="AE877" s="1217"/>
      <c r="AM877" s="61"/>
      <c r="AO877" s="52" t="s">
        <v>179</v>
      </c>
      <c r="AP877" s="177">
        <v>20</v>
      </c>
      <c r="AQ877" s="1465">
        <f>IF(AD955&gt;0,0.2,0)</f>
        <v>0.2</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8">
        <f>IF(AD965&gt;0,0.07,0)</f>
        <v>0</v>
      </c>
      <c r="AR879" s="14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8">
        <f>IF(AD969&gt;0,0.02,0)</f>
        <v>0</v>
      </c>
      <c r="AR880" s="14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8">
        <f>IF(AD971&gt;0,0.02,0)</f>
        <v>0.02</v>
      </c>
      <c r="AR881" s="14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5">
        <f>AN891</f>
        <v>0</v>
      </c>
      <c r="AR882" s="14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5"/>
      <c r="AR884" s="1455"/>
      <c r="AS884" s="145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8">
        <f>IF(AD988&gt;0,0.1,0)</f>
        <v>0</v>
      </c>
      <c r="AR885" s="14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5">
        <f>SUM(AQ877:AQ885)</f>
        <v>0.22</v>
      </c>
      <c r="AR886" s="144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0.22</v>
      </c>
      <c r="AR888" s="14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9" t="s">
        <v>873</v>
      </c>
      <c r="G890" s="1480"/>
      <c r="H890" s="1480"/>
      <c r="I890" s="1480"/>
      <c r="J890" s="1480"/>
      <c r="K890" s="1480"/>
      <c r="L890" s="1480"/>
      <c r="M890" s="1480"/>
      <c r="N890" s="1480"/>
      <c r="O890" s="1480"/>
      <c r="P890" s="1480"/>
      <c r="Q890" s="1480"/>
      <c r="R890" s="1480"/>
      <c r="S890" s="1480"/>
      <c r="T890" s="1481"/>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902</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71" t="s">
        <v>423</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7" t="s">
        <v>591</v>
      </c>
      <c r="V893" s="1118"/>
      <c r="W893" s="1118"/>
      <c r="X893" s="1118"/>
      <c r="Y893" s="1118"/>
      <c r="Z893" s="1119"/>
      <c r="AA893" s="1192">
        <f>AE545</f>
        <v>16525000</v>
      </c>
      <c r="AB893" s="1157"/>
      <c r="AC893" s="1157"/>
      <c r="AD893" s="1157"/>
      <c r="AE893" s="1157"/>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7" t="s">
        <v>641</v>
      </c>
      <c r="V894" s="1118"/>
      <c r="W894" s="1118"/>
      <c r="X894" s="1118"/>
      <c r="Y894" s="1118"/>
      <c r="Z894" s="1119"/>
      <c r="AA894" s="1192"/>
      <c r="AB894" s="1157"/>
      <c r="AC894" s="1157"/>
      <c r="AD894" s="1157"/>
      <c r="AE894" s="1157"/>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7" t="s">
        <v>641</v>
      </c>
      <c r="V895" s="1118"/>
      <c r="W895" s="1118"/>
      <c r="X895" s="1118"/>
      <c r="Y895" s="1118"/>
      <c r="Z895" s="1119"/>
      <c r="AA895" s="1192"/>
      <c r="AB895" s="1157"/>
      <c r="AC895" s="1157"/>
      <c r="AD895" s="1157"/>
      <c r="AE895" s="1157"/>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7" t="s">
        <v>641</v>
      </c>
      <c r="V896" s="1118"/>
      <c r="W896" s="1118"/>
      <c r="X896" s="1118"/>
      <c r="Y896" s="1118"/>
      <c r="Z896" s="1119"/>
      <c r="AA896" s="1192"/>
      <c r="AB896" s="1157"/>
      <c r="AC896" s="1157"/>
      <c r="AD896" s="1157"/>
      <c r="AE896" s="1157"/>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7" t="s">
        <v>641</v>
      </c>
      <c r="V897" s="1118"/>
      <c r="W897" s="1118"/>
      <c r="X897" s="1118"/>
      <c r="Y897" s="1118"/>
      <c r="Z897" s="1119"/>
      <c r="AA897" s="1192"/>
      <c r="AB897" s="1157"/>
      <c r="AC897" s="1157"/>
      <c r="AD897" s="1157"/>
      <c r="AE897" s="1157"/>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7" t="s">
        <v>641</v>
      </c>
      <c r="V898" s="1118"/>
      <c r="W898" s="1118"/>
      <c r="X898" s="1118"/>
      <c r="Y898" s="1118"/>
      <c r="Z898" s="1119"/>
      <c r="AA898" s="1192"/>
      <c r="AB898" s="1157"/>
      <c r="AC898" s="1157"/>
      <c r="AD898" s="1157"/>
      <c r="AE898" s="1157"/>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7" t="s">
        <v>641</v>
      </c>
      <c r="V899" s="1118"/>
      <c r="W899" s="1118"/>
      <c r="X899" s="1118"/>
      <c r="Y899" s="1118"/>
      <c r="Z899" s="1119"/>
      <c r="AA899" s="1192"/>
      <c r="AB899" s="1157"/>
      <c r="AC899" s="1157"/>
      <c r="AD899" s="1157"/>
      <c r="AE899" s="1157"/>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7" t="s">
        <v>641</v>
      </c>
      <c r="V900" s="1118"/>
      <c r="W900" s="1118"/>
      <c r="X900" s="1118"/>
      <c r="Y900" s="1118"/>
      <c r="Z900" s="1119"/>
      <c r="AA900" s="1192"/>
      <c r="AB900" s="1157"/>
      <c r="AC900" s="1157"/>
      <c r="AD900" s="1157"/>
      <c r="AE900" s="1157"/>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7" t="s">
        <v>641</v>
      </c>
      <c r="V901" s="1118"/>
      <c r="W901" s="1118"/>
      <c r="X901" s="1118"/>
      <c r="Y901" s="1118"/>
      <c r="Z901" s="1119"/>
      <c r="AA901" s="1192"/>
      <c r="AB901" s="1157"/>
      <c r="AC901" s="1157"/>
      <c r="AD901" s="1157"/>
      <c r="AE901" s="1157"/>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7" t="s">
        <v>641</v>
      </c>
      <c r="V902" s="1118"/>
      <c r="W902" s="1118"/>
      <c r="X902" s="1118"/>
      <c r="Y902" s="1118"/>
      <c r="Z902" s="1119"/>
      <c r="AA902" s="1192"/>
      <c r="AB902" s="1157"/>
      <c r="AC902" s="1157"/>
      <c r="AD902" s="1157"/>
      <c r="AE902" s="1157"/>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7" t="s">
        <v>641</v>
      </c>
      <c r="V903" s="1118"/>
      <c r="W903" s="1118"/>
      <c r="X903" s="1118"/>
      <c r="Y903" s="1118"/>
      <c r="Z903" s="1119"/>
      <c r="AA903" s="1192"/>
      <c r="AB903" s="1157"/>
      <c r="AC903" s="1157"/>
      <c r="AD903" s="1157"/>
      <c r="AE903" s="1157"/>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7" t="s">
        <v>641</v>
      </c>
      <c r="V904" s="1118"/>
      <c r="W904" s="1118"/>
      <c r="X904" s="1118"/>
      <c r="Y904" s="1118"/>
      <c r="Z904" s="1119"/>
      <c r="AA904" s="1192"/>
      <c r="AB904" s="1157"/>
      <c r="AC904" s="1157"/>
      <c r="AD904" s="1157"/>
      <c r="AE904" s="1157"/>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7" t="s">
        <v>641</v>
      </c>
      <c r="V905" s="1118"/>
      <c r="W905" s="1118"/>
      <c r="X905" s="1118"/>
      <c r="Y905" s="1118"/>
      <c r="Z905" s="1119"/>
      <c r="AA905" s="1192"/>
      <c r="AB905" s="1157"/>
      <c r="AC905" s="1157"/>
      <c r="AD905" s="1157"/>
      <c r="AE905" s="1157"/>
      <c r="AF905" s="1193"/>
      <c r="AM905" s="1456">
        <f>G734+O778</f>
        <v>55</v>
      </c>
      <c r="AN905" s="145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7" t="s">
        <v>641</v>
      </c>
      <c r="V906" s="1118"/>
      <c r="W906" s="1118"/>
      <c r="X906" s="1118"/>
      <c r="Y906" s="1118"/>
      <c r="Z906" s="1119"/>
      <c r="AA906" s="1192"/>
      <c r="AB906" s="1157"/>
      <c r="AC906" s="1157"/>
      <c r="AD906" s="1157"/>
      <c r="AE906" s="1157"/>
      <c r="AF906" s="1193"/>
      <c r="AM906" s="52"/>
      <c r="AN906" s="21"/>
      <c r="AO906" s="1467">
        <f>ROUNDDOWN(X999/I999,2)</f>
        <v>0</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7" t="s">
        <v>641</v>
      </c>
      <c r="V907" s="1118"/>
      <c r="W907" s="1118"/>
      <c r="X907" s="1118"/>
      <c r="Y907" s="1118"/>
      <c r="Z907" s="1119"/>
      <c r="AA907" s="1192"/>
      <c r="AB907" s="1157"/>
      <c r="AC907" s="1157"/>
      <c r="AD907" s="1157"/>
      <c r="AE907" s="1157"/>
      <c r="AF907" s="1193"/>
      <c r="AM907" s="52"/>
      <c r="AN907" s="52"/>
      <c r="AO907" s="1490">
        <f>ROUNDDOWN(X1003/I1003,2)</f>
        <v>1</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7" t="s">
        <v>722</v>
      </c>
      <c r="Q908" s="1118"/>
      <c r="R908" s="1118"/>
      <c r="S908" s="1118"/>
      <c r="T908" s="1119"/>
      <c r="U908" s="1117" t="s">
        <v>641</v>
      </c>
      <c r="V908" s="1118"/>
      <c r="W908" s="1118"/>
      <c r="X908" s="1118"/>
      <c r="Y908" s="1118"/>
      <c r="Z908" s="1119"/>
      <c r="AA908" s="1192"/>
      <c r="AB908" s="1157"/>
      <c r="AC908" s="1157"/>
      <c r="AD908" s="1157"/>
      <c r="AE908" s="1157"/>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3" t="s">
        <v>356</v>
      </c>
      <c r="J909" s="1474"/>
      <c r="K909" s="1474"/>
      <c r="L909" s="1474"/>
      <c r="M909" s="1474"/>
      <c r="N909" s="1474"/>
      <c r="O909" s="1474"/>
      <c r="P909" s="1474"/>
      <c r="Q909" s="1474"/>
      <c r="R909" s="1474"/>
      <c r="S909" s="1474"/>
      <c r="T909" s="1475"/>
      <c r="U909" s="1117" t="s">
        <v>641</v>
      </c>
      <c r="V909" s="1118"/>
      <c r="W909" s="1118"/>
      <c r="X909" s="1118"/>
      <c r="Y909" s="1118"/>
      <c r="Z909" s="1119"/>
      <c r="AA909" s="1192"/>
      <c r="AB909" s="1157"/>
      <c r="AC909" s="1157"/>
      <c r="AD909" s="1157"/>
      <c r="AE909" s="1157"/>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3" t="s">
        <v>1788</v>
      </c>
      <c r="J910" s="1482"/>
      <c r="K910" s="1482"/>
      <c r="L910" s="1482"/>
      <c r="M910" s="1482"/>
      <c r="N910" s="1482"/>
      <c r="O910" s="1482"/>
      <c r="P910" s="1482"/>
      <c r="Q910" s="1482"/>
      <c r="R910" s="1482"/>
      <c r="S910" s="1482"/>
      <c r="T910" s="1483"/>
      <c r="U910" s="1117" t="s">
        <v>591</v>
      </c>
      <c r="V910" s="1118"/>
      <c r="W910" s="1118"/>
      <c r="X910" s="1118"/>
      <c r="Y910" s="1118"/>
      <c r="Z910" s="1119"/>
      <c r="AA910" s="1192">
        <v>12100000</v>
      </c>
      <c r="AB910" s="1157"/>
      <c r="AC910" s="1157"/>
      <c r="AD910" s="1157"/>
      <c r="AE910" s="1157"/>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3" t="s">
        <v>1786</v>
      </c>
      <c r="J911" s="1482"/>
      <c r="K911" s="1482"/>
      <c r="L911" s="1482"/>
      <c r="M911" s="1482"/>
      <c r="N911" s="1482"/>
      <c r="O911" s="1482"/>
      <c r="P911" s="1482"/>
      <c r="Q911" s="1482"/>
      <c r="R911" s="1482"/>
      <c r="S911" s="1482"/>
      <c r="T911" s="1483"/>
      <c r="U911" s="1117" t="s">
        <v>591</v>
      </c>
      <c r="V911" s="1118"/>
      <c r="W911" s="1118"/>
      <c r="X911" s="1118"/>
      <c r="Y911" s="1118"/>
      <c r="Z911" s="1119"/>
      <c r="AA911" s="1192">
        <v>2000000</v>
      </c>
      <c r="AB911" s="1157"/>
      <c r="AC911" s="1157"/>
      <c r="AD911" s="1157"/>
      <c r="AE911" s="1157"/>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3"/>
      <c r="J912" s="1482"/>
      <c r="K912" s="1482"/>
      <c r="L912" s="1482"/>
      <c r="M912" s="1482"/>
      <c r="N912" s="1482"/>
      <c r="O912" s="1482"/>
      <c r="P912" s="1482"/>
      <c r="Q912" s="1482"/>
      <c r="R912" s="1482"/>
      <c r="S912" s="1482"/>
      <c r="T912" s="1483"/>
      <c r="U912" s="1117" t="s">
        <v>641</v>
      </c>
      <c r="V912" s="1118"/>
      <c r="W912" s="1118"/>
      <c r="X912" s="1118"/>
      <c r="Y912" s="1118"/>
      <c r="Z912" s="1119"/>
      <c r="AA912" s="1192"/>
      <c r="AB912" s="1157"/>
      <c r="AC912" s="1157"/>
      <c r="AD912" s="1157"/>
      <c r="AE912" s="1157"/>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v>43524</v>
      </c>
      <c r="N917" s="1420"/>
      <c r="O917" s="1420"/>
      <c r="P917" s="1420"/>
      <c r="Q917" s="1420"/>
      <c r="R917" s="1420"/>
      <c r="S917" s="1421"/>
      <c r="U917" s="103" t="s">
        <v>11</v>
      </c>
      <c r="V917" s="77"/>
      <c r="W917" s="77"/>
      <c r="X917" s="77"/>
      <c r="Y917" s="77"/>
      <c r="Z917" s="77"/>
      <c r="AA917" s="77"/>
      <c r="AB917" s="77"/>
      <c r="AC917" s="77"/>
      <c r="AD917" s="78"/>
      <c r="AE917" s="1499"/>
      <c r="AF917" s="1420"/>
      <c r="AG917" s="1420"/>
      <c r="AH917" s="1420"/>
      <c r="AI917" s="1420"/>
      <c r="AJ917" s="1420"/>
      <c r="AK917" s="142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2" t="s">
        <v>1745</v>
      </c>
      <c r="N918" s="1463"/>
      <c r="O918" s="1463"/>
      <c r="P918" s="1463"/>
      <c r="Q918" s="1463"/>
      <c r="R918" s="1463"/>
      <c r="S918" s="1464"/>
      <c r="U918" s="103" t="s">
        <v>12</v>
      </c>
      <c r="V918" s="77"/>
      <c r="W918" s="77"/>
      <c r="X918" s="77"/>
      <c r="Y918" s="77"/>
      <c r="Z918" s="77"/>
      <c r="AA918" s="77"/>
      <c r="AB918" s="77"/>
      <c r="AC918" s="77"/>
      <c r="AD918" s="78"/>
      <c r="AE918" s="1462"/>
      <c r="AF918" s="1463"/>
      <c r="AG918" s="1463"/>
      <c r="AH918" s="1463"/>
      <c r="AI918" s="1463"/>
      <c r="AJ918" s="1463"/>
      <c r="AK918" s="14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8" t="s">
        <v>1746</v>
      </c>
      <c r="K919" s="1509"/>
      <c r="L919" s="1509"/>
      <c r="M919" s="1509"/>
      <c r="N919" s="1509"/>
      <c r="O919" s="1509"/>
      <c r="P919" s="1509"/>
      <c r="Q919" s="1509"/>
      <c r="R919" s="1509"/>
      <c r="S919" s="1510"/>
      <c r="U919" s="103" t="s">
        <v>974</v>
      </c>
      <c r="V919" s="77"/>
      <c r="W919" s="77"/>
      <c r="AB919" s="1508" t="s">
        <v>328</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2">
        <v>55</v>
      </c>
      <c r="N921" s="1453"/>
      <c r="O921" s="1453"/>
      <c r="P921" s="1453"/>
      <c r="Q921" s="1453"/>
      <c r="R921" s="1453"/>
      <c r="S921" s="1454"/>
      <c r="U921" s="103" t="s">
        <v>14</v>
      </c>
      <c r="V921" s="77"/>
      <c r="W921" s="77"/>
      <c r="X921" s="77"/>
      <c r="Y921" s="77"/>
      <c r="Z921" s="77"/>
      <c r="AA921" s="77"/>
      <c r="AB921" s="77"/>
      <c r="AC921" s="77"/>
      <c r="AD921" s="78"/>
      <c r="AE921" s="1452"/>
      <c r="AF921" s="1453"/>
      <c r="AG921" s="1453"/>
      <c r="AH921" s="1453"/>
      <c r="AI921" s="1453"/>
      <c r="AJ921" s="1453"/>
      <c r="AK921" s="14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M923/M924</f>
        <v>1100880</v>
      </c>
      <c r="N922" s="1157"/>
      <c r="O922" s="1157"/>
      <c r="P922" s="1157"/>
      <c r="Q922" s="1157"/>
      <c r="R922" s="1157"/>
      <c r="S922" s="1193"/>
      <c r="U922" s="103" t="s">
        <v>15</v>
      </c>
      <c r="V922" s="77"/>
      <c r="W922" s="77"/>
      <c r="X922" s="77"/>
      <c r="Y922" s="77"/>
      <c r="Z922" s="77"/>
      <c r="AA922" s="77"/>
      <c r="AB922" s="77"/>
      <c r="AC922" s="77"/>
      <c r="AD922" s="78"/>
      <c r="AE922" s="1192"/>
      <c r="AF922" s="1157"/>
      <c r="AG922" s="1157"/>
      <c r="AH922" s="1157"/>
      <c r="AI922" s="1157"/>
      <c r="AJ922" s="1157"/>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v>22017600</v>
      </c>
      <c r="N923" s="1157"/>
      <c r="O923" s="1157"/>
      <c r="P923" s="1157"/>
      <c r="Q923" s="1157"/>
      <c r="R923" s="1157"/>
      <c r="S923" s="1193"/>
      <c r="U923" s="103" t="s">
        <v>16</v>
      </c>
      <c r="V923" s="77"/>
      <c r="W923" s="77"/>
      <c r="X923" s="77"/>
      <c r="Y923" s="77"/>
      <c r="Z923" s="77"/>
      <c r="AA923" s="77"/>
      <c r="AB923" s="77"/>
      <c r="AC923" s="77"/>
      <c r="AD923" s="78"/>
      <c r="AE923" s="1192"/>
      <c r="AF923" s="1157"/>
      <c r="AG923" s="1157"/>
      <c r="AH923" s="1157"/>
      <c r="AI923" s="1157"/>
      <c r="AJ923" s="1157"/>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8">
        <v>20</v>
      </c>
      <c r="N924" s="1459"/>
      <c r="O924" s="1459"/>
      <c r="P924" s="1459"/>
      <c r="Q924" s="1459"/>
      <c r="R924" s="1459"/>
      <c r="S924" s="1460"/>
      <c r="U924" s="103" t="s">
        <v>620</v>
      </c>
      <c r="V924" s="77"/>
      <c r="W924" s="77"/>
      <c r="X924" s="77"/>
      <c r="Y924" s="77"/>
      <c r="Z924" s="77"/>
      <c r="AA924" s="77"/>
      <c r="AB924" s="77"/>
      <c r="AC924" s="77"/>
      <c r="AD924" s="78"/>
      <c r="AE924" s="1458"/>
      <c r="AF924" s="1459"/>
      <c r="AG924" s="1459"/>
      <c r="AH924" s="1459"/>
      <c r="AI924" s="1459"/>
      <c r="AJ924" s="1459"/>
      <c r="AK924" s="14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1"/>
      <c r="N929" s="1432"/>
      <c r="O929" s="1432"/>
      <c r="P929" s="1432"/>
      <c r="Q929" s="1432"/>
      <c r="R929" s="1432"/>
      <c r="S929" s="1433"/>
      <c r="T929" s="103" t="s">
        <v>871</v>
      </c>
      <c r="U929" s="77"/>
      <c r="V929" s="77"/>
      <c r="W929" s="77"/>
      <c r="X929" s="77"/>
      <c r="Y929" s="77"/>
      <c r="Z929" s="78"/>
      <c r="AA929" s="1431"/>
      <c r="AB929" s="1432"/>
      <c r="AC929" s="1432"/>
      <c r="AD929" s="1432"/>
      <c r="AE929" s="1432"/>
      <c r="AF929" s="1432"/>
      <c r="AG929" s="143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1"/>
      <c r="N930" s="1432"/>
      <c r="O930" s="1432"/>
      <c r="P930" s="1432"/>
      <c r="Q930" s="1432"/>
      <c r="R930" s="1432"/>
      <c r="S930" s="1433"/>
      <c r="T930" s="103" t="s">
        <v>870</v>
      </c>
      <c r="U930" s="77"/>
      <c r="V930" s="77"/>
      <c r="W930" s="77"/>
      <c r="X930" s="77"/>
      <c r="Y930" s="77"/>
      <c r="Z930" s="78"/>
      <c r="AA930" s="1431"/>
      <c r="AB930" s="1432"/>
      <c r="AC930" s="1432"/>
      <c r="AD930" s="1432"/>
      <c r="AE930" s="1432"/>
      <c r="AF930" s="1432"/>
      <c r="AG930" s="143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3" t="s">
        <v>641</v>
      </c>
      <c r="N931" s="1504"/>
      <c r="O931" s="1504"/>
      <c r="P931" s="1504"/>
      <c r="Q931" s="1504"/>
      <c r="R931" s="1504"/>
      <c r="S931" s="1505"/>
      <c r="T931" s="76" t="s">
        <v>359</v>
      </c>
      <c r="U931" s="77"/>
      <c r="V931" s="77"/>
      <c r="W931" s="77"/>
      <c r="X931" s="77"/>
      <c r="Y931" s="77"/>
      <c r="Z931" s="78"/>
      <c r="AA931" s="1431"/>
      <c r="AB931" s="1432"/>
      <c r="AC931" s="1432"/>
      <c r="AD931" s="1432"/>
      <c r="AE931" s="1432"/>
      <c r="AF931" s="1432"/>
      <c r="AG931" s="143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1"/>
      <c r="N932" s="1432"/>
      <c r="O932" s="1432"/>
      <c r="P932" s="1432"/>
      <c r="Q932" s="1432"/>
      <c r="R932" s="1432"/>
      <c r="S932" s="1433"/>
      <c r="T932" s="76" t="s">
        <v>360</v>
      </c>
      <c r="U932" s="77"/>
      <c r="V932" s="77"/>
      <c r="W932" s="77"/>
      <c r="X932" s="77"/>
      <c r="Y932" s="77"/>
      <c r="Z932" s="78"/>
      <c r="AA932" s="1431"/>
      <c r="AB932" s="1432"/>
      <c r="AC932" s="1432"/>
      <c r="AD932" s="1432"/>
      <c r="AE932" s="1432"/>
      <c r="AF932" s="1432"/>
      <c r="AG932" s="143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1"/>
      <c r="N933" s="1432"/>
      <c r="O933" s="1432"/>
      <c r="P933" s="1432"/>
      <c r="Q933" s="1432"/>
      <c r="R933" s="1432"/>
      <c r="S933" s="1433"/>
      <c r="T933" s="76" t="s">
        <v>407</v>
      </c>
      <c r="U933" s="77"/>
      <c r="V933" s="77"/>
      <c r="W933" s="77"/>
      <c r="X933" s="77"/>
      <c r="Y933" s="77"/>
      <c r="Z933" s="78"/>
      <c r="AA933" s="1431"/>
      <c r="AB933" s="1432"/>
      <c r="AC933" s="1432"/>
      <c r="AD933" s="1432"/>
      <c r="AE933" s="1432"/>
      <c r="AF933" s="1432"/>
      <c r="AG933" s="143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7" t="s">
        <v>328</v>
      </c>
      <c r="N934" s="1488"/>
      <c r="O934" s="1488"/>
      <c r="P934" s="1488"/>
      <c r="Q934" s="1488"/>
      <c r="R934" s="1488"/>
      <c r="S934" s="1489"/>
      <c r="T934" s="1470"/>
      <c r="U934" s="1471"/>
      <c r="V934" s="1471"/>
      <c r="W934" s="1471"/>
      <c r="X934" s="1471"/>
      <c r="Y934" s="1471"/>
      <c r="Z934" s="1472"/>
      <c r="AA934" s="1431"/>
      <c r="AB934" s="1432"/>
      <c r="AC934" s="1432"/>
      <c r="AD934" s="1432"/>
      <c r="AE934" s="1432"/>
      <c r="AF934" s="1432"/>
      <c r="AG934" s="143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1"/>
      <c r="N935" s="1432"/>
      <c r="O935" s="1432"/>
      <c r="P935" s="1432"/>
      <c r="Q935" s="1432"/>
      <c r="R935" s="1432"/>
      <c r="S935" s="1433"/>
      <c r="T935" s="1470"/>
      <c r="U935" s="1471"/>
      <c r="V935" s="1471"/>
      <c r="W935" s="1471"/>
      <c r="X935" s="1471"/>
      <c r="Y935" s="1471"/>
      <c r="Z935" s="1472"/>
      <c r="AA935" s="1431"/>
      <c r="AB935" s="1432"/>
      <c r="AC935" s="1432"/>
      <c r="AD935" s="1432"/>
      <c r="AE935" s="1432"/>
      <c r="AF935" s="1432"/>
      <c r="AG935" s="143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50" t="s">
        <v>722</v>
      </c>
      <c r="P936" s="1165"/>
      <c r="Q936" s="142"/>
      <c r="R936" s="142"/>
      <c r="S936" s="143"/>
      <c r="T936" s="71" t="s">
        <v>176</v>
      </c>
      <c r="U936" s="72"/>
      <c r="V936" s="72"/>
      <c r="W936" s="1414" t="s">
        <v>356</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2" t="s">
        <v>36</v>
      </c>
      <c r="G937" s="1423"/>
      <c r="H937" s="1423"/>
      <c r="I937" s="1423"/>
      <c r="J937" s="1423"/>
      <c r="K937" s="1423"/>
      <c r="L937" s="1423"/>
      <c r="M937" s="1431"/>
      <c r="N937" s="1432"/>
      <c r="O937" s="1432"/>
      <c r="P937" s="1432"/>
      <c r="Q937" s="1432"/>
      <c r="R937" s="1432"/>
      <c r="S937" s="1433"/>
      <c r="T937" s="79"/>
      <c r="U937" s="80"/>
      <c r="V937" s="80"/>
      <c r="W937" s="80"/>
      <c r="X937" s="80"/>
      <c r="Y937" s="80"/>
      <c r="Z937" s="196" t="s">
        <v>141</v>
      </c>
      <c r="AA937" s="1449"/>
      <c r="AB937" s="1450"/>
      <c r="AC937" s="1450"/>
      <c r="AD937" s="1450"/>
      <c r="AE937" s="1450"/>
      <c r="AF937" s="1450"/>
      <c r="AG937" s="145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1"/>
      <c r="AU941" s="1461"/>
      <c r="AV941" s="1461"/>
      <c r="AW941" s="1461"/>
      <c r="AX941" s="1461"/>
      <c r="AY941" s="14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4" t="s">
        <v>688</v>
      </c>
      <c r="C946" s="1444"/>
      <c r="D946" s="1444"/>
      <c r="E946" s="1444"/>
      <c r="F946" s="1444"/>
      <c r="G946" s="1444"/>
      <c r="H946" s="1444"/>
      <c r="I946" s="1444"/>
      <c r="J946" s="1444"/>
      <c r="K946" s="1444"/>
      <c r="L946" s="1444" t="s">
        <v>689</v>
      </c>
      <c r="M946" s="1444"/>
      <c r="N946" s="1444"/>
      <c r="O946" s="1444"/>
      <c r="P946" s="1444"/>
      <c r="Q946" s="1444"/>
      <c r="R946" s="1444"/>
      <c r="S946" s="1444"/>
      <c r="T946" s="1444"/>
      <c r="U946" s="1444"/>
      <c r="V946" s="1444" t="s">
        <v>690</v>
      </c>
      <c r="W946" s="1444"/>
      <c r="X946" s="1444"/>
      <c r="Y946" s="1444"/>
      <c r="Z946" s="1444"/>
      <c r="AA946" s="1444"/>
      <c r="AB946" s="1444"/>
      <c r="AC946" s="1444"/>
      <c r="AD946" s="1511" t="s">
        <v>691</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683</v>
      </c>
      <c r="C947" s="1574"/>
      <c r="D947" s="1574"/>
      <c r="E947" s="1574"/>
      <c r="F947" s="1574"/>
      <c r="G947" s="1574"/>
      <c r="H947" s="1574"/>
      <c r="I947" s="1574"/>
      <c r="J947" s="1574"/>
      <c r="K947" s="1574"/>
      <c r="L947" s="1445">
        <f>IF(ISNA(IF($BA$779="4%",(INDEX($BC$789:$BG$846,MATCH($BO$779,$BB$789:$BB$846,0),MATCH(B947,$BC$788:$BG$788,0))),(INDEX($BJ$789:$BN$846,MATCH($BO$779,$BI$789:$BI$846,0),MATCH(B947,$BJ$788:$BN$788,0))))),0,IF($BA$779="4%",(INDEX($BC$789:$BG$846,MATCH($BO$779,$BB$789:$BB$846,0),MATCH(B947,$BC$788:$BG$788,0))),(INDEX($BJ$789:$BN$846,MATCH($BO$779,$BI$789:$BI$846,0),MATCH(B947,$BJ$788:$BN$788,0)))))</f>
        <v>293352</v>
      </c>
      <c r="M947" s="1446"/>
      <c r="N947" s="1446"/>
      <c r="O947" s="1446"/>
      <c r="P947" s="1446"/>
      <c r="Q947" s="1446"/>
      <c r="R947" s="1446"/>
      <c r="S947" s="1446"/>
      <c r="T947" s="1446"/>
      <c r="U947" s="1447"/>
      <c r="V947" s="1248">
        <f>BA635</f>
        <v>0</v>
      </c>
      <c r="W947" s="1248"/>
      <c r="X947" s="1248"/>
      <c r="Y947" s="1248"/>
      <c r="Z947" s="1248"/>
      <c r="AA947" s="1248"/>
      <c r="AB947" s="1248"/>
      <c r="AC947" s="1248"/>
      <c r="AD947" s="1210">
        <f>IF(ISERROR((L947*V947)),0,(L947*V947))</f>
        <v>0</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45">
        <f>IF(ISNA(IF($BA$779="4%",(INDEX($BC$789:$BG$846,MATCH($BO$779,$BB$789:$BB$846,0),MATCH(B948,$BC$788:$BG$788,0))),(INDEX($BJ$789:$BN$846,MATCH($BO$779,$BI$789:$BI$846,0),MATCH(B948,$BJ$788:$BN$788,0))))),0,IF($BA$779="4%",(INDEX($BC$789:$BG$846,MATCH($BO$779,$BB$789:$BB$846,0),MATCH(B948,$BC$788:$BG$788,0))),(INDEX($BJ$789:$BN$846,MATCH($BO$779,$BI$789:$BI$846,0),MATCH(B948,$BJ$788:$BN$788,0)))))</f>
        <v>338232</v>
      </c>
      <c r="M948" s="1446"/>
      <c r="N948" s="1446"/>
      <c r="O948" s="1446"/>
      <c r="P948" s="1446"/>
      <c r="Q948" s="1446"/>
      <c r="R948" s="1446"/>
      <c r="S948" s="1446"/>
      <c r="T948" s="1446"/>
      <c r="U948" s="1447"/>
      <c r="V948" s="1248">
        <f>BF635</f>
        <v>55</v>
      </c>
      <c r="W948" s="1248"/>
      <c r="X948" s="1248"/>
      <c r="Y948" s="1248"/>
      <c r="Z948" s="1248"/>
      <c r="AA948" s="1248"/>
      <c r="AB948" s="1248"/>
      <c r="AC948" s="1248"/>
      <c r="AD948" s="1210">
        <f>IF(ISERROR((L948*V948)),0,(L948*V948))</f>
        <v>18602760</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5">
        <f>IF(ISNA(IF($BA$779="4%",(INDEX($BC$789:$BG$846,MATCH($BO$779,$BB$789:$BB$846,0),MATCH(B949,$BC$788:$BG$788,0))),(INDEX($BJ$789:$BN$846,MATCH($BO$779,$BI$789:$BI$846,0),MATCH(B949,$BJ$788:$BN$788,0))))),0,IF($BA$779="4%",(INDEX($BC$789:$BG$846,MATCH($BO$779,$BB$789:$BB$846,0),MATCH(B949,$BC$788:$BG$788,0))),(INDEX($BJ$789:$BN$846,MATCH($BO$779,$BI$789:$BI$846,0),MATCH(B949,$BJ$788:$BN$788,0)))))</f>
        <v>408000</v>
      </c>
      <c r="M949" s="1446"/>
      <c r="N949" s="1446"/>
      <c r="O949" s="1446"/>
      <c r="P949" s="1446"/>
      <c r="Q949" s="1446"/>
      <c r="R949" s="1446"/>
      <c r="S949" s="1446"/>
      <c r="T949" s="1446"/>
      <c r="U949" s="1447"/>
      <c r="V949" s="1248">
        <f>BK635</f>
        <v>1</v>
      </c>
      <c r="W949" s="1248"/>
      <c r="X949" s="1248"/>
      <c r="Y949" s="1248"/>
      <c r="Z949" s="1248"/>
      <c r="AA949" s="1248"/>
      <c r="AB949" s="1248"/>
      <c r="AC949" s="1248"/>
      <c r="AD949" s="1210">
        <f>IF(ISERROR((L949*V949)),0,(L949*V949))</f>
        <v>408000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5">
        <f>IF(ISNA(IF($BA$779="4%",(INDEX($BC$789:$BG$846,MATCH($BO$779,$BB$789:$BB$846,0),MATCH(B950,$BC$788:$BG$788,0))),(INDEX($BJ$789:$BN$846,MATCH($BO$779,$BI$789:$BI$846,0),MATCH(B950,$BJ$788:$BN$788,0))))),0,IF($BA$779="4%",(INDEX($BC$789:$BG$846,MATCH($BO$779,$BB$789:$BB$846,0),MATCH(B950,$BC$788:$BG$788,0))),(INDEX($BJ$789:$BN$846,MATCH($BO$779,$BI$789:$BI$846,0),MATCH(B950,$BJ$788:$BN$788,0)))))</f>
        <v>522240</v>
      </c>
      <c r="M950" s="1446"/>
      <c r="N950" s="1446"/>
      <c r="O950" s="1446"/>
      <c r="P950" s="1446"/>
      <c r="Q950" s="1446"/>
      <c r="R950" s="1446"/>
      <c r="S950" s="1446"/>
      <c r="T950" s="1446"/>
      <c r="U950" s="1447"/>
      <c r="V950" s="1248">
        <f>BP635</f>
        <v>0</v>
      </c>
      <c r="W950" s="1248"/>
      <c r="X950" s="1248"/>
      <c r="Y950" s="1248"/>
      <c r="Z950" s="1248"/>
      <c r="AA950" s="1248"/>
      <c r="AB950" s="1248"/>
      <c r="AC950" s="1248"/>
      <c r="AD950" s="1210">
        <f>IF(ISERROR((L950*V950)),0,(L950*V950))</f>
        <v>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506</v>
      </c>
      <c r="C951" s="1299"/>
      <c r="D951" s="1299"/>
      <c r="E951" s="1299"/>
      <c r="F951" s="1299"/>
      <c r="G951" s="1299"/>
      <c r="H951" s="1299"/>
      <c r="I951" s="1299"/>
      <c r="J951" s="1299"/>
      <c r="K951" s="1299"/>
      <c r="L951" s="1445">
        <f>IF(ISNA(IF($BA$779="4%",(INDEX($BC$789:$BG$846,MATCH($BO$779,$BB$789:$BB$846,0),MATCH(B951,$BC$788:$BG$788,0))),(INDEX($BJ$789:$BN$846,MATCH($BO$779,$BI$789:$BI$846,0),MATCH(B951,$BJ$788:$BN$788,0))))),0,IF($BA$779="4%",(INDEX($BC$789:$BG$846,MATCH($BO$779,$BB$789:$BB$846,0),MATCH(B951,$BC$788:$BG$788,0))),(INDEX($BJ$789:$BN$846,MATCH($BO$779,$BI$789:$BI$846,0),MATCH(B951,$BJ$788:$BN$788,0)))))</f>
        <v>581808</v>
      </c>
      <c r="M951" s="1446"/>
      <c r="N951" s="1446"/>
      <c r="O951" s="1446"/>
      <c r="P951" s="1446"/>
      <c r="Q951" s="1446"/>
      <c r="R951" s="1446"/>
      <c r="S951" s="1446"/>
      <c r="T951" s="1446"/>
      <c r="U951" s="1447"/>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9" t="s">
        <v>872</v>
      </c>
      <c r="C952" s="1580"/>
      <c r="D952" s="1580"/>
      <c r="E952" s="1580"/>
      <c r="F952" s="1580"/>
      <c r="G952" s="1580"/>
      <c r="H952" s="1580"/>
      <c r="I952" s="1580"/>
      <c r="J952" s="1580"/>
      <c r="K952" s="1580"/>
      <c r="L952" s="1580"/>
      <c r="M952" s="1580"/>
      <c r="N952" s="1580"/>
      <c r="O952" s="1580"/>
      <c r="P952" s="1580"/>
      <c r="Q952" s="1580"/>
      <c r="R952" s="1580"/>
      <c r="S952" s="1580"/>
      <c r="T952" s="1580"/>
      <c r="U952" s="1581"/>
      <c r="V952" s="1436">
        <f>SUM(V947:AC951)</f>
        <v>56</v>
      </c>
      <c r="W952" s="1437"/>
      <c r="X952" s="1437"/>
      <c r="Y952" s="1437"/>
      <c r="Z952" s="1437"/>
      <c r="AA952" s="1437"/>
      <c r="AB952" s="1437"/>
      <c r="AC952" s="1438"/>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558</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9">
        <f>SUM(AD947:AK951)</f>
        <v>19010760</v>
      </c>
      <c r="AE953" s="1440"/>
      <c r="AF953" s="1440"/>
      <c r="AG953" s="1440"/>
      <c r="AH953" s="1440"/>
      <c r="AI953" s="1440"/>
      <c r="AJ953" s="1440"/>
      <c r="AK953" s="144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719</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6" t="s">
        <v>591</v>
      </c>
      <c r="AB955" s="1507"/>
      <c r="AC955" s="128"/>
      <c r="AD955" s="1188">
        <f>ROUND(IF(AND(AA955="yes",D957&gt;0),AD953*0.2,0),0)</f>
        <v>3802152</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90"/>
      <c r="AE956" s="1190"/>
      <c r="AF956" s="1190"/>
      <c r="AG956" s="1190"/>
      <c r="AH956" s="1190"/>
      <c r="AI956" s="1190"/>
      <c r="AJ956" s="1190"/>
      <c r="AK956" s="119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t="s">
        <v>1789</v>
      </c>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4" t="s">
        <v>722</v>
      </c>
      <c r="AB958" s="1435"/>
      <c r="AC958" s="128"/>
      <c r="AD958" s="1442">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3"/>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3"/>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3"/>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3"/>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3"/>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4" t="s">
        <v>722</v>
      </c>
      <c r="AB965" s="1435"/>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500" t="s">
        <v>722</v>
      </c>
      <c r="AB969" s="1501"/>
      <c r="AC969" s="51"/>
      <c r="AD969" s="1442">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3"/>
      <c r="AE970" s="1190"/>
      <c r="AF970" s="1190"/>
      <c r="AG970" s="1190"/>
      <c r="AH970" s="1190"/>
      <c r="AI970" s="1190"/>
      <c r="AJ970" s="1190"/>
      <c r="AK970" s="1191"/>
      <c r="AL970" s="105"/>
      <c r="AO970" s="945"/>
      <c r="AP970" s="945"/>
      <c r="AQ970" s="945"/>
      <c r="AR970" s="945"/>
      <c r="AS970" s="945"/>
    </row>
    <row r="971" spans="1:96" ht="12.75" customHeight="1">
      <c r="A971" s="51"/>
      <c r="B971" s="120"/>
      <c r="C971" s="121" t="s">
        <v>229</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4" t="s">
        <v>591</v>
      </c>
      <c r="AB971" s="1435"/>
      <c r="AC971" s="120"/>
      <c r="AD971" s="1442">
        <f>ROUND(IF(AA971="yes",AD953*0.02,0),0)</f>
        <v>380215</v>
      </c>
      <c r="AE971" s="1188"/>
      <c r="AF971" s="1188"/>
      <c r="AG971" s="1188"/>
      <c r="AH971" s="1188"/>
      <c r="AI971" s="1188"/>
      <c r="AJ971" s="1188"/>
      <c r="AK971" s="1189"/>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3"/>
      <c r="AE972" s="1190"/>
      <c r="AF972" s="1190"/>
      <c r="AG972" s="1190"/>
      <c r="AH972" s="1190"/>
      <c r="AI972" s="1190"/>
      <c r="AJ972" s="1190"/>
      <c r="AK972" s="1191"/>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4" t="s">
        <v>722</v>
      </c>
      <c r="AB974" s="1435"/>
      <c r="AC974" s="128"/>
      <c r="AD974" s="1442">
        <f>IF(AA974="yes",AD953*AN891,0)</f>
        <v>0</v>
      </c>
      <c r="AE974" s="1188"/>
      <c r="AF974" s="1188"/>
      <c r="AG974" s="1188"/>
      <c r="AH974" s="1188"/>
      <c r="AI974" s="1188"/>
      <c r="AJ974" s="1188"/>
      <c r="AK974" s="1189"/>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3"/>
      <c r="AE975" s="1190"/>
      <c r="AF975" s="1190"/>
      <c r="AG975" s="1190"/>
      <c r="AH975" s="1190"/>
      <c r="AI975" s="1190"/>
      <c r="AJ975" s="1190"/>
      <c r="AK975" s="1191"/>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3"/>
      <c r="AE976" s="1190"/>
      <c r="AF976" s="1190"/>
      <c r="AG976" s="1190"/>
      <c r="AH976" s="1190"/>
      <c r="AI976" s="1190"/>
      <c r="AJ976" s="1190"/>
      <c r="AK976" s="1191"/>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0" t="s">
        <v>722</v>
      </c>
      <c r="AB978" s="1501"/>
      <c r="AC978" s="51"/>
      <c r="AD978" s="1533"/>
      <c r="AE978" s="1534"/>
      <c r="AF978" s="1534"/>
      <c r="AG978" s="1534"/>
      <c r="AH978" s="1534"/>
      <c r="AI978" s="1534"/>
      <c r="AJ978" s="1534"/>
      <c r="AK978" s="1535"/>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2">
        <f>IF(AA978="yes","Please Select Type and Enter Amount:",0)</f>
        <v>0</v>
      </c>
      <c r="AA979" s="1222"/>
      <c r="AB979" s="1222"/>
      <c r="AC979" s="1223"/>
      <c r="AD979" s="1536"/>
      <c r="AE979" s="1537"/>
      <c r="AF979" s="1537"/>
      <c r="AG979" s="1537"/>
      <c r="AH979" s="1537"/>
      <c r="AI979" s="1537"/>
      <c r="AJ979" s="1537"/>
      <c r="AK979" s="1538"/>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21"/>
      <c r="AA980" s="1222"/>
      <c r="AB980" s="1222"/>
      <c r="AC980" s="1223"/>
      <c r="AD980" s="1536"/>
      <c r="AE980" s="1537"/>
      <c r="AF980" s="1537"/>
      <c r="AG980" s="1537"/>
      <c r="AH980" s="1537"/>
      <c r="AI980" s="1537"/>
      <c r="AJ980" s="1537"/>
      <c r="AK980" s="1538"/>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21"/>
      <c r="AA981" s="1222"/>
      <c r="AB981" s="1222"/>
      <c r="AC981" s="1223"/>
      <c r="AD981" s="1536"/>
      <c r="AE981" s="1537"/>
      <c r="AF981" s="1537"/>
      <c r="AG981" s="1537"/>
      <c r="AH981" s="1537"/>
      <c r="AI981" s="1537"/>
      <c r="AJ981" s="1537"/>
      <c r="AK981" s="1538"/>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21"/>
      <c r="AA982" s="1222"/>
      <c r="AB982" s="1222"/>
      <c r="AC982" s="1223"/>
      <c r="AD982" s="1536"/>
      <c r="AE982" s="1537"/>
      <c r="AF982" s="1537"/>
      <c r="AG982" s="1537"/>
      <c r="AH982" s="1537"/>
      <c r="AI982" s="1537"/>
      <c r="AJ982" s="1537"/>
      <c r="AK982" s="1538"/>
      <c r="AL982" s="105"/>
    </row>
    <row r="983" spans="1:38" ht="12.75" customHeight="1">
      <c r="A983" s="51"/>
      <c r="B983" s="122"/>
      <c r="C983" s="125"/>
      <c r="D983" s="949" t="s">
        <v>382</v>
      </c>
      <c r="E983" s="136"/>
      <c r="F983" s="136"/>
      <c r="G983" s="163"/>
      <c r="H983" s="7"/>
      <c r="J983" s="1542" t="s">
        <v>641</v>
      </c>
      <c r="K983" s="1543"/>
      <c r="L983" s="1543"/>
      <c r="M983" s="1543"/>
      <c r="N983" s="1543"/>
      <c r="O983" s="1543"/>
      <c r="P983" s="1543"/>
      <c r="Q983" s="1544"/>
      <c r="R983" s="7"/>
      <c r="S983" s="7"/>
      <c r="T983" s="164"/>
      <c r="U983" s="7"/>
      <c r="V983" s="1527" t="str">
        <f>IF(AA978="yes",(AD953*0.15),"")</f>
        <v/>
      </c>
      <c r="W983" s="1527"/>
      <c r="X983" s="1527"/>
      <c r="Y983" s="1528"/>
      <c r="Z983" s="1224"/>
      <c r="AA983" s="1225"/>
      <c r="AB983" s="1225"/>
      <c r="AC983" s="1226"/>
      <c r="AD983" s="1539"/>
      <c r="AE983" s="1540"/>
      <c r="AF983" s="1540"/>
      <c r="AG983" s="1540"/>
      <c r="AH983" s="1540"/>
      <c r="AI983" s="1540"/>
      <c r="AJ983" s="1540"/>
      <c r="AK983" s="1541"/>
      <c r="AL983" s="105"/>
    </row>
    <row r="984" spans="1:38" ht="12.75" customHeight="1">
      <c r="A984" s="51"/>
      <c r="B984" s="120"/>
      <c r="C984" s="121" t="s">
        <v>243</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500" t="s">
        <v>591</v>
      </c>
      <c r="AB984" s="1501"/>
      <c r="AC984" s="51"/>
      <c r="AD984" s="1533">
        <v>222720</v>
      </c>
      <c r="AE984" s="1534"/>
      <c r="AF984" s="1534"/>
      <c r="AG984" s="1534"/>
      <c r="AH984" s="1534"/>
      <c r="AI984" s="1534"/>
      <c r="AJ984" s="1534"/>
      <c r="AK984" s="1535"/>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1" t="str">
        <f>IF(AA984="yes","Please Enter Amount:",0)</f>
        <v>Please Enter Amount:</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248</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4" t="s">
        <v>722</v>
      </c>
      <c r="AB988" s="1435"/>
      <c r="AC988" s="127"/>
      <c r="AD988" s="1442">
        <f>ROUND(IF(AA988="yes",(AD953*0.1),0),0)</f>
        <v>0</v>
      </c>
      <c r="AE988" s="1188"/>
      <c r="AF988" s="1188"/>
      <c r="AG988" s="1188"/>
      <c r="AH988" s="1188"/>
      <c r="AI988" s="1188"/>
      <c r="AJ988" s="1188"/>
      <c r="AK988" s="1189"/>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3"/>
      <c r="AE989" s="1190"/>
      <c r="AF989" s="1190"/>
      <c r="AG989" s="1190"/>
      <c r="AH989" s="1190"/>
      <c r="AI989" s="1190"/>
      <c r="AJ989" s="1190"/>
      <c r="AK989" s="1191"/>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3"/>
      <c r="AE990" s="1190"/>
      <c r="AF990" s="1190"/>
      <c r="AG990" s="1190"/>
      <c r="AH990" s="1190"/>
      <c r="AI990" s="1190"/>
      <c r="AJ990" s="1190"/>
      <c r="AK990" s="1191"/>
      <c r="AL990" s="105"/>
    </row>
    <row r="991" spans="1:38" ht="12.75" customHeight="1">
      <c r="A991" s="51"/>
      <c r="B991" s="120"/>
      <c r="C991" s="555" t="s">
        <v>741</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4" t="s">
        <v>722</v>
      </c>
      <c r="AB991" s="1435"/>
      <c r="AC991" s="127"/>
      <c r="AD991" s="1442">
        <f>ROUND(IF(AA991="yes",(AD953*0.1),0),0)</f>
        <v>0</v>
      </c>
      <c r="AE991" s="1188"/>
      <c r="AF991" s="1188"/>
      <c r="AG991" s="1188"/>
      <c r="AH991" s="1188"/>
      <c r="AI991" s="1188"/>
      <c r="AJ991" s="1188"/>
      <c r="AK991" s="1189"/>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3"/>
      <c r="AE992" s="1190"/>
      <c r="AF992" s="1190"/>
      <c r="AG992" s="1190"/>
      <c r="AH992" s="1190"/>
      <c r="AI992" s="1190"/>
      <c r="AJ992" s="1190"/>
      <c r="AK992" s="1191"/>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4" t="str">
        <f>IF(X999&gt;0,"Yes","No")</f>
        <v>No</v>
      </c>
      <c r="AB996" s="1235"/>
      <c r="AC996" s="128"/>
      <c r="AD996" s="1236" t="str">
        <f>IF((X999=0),"",AO906*AD953)</f>
        <v/>
      </c>
      <c r="AE996" s="1237"/>
      <c r="AF996" s="1237"/>
      <c r="AG996" s="1237"/>
      <c r="AH996" s="1237"/>
      <c r="AI996" s="1237"/>
      <c r="AJ996" s="1237"/>
      <c r="AK996" s="1238"/>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1081</v>
      </c>
      <c r="E999" s="208"/>
      <c r="F999" s="208"/>
      <c r="G999" s="208"/>
      <c r="H999" s="104"/>
      <c r="I999" s="1529">
        <f>AM905</f>
        <v>55</v>
      </c>
      <c r="J999" s="1530"/>
      <c r="K999" s="51"/>
      <c r="L999" s="104"/>
      <c r="M999" s="208"/>
      <c r="N999" s="208"/>
      <c r="O999" s="208"/>
      <c r="P999" s="208"/>
      <c r="Q999" s="208"/>
      <c r="R999" s="208"/>
      <c r="S999" s="208"/>
      <c r="T999" s="208"/>
      <c r="U999" s="208"/>
      <c r="V999" s="104"/>
      <c r="W999" s="209" t="s">
        <v>1082</v>
      </c>
      <c r="X999" s="1429">
        <f>AT614</f>
        <v>0</v>
      </c>
      <c r="Y999" s="1430"/>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1155</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4" t="str">
        <f>IF(X1003&gt;0,"Yes","No")</f>
        <v>Yes</v>
      </c>
      <c r="AB1000" s="1235"/>
      <c r="AC1000" s="124"/>
      <c r="AD1000" s="1236">
        <f>IF((X1003=0)," ",(2*AO907)*AD953)</f>
        <v>38021520</v>
      </c>
      <c r="AE1000" s="1237"/>
      <c r="AF1000" s="1237"/>
      <c r="AG1000" s="1237"/>
      <c r="AH1000" s="1237"/>
      <c r="AI1000" s="1237"/>
      <c r="AJ1000" s="1237"/>
      <c r="AK1000" s="1238"/>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1081</v>
      </c>
      <c r="E1003" s="208"/>
      <c r="F1003" s="208"/>
      <c r="G1003" s="208"/>
      <c r="H1003" s="208"/>
      <c r="I1003" s="1529">
        <f>AM905</f>
        <v>55</v>
      </c>
      <c r="J1003" s="1530"/>
      <c r="K1003" s="51"/>
      <c r="L1003" s="208"/>
      <c r="M1003" s="208"/>
      <c r="N1003" s="208"/>
      <c r="O1003" s="208"/>
      <c r="P1003" s="208"/>
      <c r="Q1003" s="208"/>
      <c r="R1003" s="208"/>
      <c r="S1003" s="208"/>
      <c r="T1003" s="208"/>
      <c r="U1003" s="208"/>
      <c r="V1003" s="208"/>
      <c r="W1003" s="209" t="s">
        <v>1083</v>
      </c>
      <c r="X1003" s="1429">
        <f>AX614</f>
        <v>55</v>
      </c>
      <c r="Y1003" s="1430"/>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20" t="s">
        <v>559</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9">
        <f>SUM(AD953:AK1003)</f>
        <v>61437367</v>
      </c>
      <c r="AE1004" s="1440"/>
      <c r="AF1004" s="1440"/>
      <c r="AG1004" s="1440"/>
      <c r="AH1004" s="1440"/>
      <c r="AI1004" s="1440"/>
      <c r="AJ1004" s="1440"/>
      <c r="AK1004" s="144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3"/>
      <c r="D1012" s="1583"/>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3"/>
      <c r="AF1012" s="1583"/>
      <c r="AG1012" s="1583"/>
      <c r="AH1012" s="1583"/>
      <c r="AI1012" s="1583"/>
      <c r="AJ1012" s="1583"/>
      <c r="AK1012" s="1583"/>
      <c r="AL1012" s="105"/>
    </row>
    <row r="1013" spans="1:38" ht="12.6" customHeight="1">
      <c r="A1013" s="131"/>
      <c r="B1013" s="1583"/>
      <c r="C1013" s="1583"/>
      <c r="D1013" s="1583"/>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3"/>
      <c r="AF1013" s="1583"/>
      <c r="AG1013" s="1583"/>
      <c r="AH1013" s="1583"/>
      <c r="AI1013" s="1583"/>
      <c r="AJ1013" s="1583"/>
      <c r="AK1013" s="1583"/>
      <c r="AL1013" s="105"/>
    </row>
    <row r="1014" spans="1:38" ht="12.6" customHeight="1">
      <c r="A1014" s="131"/>
      <c r="B1014" s="1582">
        <f>IF(ISNA(IF((AD978&gt;(AD953*0.15)),"(f) cannot be greater than 15% of unadjusted eligible basis.",0)),"",(IF((AD978&gt;(AD953*0.15)),"(f) cannot be greater than 15% of unadjusted eligible basis.",0)))</f>
        <v>0</v>
      </c>
      <c r="C1014" s="1582"/>
      <c r="D1014" s="1582"/>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2"/>
      <c r="AF1014" s="1582"/>
      <c r="AG1014" s="1582"/>
      <c r="AH1014" s="1582"/>
      <c r="AI1014" s="1582"/>
      <c r="AJ1014" s="1582"/>
      <c r="AK1014" s="1582"/>
      <c r="AL1014" s="105"/>
    </row>
    <row r="1015" spans="1:38" ht="12.6" customHeight="1" thickBot="1">
      <c r="A1015" s="1549" t="s">
        <v>875</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641</v>
      </c>
      <c r="B1019" s="1115"/>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5" t="s">
        <v>641</v>
      </c>
      <c r="B1025" s="1115"/>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5" t="s">
        <v>641</v>
      </c>
      <c r="B1031" s="1115"/>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5" t="s">
        <v>641</v>
      </c>
      <c r="B1038" s="1115"/>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5" t="s">
        <v>641</v>
      </c>
      <c r="B1041" s="1115"/>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5" t="s">
        <v>641</v>
      </c>
      <c r="B1046" s="1115"/>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5" t="s">
        <v>641</v>
      </c>
      <c r="B1049" s="1115"/>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5" t="s">
        <v>641</v>
      </c>
      <c r="B1053" s="1115"/>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5" t="s">
        <v>641</v>
      </c>
      <c r="B1057" s="1115"/>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06" zoomScale="90" zoomScaleNormal="100" zoomScaleSheetLayoutView="90" workbookViewId="0">
      <pane xSplit="1" topLeftCell="B1" activePane="topRight" state="frozen"/>
      <selection activeCell="E40" sqref="E40"/>
      <selection pane="topRight" activeCell="A122" sqref="A12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5" t="s">
        <v>671</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405</v>
      </c>
      <c r="D2" s="216" t="s">
        <v>404</v>
      </c>
      <c r="E2" s="216" t="s">
        <v>27</v>
      </c>
      <c r="F2" s="217" t="str">
        <f>Application!B618&amp;Application!C618</f>
        <v>1)Citibank, N.A. Permanent Loan</v>
      </c>
      <c r="G2" s="217" t="str">
        <f>Application!B619&amp;Application!C619</f>
        <v>2)LACDA Affordable Housing Funds</v>
      </c>
      <c r="H2" s="217" t="str">
        <f>Application!B620&amp;Application!C620</f>
        <v>3)City of Los Angeles HHH</v>
      </c>
      <c r="I2" s="217" t="str">
        <f>Application!B621&amp;Application!C621</f>
        <v>4)General Partner Equity</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750000</v>
      </c>
      <c r="C4" s="225">
        <v>750000</v>
      </c>
      <c r="D4" s="225"/>
      <c r="E4" s="225">
        <f>C4-SUM(F4:Q4)</f>
        <v>750000</v>
      </c>
      <c r="F4" s="225"/>
      <c r="G4" s="225"/>
      <c r="H4" s="225"/>
      <c r="I4" s="225"/>
      <c r="J4" s="225"/>
      <c r="K4" s="225"/>
      <c r="L4" s="225"/>
      <c r="M4" s="225"/>
      <c r="N4" s="225"/>
      <c r="O4" s="225"/>
      <c r="P4" s="225"/>
      <c r="Q4" s="225"/>
      <c r="R4" s="916">
        <f>SUM(E4:Q4)</f>
        <v>750000</v>
      </c>
      <c r="S4" s="226"/>
      <c r="T4" s="226"/>
      <c r="U4" s="221"/>
    </row>
    <row r="5" spans="1:21" s="222" customFormat="1">
      <c r="A5" s="223" t="s">
        <v>31</v>
      </c>
      <c r="B5" s="224">
        <f>SUM(C5+D5)</f>
        <v>0</v>
      </c>
      <c r="C5" s="225"/>
      <c r="D5" s="225"/>
      <c r="E5" s="225">
        <f t="shared" ref="E5:E10" si="0">C5-SUM(F5:Q5)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65000</v>
      </c>
      <c r="C6" s="225">
        <v>65000</v>
      </c>
      <c r="D6" s="225"/>
      <c r="E6" s="225">
        <f t="shared" si="0"/>
        <v>65000</v>
      </c>
      <c r="F6" s="225"/>
      <c r="G6" s="225"/>
      <c r="H6" s="225"/>
      <c r="I6" s="225"/>
      <c r="J6" s="225"/>
      <c r="K6" s="225"/>
      <c r="L6" s="225"/>
      <c r="M6" s="225"/>
      <c r="N6" s="225"/>
      <c r="O6" s="225"/>
      <c r="P6" s="225"/>
      <c r="Q6" s="225"/>
      <c r="R6" s="916">
        <f>SUM(E6:Q6)</f>
        <v>65000</v>
      </c>
      <c r="S6" s="226"/>
      <c r="T6" s="226"/>
      <c r="U6" s="221"/>
    </row>
    <row r="7" spans="1:21" s="222" customFormat="1">
      <c r="A7" s="223" t="s">
        <v>104</v>
      </c>
      <c r="B7" s="224">
        <f>SUM(C7+D7)</f>
        <v>0</v>
      </c>
      <c r="C7" s="225">
        <v>0</v>
      </c>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643</v>
      </c>
      <c r="B8" s="224">
        <f>SUM(C8:D8)</f>
        <v>815000</v>
      </c>
      <c r="C8" s="224">
        <f t="shared" ref="C8:Q8" si="1">SUM(C4:C7)</f>
        <v>815000</v>
      </c>
      <c r="D8" s="224">
        <f t="shared" si="1"/>
        <v>0</v>
      </c>
      <c r="E8" s="224">
        <f t="shared" si="1"/>
        <v>815000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815000</v>
      </c>
      <c r="S8" s="226"/>
      <c r="T8" s="226"/>
      <c r="U8" s="221"/>
    </row>
    <row r="9" spans="1:21" s="222" customFormat="1">
      <c r="A9" s="223" t="s">
        <v>644</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480000</v>
      </c>
      <c r="C10" s="225">
        <v>480000</v>
      </c>
      <c r="D10" s="225"/>
      <c r="E10" s="225">
        <f t="shared" si="0"/>
        <v>480000</v>
      </c>
      <c r="F10" s="225"/>
      <c r="G10" s="225"/>
      <c r="H10" s="225"/>
      <c r="I10" s="225"/>
      <c r="J10" s="225"/>
      <c r="K10" s="225"/>
      <c r="L10" s="225"/>
      <c r="M10" s="225"/>
      <c r="N10" s="225"/>
      <c r="O10" s="225"/>
      <c r="P10" s="225"/>
      <c r="Q10" s="225"/>
      <c r="R10" s="916">
        <f>SUM(E10:Q10)</f>
        <v>480000</v>
      </c>
      <c r="S10" s="225">
        <v>280000</v>
      </c>
      <c r="T10" s="225"/>
      <c r="U10" s="221"/>
    </row>
    <row r="11" spans="1:21" s="222" customFormat="1">
      <c r="A11" s="227" t="s">
        <v>646</v>
      </c>
      <c r="B11" s="224">
        <f>SUM(C11:D11)</f>
        <v>480000</v>
      </c>
      <c r="C11" s="224">
        <f t="shared" ref="C11:Q11" si="2">SUM(C9:C10)</f>
        <v>480000</v>
      </c>
      <c r="D11" s="224">
        <f t="shared" si="2"/>
        <v>0</v>
      </c>
      <c r="E11" s="224">
        <f t="shared" si="2"/>
        <v>480000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480000</v>
      </c>
      <c r="S11" s="226"/>
      <c r="T11" s="228">
        <f>SUM(T9:T10)</f>
        <v>0</v>
      </c>
      <c r="U11" s="221"/>
    </row>
    <row r="12" spans="1:21" s="222" customFormat="1">
      <c r="A12" s="227" t="s">
        <v>91</v>
      </c>
      <c r="B12" s="224">
        <f t="shared" ref="B12:Q12" si="3">SUM(B8+B11)</f>
        <v>1295000</v>
      </c>
      <c r="C12" s="224">
        <f t="shared" si="3"/>
        <v>1295000</v>
      </c>
      <c r="D12" s="224">
        <f t="shared" si="3"/>
        <v>0</v>
      </c>
      <c r="E12" s="224">
        <f t="shared" si="3"/>
        <v>1295000</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1295000</v>
      </c>
      <c r="S12" s="226"/>
      <c r="T12" s="226"/>
      <c r="U12" s="221"/>
    </row>
    <row r="13" spans="1:21" s="222" customFormat="1">
      <c r="A13" s="466" t="s">
        <v>1000</v>
      </c>
      <c r="B13" s="224">
        <f>SUM(C13+D13)</f>
        <v>30000</v>
      </c>
      <c r="C13" s="225">
        <v>30000</v>
      </c>
      <c r="D13" s="225"/>
      <c r="E13" s="225">
        <f t="shared" ref="E13:E15" si="4">C13-SUM(F13:Q13)</f>
        <v>30000</v>
      </c>
      <c r="F13" s="225"/>
      <c r="G13" s="225"/>
      <c r="H13" s="225"/>
      <c r="I13" s="225"/>
      <c r="J13" s="225"/>
      <c r="K13" s="225"/>
      <c r="L13" s="225"/>
      <c r="M13" s="225"/>
      <c r="N13" s="225"/>
      <c r="O13" s="225"/>
      <c r="P13" s="225"/>
      <c r="Q13" s="225"/>
      <c r="R13" s="916">
        <f>SUM(E13:Q13)</f>
        <v>30000</v>
      </c>
      <c r="S13" s="225"/>
      <c r="T13" s="225"/>
      <c r="U13" s="221"/>
    </row>
    <row r="14" spans="1:21" s="222" customFormat="1" ht="24">
      <c r="A14" s="467" t="s">
        <v>1001</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2276960</v>
      </c>
      <c r="C28" s="225">
        <v>2276960</v>
      </c>
      <c r="D28" s="225"/>
      <c r="E28" s="225">
        <f t="shared" ref="E28:E35" si="9">C28-SUM(F28:Q28)</f>
        <v>0</v>
      </c>
      <c r="F28" s="225">
        <f>C28</f>
        <v>2276960</v>
      </c>
      <c r="G28" s="225"/>
      <c r="H28" s="225"/>
      <c r="I28" s="225"/>
      <c r="J28" s="225"/>
      <c r="K28" s="225"/>
      <c r="L28" s="225"/>
      <c r="M28" s="225"/>
      <c r="N28" s="225"/>
      <c r="O28" s="225"/>
      <c r="P28" s="225"/>
      <c r="Q28" s="225"/>
      <c r="R28" s="916">
        <f t="shared" ref="R28:R35" si="10">SUM(E28:Q28)</f>
        <v>2276960</v>
      </c>
      <c r="S28" s="225">
        <f>R28</f>
        <v>2276960</v>
      </c>
      <c r="T28" s="225"/>
      <c r="U28" s="221"/>
    </row>
    <row r="29" spans="1:21" s="222" customFormat="1">
      <c r="A29" s="223" t="s">
        <v>649</v>
      </c>
      <c r="B29" s="224">
        <f t="shared" si="8"/>
        <v>14000000</v>
      </c>
      <c r="C29" s="225">
        <v>14000000</v>
      </c>
      <c r="D29" s="225"/>
      <c r="E29" s="225">
        <f t="shared" si="9"/>
        <v>0</v>
      </c>
      <c r="F29" s="225"/>
      <c r="G29" s="225">
        <v>1900000</v>
      </c>
      <c r="H29" s="225">
        <v>12100000</v>
      </c>
      <c r="I29" s="225"/>
      <c r="J29" s="225"/>
      <c r="K29" s="225"/>
      <c r="L29" s="225"/>
      <c r="M29" s="225"/>
      <c r="N29" s="225"/>
      <c r="O29" s="225"/>
      <c r="P29" s="225"/>
      <c r="Q29" s="225"/>
      <c r="R29" s="916">
        <f t="shared" si="10"/>
        <v>14000000</v>
      </c>
      <c r="S29" s="225">
        <f t="shared" ref="S29:S35" si="11">R29</f>
        <v>14000000</v>
      </c>
      <c r="T29" s="225"/>
      <c r="U29" s="221"/>
    </row>
    <row r="30" spans="1:21" s="222" customFormat="1">
      <c r="A30" s="223" t="s">
        <v>650</v>
      </c>
      <c r="B30" s="224">
        <f t="shared" si="8"/>
        <v>1172988</v>
      </c>
      <c r="C30" s="225">
        <v>1172988</v>
      </c>
      <c r="D30" s="225"/>
      <c r="E30" s="225">
        <f t="shared" si="9"/>
        <v>0</v>
      </c>
      <c r="F30" s="225">
        <v>1072988</v>
      </c>
      <c r="G30" s="225">
        <v>100000</v>
      </c>
      <c r="H30" s="225"/>
      <c r="I30" s="225"/>
      <c r="J30" s="225"/>
      <c r="K30" s="225"/>
      <c r="L30" s="225"/>
      <c r="M30" s="225"/>
      <c r="N30" s="225"/>
      <c r="O30" s="225"/>
      <c r="P30" s="225"/>
      <c r="Q30" s="225"/>
      <c r="R30" s="916">
        <f t="shared" si="10"/>
        <v>1172988</v>
      </c>
      <c r="S30" s="225">
        <f t="shared" si="11"/>
        <v>1172988</v>
      </c>
      <c r="T30" s="225"/>
      <c r="U30" s="221"/>
    </row>
    <row r="31" spans="1:21" s="222" customFormat="1">
      <c r="A31" s="223" t="s">
        <v>144</v>
      </c>
      <c r="B31" s="224">
        <f t="shared" si="8"/>
        <v>502709</v>
      </c>
      <c r="C31" s="225">
        <v>502709</v>
      </c>
      <c r="D31" s="225"/>
      <c r="E31" s="225">
        <f t="shared" si="9"/>
        <v>0</v>
      </c>
      <c r="F31" s="225">
        <f>C31</f>
        <v>502709</v>
      </c>
      <c r="G31" s="225"/>
      <c r="H31" s="225"/>
      <c r="I31" s="225"/>
      <c r="J31" s="225"/>
      <c r="K31" s="225"/>
      <c r="L31" s="225"/>
      <c r="M31" s="225"/>
      <c r="N31" s="225"/>
      <c r="O31" s="225"/>
      <c r="P31" s="225"/>
      <c r="Q31" s="225"/>
      <c r="R31" s="916">
        <f t="shared" si="10"/>
        <v>502709</v>
      </c>
      <c r="S31" s="225">
        <f t="shared" si="11"/>
        <v>502709</v>
      </c>
      <c r="T31" s="225"/>
      <c r="U31" s="221"/>
    </row>
    <row r="32" spans="1:21" s="222" customFormat="1">
      <c r="A32" s="223" t="s">
        <v>145</v>
      </c>
      <c r="B32" s="224">
        <f t="shared" si="8"/>
        <v>670279</v>
      </c>
      <c r="C32" s="225">
        <v>670279</v>
      </c>
      <c r="D32" s="225"/>
      <c r="E32" s="225">
        <f t="shared" si="9"/>
        <v>0</v>
      </c>
      <c r="F32" s="225">
        <f>C32</f>
        <v>670279</v>
      </c>
      <c r="G32" s="225"/>
      <c r="H32" s="225"/>
      <c r="I32" s="225"/>
      <c r="J32" s="225"/>
      <c r="K32" s="225"/>
      <c r="L32" s="225"/>
      <c r="M32" s="225"/>
      <c r="N32" s="225"/>
      <c r="O32" s="225"/>
      <c r="P32" s="225"/>
      <c r="Q32" s="225"/>
      <c r="R32" s="916">
        <f t="shared" si="10"/>
        <v>670279</v>
      </c>
      <c r="S32" s="225">
        <f t="shared" si="11"/>
        <v>670279</v>
      </c>
      <c r="T32" s="225"/>
      <c r="U32" s="221"/>
    </row>
    <row r="33" spans="1:21" s="222" customFormat="1">
      <c r="A33" s="223" t="s">
        <v>146</v>
      </c>
      <c r="B33" s="224">
        <f t="shared" si="8"/>
        <v>0</v>
      </c>
      <c r="C33" s="225"/>
      <c r="D33" s="225"/>
      <c r="E33" s="225">
        <f t="shared" si="9"/>
        <v>0</v>
      </c>
      <c r="F33" s="225"/>
      <c r="G33" s="225"/>
      <c r="H33" s="22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8"/>
        <v>385880</v>
      </c>
      <c r="C34" s="225">
        <v>385880</v>
      </c>
      <c r="D34" s="225"/>
      <c r="E34" s="225">
        <f t="shared" si="9"/>
        <v>0</v>
      </c>
      <c r="F34" s="225">
        <f>C34</f>
        <v>385880</v>
      </c>
      <c r="G34" s="225"/>
      <c r="H34" s="225"/>
      <c r="I34" s="225"/>
      <c r="J34" s="225"/>
      <c r="K34" s="225"/>
      <c r="L34" s="225"/>
      <c r="M34" s="225"/>
      <c r="N34" s="225"/>
      <c r="O34" s="225"/>
      <c r="P34" s="225"/>
      <c r="Q34" s="225"/>
      <c r="R34" s="916">
        <f t="shared" si="10"/>
        <v>385880</v>
      </c>
      <c r="S34" s="225">
        <f t="shared" si="11"/>
        <v>385880</v>
      </c>
      <c r="T34" s="225"/>
      <c r="U34" s="221"/>
    </row>
    <row r="35" spans="1:21" s="222" customFormat="1">
      <c r="A35" s="955" t="s">
        <v>1755</v>
      </c>
      <c r="B35" s="224">
        <f t="shared" si="8"/>
        <v>191030</v>
      </c>
      <c r="C35" s="225">
        <v>191030</v>
      </c>
      <c r="D35" s="225"/>
      <c r="E35" s="225">
        <f t="shared" si="9"/>
        <v>0</v>
      </c>
      <c r="F35" s="225">
        <f>C35</f>
        <v>191030</v>
      </c>
      <c r="G35" s="225"/>
      <c r="H35" s="225"/>
      <c r="I35" s="225"/>
      <c r="J35" s="225"/>
      <c r="K35" s="225"/>
      <c r="L35" s="225"/>
      <c r="M35" s="225"/>
      <c r="N35" s="225"/>
      <c r="O35" s="225"/>
      <c r="P35" s="225"/>
      <c r="Q35" s="225"/>
      <c r="R35" s="916">
        <f t="shared" si="10"/>
        <v>191030</v>
      </c>
      <c r="S35" s="225">
        <f t="shared" si="11"/>
        <v>191030</v>
      </c>
      <c r="T35" s="225"/>
      <c r="U35" s="221"/>
    </row>
    <row r="36" spans="1:21" s="222" customFormat="1">
      <c r="A36" s="227" t="s">
        <v>150</v>
      </c>
      <c r="B36" s="224">
        <f t="shared" si="8"/>
        <v>19199846</v>
      </c>
      <c r="C36" s="224">
        <f>SUM(C28:C35)</f>
        <v>19199846</v>
      </c>
      <c r="D36" s="224">
        <f t="shared" ref="D36:Q36" si="12">SUM(D28:D35)</f>
        <v>0</v>
      </c>
      <c r="E36" s="224">
        <f t="shared" si="12"/>
        <v>0</v>
      </c>
      <c r="F36" s="224">
        <f t="shared" si="12"/>
        <v>5099846</v>
      </c>
      <c r="G36" s="224">
        <f t="shared" si="12"/>
        <v>2000000</v>
      </c>
      <c r="H36" s="224">
        <f t="shared" si="12"/>
        <v>12100000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19199846</v>
      </c>
      <c r="S36" s="228">
        <f>SUM(S28:S35)</f>
        <v>19199846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500000</v>
      </c>
      <c r="C38" s="225">
        <v>500000</v>
      </c>
      <c r="D38" s="225"/>
      <c r="E38" s="225">
        <f t="shared" ref="E38:E39" si="13">C38-SUM(F38:Q38)</f>
        <v>0</v>
      </c>
      <c r="F38" s="225">
        <f>C38</f>
        <v>500000</v>
      </c>
      <c r="G38" s="225"/>
      <c r="H38" s="225"/>
      <c r="I38" s="225"/>
      <c r="J38" s="225"/>
      <c r="K38" s="225"/>
      <c r="L38" s="225"/>
      <c r="M38" s="225"/>
      <c r="N38" s="225"/>
      <c r="O38" s="225"/>
      <c r="P38" s="225"/>
      <c r="Q38" s="225"/>
      <c r="R38" s="916">
        <f>SUM(E38:Q38)</f>
        <v>500000</v>
      </c>
      <c r="S38" s="225">
        <f>R38</f>
        <v>500000</v>
      </c>
      <c r="T38" s="225"/>
      <c r="U38" s="221"/>
    </row>
    <row r="39" spans="1:21" s="222" customFormat="1">
      <c r="A39" s="223" t="s">
        <v>153</v>
      </c>
      <c r="B39" s="224">
        <f>SUM(C39+D39)</f>
        <v>300000</v>
      </c>
      <c r="C39" s="225">
        <v>300000</v>
      </c>
      <c r="D39" s="225"/>
      <c r="E39" s="225">
        <f t="shared" si="13"/>
        <v>0</v>
      </c>
      <c r="F39" s="225">
        <f>C39</f>
        <v>300000</v>
      </c>
      <c r="G39" s="225"/>
      <c r="H39" s="225"/>
      <c r="I39" s="225"/>
      <c r="J39" s="225"/>
      <c r="K39" s="225"/>
      <c r="L39" s="225"/>
      <c r="M39" s="225"/>
      <c r="N39" s="225"/>
      <c r="O39" s="225"/>
      <c r="P39" s="225"/>
      <c r="Q39" s="225"/>
      <c r="R39" s="916">
        <f>SUM(E39:Q39)</f>
        <v>300000</v>
      </c>
      <c r="S39" s="225">
        <f>R39</f>
        <v>300000</v>
      </c>
      <c r="T39" s="225"/>
      <c r="U39" s="221"/>
    </row>
    <row r="40" spans="1:21" s="222" customFormat="1">
      <c r="A40" s="227" t="s">
        <v>154</v>
      </c>
      <c r="B40" s="224">
        <f>SUM(C40:D40)</f>
        <v>800000</v>
      </c>
      <c r="C40" s="224">
        <f>SUM(C37:C39)</f>
        <v>800000</v>
      </c>
      <c r="D40" s="224">
        <f>SUM(D37:D39)</f>
        <v>0</v>
      </c>
      <c r="E40" s="224">
        <f t="shared" ref="E40:T40" si="14">SUM(E38:E39)</f>
        <v>0</v>
      </c>
      <c r="F40" s="224">
        <f t="shared" si="14"/>
        <v>800000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800000</v>
      </c>
      <c r="S40" s="228">
        <f t="shared" si="14"/>
        <v>800000</v>
      </c>
      <c r="T40" s="228">
        <f t="shared" si="14"/>
        <v>0</v>
      </c>
      <c r="U40" s="221"/>
    </row>
    <row r="41" spans="1:21" s="222" customFormat="1">
      <c r="A41" s="227" t="s">
        <v>155</v>
      </c>
      <c r="B41" s="224">
        <f>SUM(C41:D41)</f>
        <v>350000</v>
      </c>
      <c r="C41" s="225">
        <v>350000</v>
      </c>
      <c r="D41" s="225"/>
      <c r="E41" s="225">
        <f t="shared" ref="E41" si="15">C41-SUM(F41:Q41)</f>
        <v>0</v>
      </c>
      <c r="F41" s="225">
        <f>C41</f>
        <v>350000</v>
      </c>
      <c r="G41" s="225"/>
      <c r="H41" s="225"/>
      <c r="I41" s="225"/>
      <c r="J41" s="225"/>
      <c r="K41" s="225"/>
      <c r="L41" s="225"/>
      <c r="M41" s="225"/>
      <c r="N41" s="225"/>
      <c r="O41" s="225"/>
      <c r="P41" s="225"/>
      <c r="Q41" s="225"/>
      <c r="R41" s="916">
        <f>SUM(E41:Q41)</f>
        <v>350000</v>
      </c>
      <c r="S41" s="225">
        <f>R41</f>
        <v>350000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936417</v>
      </c>
      <c r="C43" s="225">
        <v>936417</v>
      </c>
      <c r="D43" s="225"/>
      <c r="E43" s="225">
        <f t="shared" ref="E43:E52" si="17">C43-SUM(F43:Q43)</f>
        <v>338248</v>
      </c>
      <c r="F43" s="225">
        <v>598169</v>
      </c>
      <c r="G43" s="225"/>
      <c r="H43" s="225"/>
      <c r="I43" s="225"/>
      <c r="J43" s="225"/>
      <c r="K43" s="225"/>
      <c r="L43" s="225"/>
      <c r="M43" s="225"/>
      <c r="N43" s="225"/>
      <c r="O43" s="225"/>
      <c r="P43" s="225"/>
      <c r="Q43" s="225"/>
      <c r="R43" s="916">
        <f t="shared" ref="R43:R52" si="18">SUM(E43:Q43)</f>
        <v>936417</v>
      </c>
      <c r="S43" s="225">
        <v>605917</v>
      </c>
      <c r="T43" s="225"/>
      <c r="U43" s="221"/>
    </row>
    <row r="44" spans="1:21" s="222" customFormat="1">
      <c r="A44" s="223" t="s">
        <v>158</v>
      </c>
      <c r="B44" s="224">
        <f t="shared" si="16"/>
        <v>0</v>
      </c>
      <c r="C44" s="225"/>
      <c r="D44" s="225"/>
      <c r="E44" s="225">
        <f t="shared" si="17"/>
        <v>0</v>
      </c>
      <c r="F44" s="225"/>
      <c r="G44" s="225"/>
      <c r="H44" s="225"/>
      <c r="I44" s="225"/>
      <c r="J44" s="225"/>
      <c r="K44" s="225"/>
      <c r="L44" s="225"/>
      <c r="M44" s="225"/>
      <c r="N44" s="225"/>
      <c r="O44" s="225"/>
      <c r="P44" s="225"/>
      <c r="Q44" s="225"/>
      <c r="R44" s="916">
        <f t="shared" si="18"/>
        <v>0</v>
      </c>
      <c r="S44" s="225"/>
      <c r="T44" s="225"/>
      <c r="U44" s="221"/>
    </row>
    <row r="45" spans="1:21" s="222" customFormat="1">
      <c r="A45" s="307" t="s">
        <v>159</v>
      </c>
      <c r="B45" s="224">
        <f t="shared" si="16"/>
        <v>0</v>
      </c>
      <c r="C45" s="225"/>
      <c r="D45" s="225"/>
      <c r="E45" s="225">
        <f t="shared" si="17"/>
        <v>0</v>
      </c>
      <c r="F45" s="225"/>
      <c r="G45" s="225"/>
      <c r="H45" s="225"/>
      <c r="I45" s="225"/>
      <c r="J45" s="225"/>
      <c r="K45" s="225"/>
      <c r="L45" s="225"/>
      <c r="M45" s="225"/>
      <c r="N45" s="225"/>
      <c r="O45" s="225"/>
      <c r="P45" s="225"/>
      <c r="Q45" s="225"/>
      <c r="R45" s="916">
        <f t="shared" si="18"/>
        <v>0</v>
      </c>
      <c r="S45" s="225"/>
      <c r="T45" s="225"/>
      <c r="U45" s="221"/>
    </row>
    <row r="46" spans="1:21" s="222" customFormat="1">
      <c r="A46" s="223" t="s">
        <v>160</v>
      </c>
      <c r="B46" s="224">
        <f t="shared" si="16"/>
        <v>0</v>
      </c>
      <c r="C46" s="225"/>
      <c r="D46" s="225"/>
      <c r="E46" s="225">
        <f t="shared" si="17"/>
        <v>0</v>
      </c>
      <c r="F46" s="225"/>
      <c r="G46" s="225"/>
      <c r="H46" s="225"/>
      <c r="I46" s="225"/>
      <c r="J46" s="225"/>
      <c r="K46" s="225"/>
      <c r="L46" s="225"/>
      <c r="M46" s="225"/>
      <c r="N46" s="225"/>
      <c r="O46" s="225"/>
      <c r="P46" s="225"/>
      <c r="Q46" s="225"/>
      <c r="R46" s="916">
        <f t="shared" si="18"/>
        <v>0</v>
      </c>
      <c r="S46" s="225"/>
      <c r="T46" s="225"/>
      <c r="U46" s="221"/>
    </row>
    <row r="47" spans="1:21" s="222" customFormat="1">
      <c r="A47" s="223" t="s">
        <v>62</v>
      </c>
      <c r="B47" s="224">
        <f t="shared" si="16"/>
        <v>565067</v>
      </c>
      <c r="C47" s="225">
        <v>565067</v>
      </c>
      <c r="D47" s="225"/>
      <c r="E47" s="225">
        <f t="shared" si="17"/>
        <v>565067</v>
      </c>
      <c r="F47" s="225"/>
      <c r="G47" s="225"/>
      <c r="H47" s="225"/>
      <c r="I47" s="225"/>
      <c r="J47" s="225"/>
      <c r="K47" s="225"/>
      <c r="L47" s="225"/>
      <c r="M47" s="225"/>
      <c r="N47" s="225"/>
      <c r="O47" s="225"/>
      <c r="P47" s="225"/>
      <c r="Q47" s="225"/>
      <c r="R47" s="916">
        <f t="shared" si="18"/>
        <v>565067</v>
      </c>
      <c r="S47" s="225"/>
      <c r="T47" s="225"/>
      <c r="U47" s="221"/>
    </row>
    <row r="48" spans="1:21" s="222" customFormat="1">
      <c r="A48" s="223" t="s">
        <v>163</v>
      </c>
      <c r="B48" s="224">
        <f t="shared" si="16"/>
        <v>80000</v>
      </c>
      <c r="C48" s="225">
        <v>80000</v>
      </c>
      <c r="D48" s="225"/>
      <c r="E48" s="225">
        <f t="shared" si="17"/>
        <v>80000</v>
      </c>
      <c r="F48" s="225"/>
      <c r="G48" s="225"/>
      <c r="H48" s="225"/>
      <c r="I48" s="225"/>
      <c r="J48" s="225"/>
      <c r="K48" s="225"/>
      <c r="L48" s="225"/>
      <c r="M48" s="225"/>
      <c r="N48" s="225"/>
      <c r="O48" s="225"/>
      <c r="P48" s="225"/>
      <c r="Q48" s="225"/>
      <c r="R48" s="916">
        <f t="shared" si="18"/>
        <v>80000</v>
      </c>
      <c r="S48" s="225">
        <f>R48</f>
        <v>80000</v>
      </c>
      <c r="T48" s="225"/>
      <c r="U48" s="221"/>
    </row>
    <row r="49" spans="1:21" s="222" customFormat="1">
      <c r="A49" s="457" t="s">
        <v>161</v>
      </c>
      <c r="B49" s="224">
        <f t="shared" si="16"/>
        <v>9375</v>
      </c>
      <c r="C49" s="225">
        <v>9375</v>
      </c>
      <c r="D49" s="225"/>
      <c r="E49" s="225">
        <f t="shared" si="17"/>
        <v>9375</v>
      </c>
      <c r="F49" s="225"/>
      <c r="G49" s="225"/>
      <c r="H49" s="225"/>
      <c r="I49" s="225"/>
      <c r="J49" s="225"/>
      <c r="K49" s="225"/>
      <c r="L49" s="225"/>
      <c r="M49" s="225"/>
      <c r="N49" s="225"/>
      <c r="O49" s="225"/>
      <c r="P49" s="225"/>
      <c r="Q49" s="225"/>
      <c r="R49" s="916">
        <f t="shared" si="18"/>
        <v>9375</v>
      </c>
      <c r="S49" s="225">
        <f>R49</f>
        <v>9375</v>
      </c>
      <c r="T49" s="225"/>
      <c r="U49" s="221"/>
    </row>
    <row r="50" spans="1:21" s="222" customFormat="1">
      <c r="A50" s="223" t="s">
        <v>162</v>
      </c>
      <c r="B50" s="224">
        <f t="shared" si="16"/>
        <v>80000</v>
      </c>
      <c r="C50" s="225">
        <v>80000</v>
      </c>
      <c r="D50" s="225"/>
      <c r="E50" s="225">
        <f t="shared" si="17"/>
        <v>80000</v>
      </c>
      <c r="F50" s="225"/>
      <c r="G50" s="225"/>
      <c r="H50" s="225"/>
      <c r="I50" s="225"/>
      <c r="J50" s="225"/>
      <c r="K50" s="225"/>
      <c r="L50" s="225"/>
      <c r="M50" s="225"/>
      <c r="N50" s="225"/>
      <c r="O50" s="225"/>
      <c r="P50" s="225"/>
      <c r="Q50" s="225"/>
      <c r="R50" s="916">
        <f t="shared" si="18"/>
        <v>80000</v>
      </c>
      <c r="S50" s="225">
        <f>R50</f>
        <v>80000</v>
      </c>
      <c r="T50" s="225"/>
      <c r="U50" s="221"/>
    </row>
    <row r="51" spans="1:21" s="222" customFormat="1">
      <c r="A51" s="955" t="s">
        <v>1793</v>
      </c>
      <c r="B51" s="224">
        <f t="shared" si="16"/>
        <v>255565</v>
      </c>
      <c r="C51" s="225">
        <v>255565</v>
      </c>
      <c r="D51" s="225"/>
      <c r="E51" s="225">
        <f t="shared" si="17"/>
        <v>255565</v>
      </c>
      <c r="F51" s="225"/>
      <c r="G51" s="225"/>
      <c r="H51" s="225"/>
      <c r="I51" s="225"/>
      <c r="J51" s="225"/>
      <c r="K51" s="225"/>
      <c r="L51" s="225"/>
      <c r="M51" s="225"/>
      <c r="N51" s="225"/>
      <c r="O51" s="225"/>
      <c r="P51" s="225"/>
      <c r="Q51" s="225"/>
      <c r="R51" s="916">
        <f t="shared" si="18"/>
        <v>255565</v>
      </c>
      <c r="S51" s="225">
        <f>R51</f>
        <v>255565</v>
      </c>
      <c r="T51" s="225"/>
      <c r="U51" s="221"/>
    </row>
    <row r="52" spans="1:21" s="222" customFormat="1">
      <c r="A52" s="955"/>
      <c r="B52" s="224">
        <f t="shared" si="16"/>
        <v>0</v>
      </c>
      <c r="C52" s="225"/>
      <c r="D52" s="225"/>
      <c r="E52" s="225">
        <f t="shared" si="17"/>
        <v>0</v>
      </c>
      <c r="F52" s="225"/>
      <c r="G52" s="225"/>
      <c r="H52" s="225"/>
      <c r="I52" s="225"/>
      <c r="J52" s="225"/>
      <c r="K52" s="225"/>
      <c r="L52" s="225"/>
      <c r="M52" s="225"/>
      <c r="N52" s="225"/>
      <c r="O52" s="225"/>
      <c r="P52" s="225"/>
      <c r="Q52" s="225"/>
      <c r="R52" s="916">
        <f t="shared" si="18"/>
        <v>0</v>
      </c>
      <c r="S52" s="225"/>
      <c r="T52" s="225"/>
      <c r="U52" s="221"/>
    </row>
    <row r="53" spans="1:21" s="232" customFormat="1">
      <c r="A53" s="227" t="s">
        <v>164</v>
      </c>
      <c r="B53" s="228">
        <f>SUM(C53:D53)</f>
        <v>1926424</v>
      </c>
      <c r="C53" s="228">
        <f t="shared" ref="C53:T53" si="19">SUM(C43:C52)</f>
        <v>1926424</v>
      </c>
      <c r="D53" s="228">
        <f t="shared" si="19"/>
        <v>0</v>
      </c>
      <c r="E53" s="228">
        <f t="shared" si="19"/>
        <v>1328255</v>
      </c>
      <c r="F53" s="228">
        <f t="shared" si="19"/>
        <v>598169</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1926424</v>
      </c>
      <c r="S53" s="228">
        <f t="shared" si="19"/>
        <v>1030857</v>
      </c>
      <c r="T53" s="228">
        <f t="shared" si="19"/>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0</v>
      </c>
      <c r="C55" s="225"/>
      <c r="D55" s="225"/>
      <c r="E55" s="225">
        <f t="shared" ref="E55:E61" si="21">C55-SUM(F55:Q55)</f>
        <v>0</v>
      </c>
      <c r="F55" s="225"/>
      <c r="G55" s="225"/>
      <c r="H55" s="225"/>
      <c r="I55" s="225"/>
      <c r="J55" s="225"/>
      <c r="K55" s="225"/>
      <c r="L55" s="225"/>
      <c r="M55" s="225"/>
      <c r="N55" s="225"/>
      <c r="O55" s="225"/>
      <c r="P55" s="225"/>
      <c r="Q55" s="225"/>
      <c r="R55" s="916">
        <f t="shared" ref="R55:R61" si="22">SUM(E55:Q55)</f>
        <v>0</v>
      </c>
      <c r="S55" s="226"/>
      <c r="T55" s="226"/>
      <c r="U55" s="221"/>
    </row>
    <row r="56" spans="1:21" s="313" customFormat="1">
      <c r="A56" s="307" t="s">
        <v>159</v>
      </c>
      <c r="B56" s="314">
        <f t="shared" si="20"/>
        <v>15000</v>
      </c>
      <c r="C56" s="311">
        <v>15000</v>
      </c>
      <c r="D56" s="311"/>
      <c r="E56" s="225">
        <f t="shared" si="21"/>
        <v>15000</v>
      </c>
      <c r="F56" s="311"/>
      <c r="G56" s="311"/>
      <c r="H56" s="311"/>
      <c r="I56" s="311"/>
      <c r="J56" s="311"/>
      <c r="K56" s="311"/>
      <c r="L56" s="311"/>
      <c r="M56" s="311"/>
      <c r="N56" s="311"/>
      <c r="O56" s="311"/>
      <c r="P56" s="311"/>
      <c r="Q56" s="311"/>
      <c r="R56" s="916">
        <f t="shared" si="22"/>
        <v>15000</v>
      </c>
      <c r="S56" s="315"/>
      <c r="T56" s="315"/>
      <c r="U56" s="312"/>
    </row>
    <row r="57" spans="1:21" s="222" customFormat="1">
      <c r="A57" s="223" t="s">
        <v>163</v>
      </c>
      <c r="B57" s="224">
        <f t="shared" si="20"/>
        <v>5000</v>
      </c>
      <c r="C57" s="225">
        <v>5000</v>
      </c>
      <c r="D57" s="225"/>
      <c r="E57" s="225">
        <f t="shared" si="21"/>
        <v>5000</v>
      </c>
      <c r="F57" s="225"/>
      <c r="G57" s="225"/>
      <c r="H57" s="225"/>
      <c r="I57" s="225"/>
      <c r="J57" s="225"/>
      <c r="K57" s="225"/>
      <c r="L57" s="225"/>
      <c r="M57" s="225"/>
      <c r="N57" s="225"/>
      <c r="O57" s="225"/>
      <c r="P57" s="225"/>
      <c r="Q57" s="225"/>
      <c r="R57" s="916">
        <f t="shared" si="22"/>
        <v>5000</v>
      </c>
      <c r="S57" s="226"/>
      <c r="T57" s="226"/>
      <c r="U57" s="221"/>
    </row>
    <row r="58" spans="1:21" s="222" customFormat="1">
      <c r="A58" s="457" t="s">
        <v>161</v>
      </c>
      <c r="B58" s="224">
        <f t="shared" si="20"/>
        <v>0</v>
      </c>
      <c r="C58" s="225"/>
      <c r="D58" s="225"/>
      <c r="E58" s="225">
        <f t="shared" si="21"/>
        <v>0</v>
      </c>
      <c r="F58" s="225"/>
      <c r="G58" s="225"/>
      <c r="H58" s="225"/>
      <c r="I58" s="225"/>
      <c r="J58" s="225"/>
      <c r="K58" s="225"/>
      <c r="L58" s="225"/>
      <c r="M58" s="225"/>
      <c r="N58" s="225"/>
      <c r="O58" s="225"/>
      <c r="P58" s="225"/>
      <c r="Q58" s="225"/>
      <c r="R58" s="916">
        <f t="shared" si="22"/>
        <v>0</v>
      </c>
      <c r="S58" s="226"/>
      <c r="T58" s="226"/>
      <c r="U58" s="221"/>
    </row>
    <row r="59" spans="1:21" s="222" customFormat="1">
      <c r="A59" s="223" t="s">
        <v>162</v>
      </c>
      <c r="B59" s="224">
        <f t="shared" si="20"/>
        <v>0</v>
      </c>
      <c r="C59" s="225"/>
      <c r="D59" s="225"/>
      <c r="E59" s="225">
        <f t="shared" si="21"/>
        <v>0</v>
      </c>
      <c r="F59" s="225"/>
      <c r="G59" s="225"/>
      <c r="H59" s="225"/>
      <c r="I59" s="225"/>
      <c r="J59" s="225"/>
      <c r="K59" s="225"/>
      <c r="L59" s="225"/>
      <c r="M59" s="225"/>
      <c r="N59" s="225"/>
      <c r="O59" s="225"/>
      <c r="P59" s="225"/>
      <c r="Q59" s="225"/>
      <c r="R59" s="916">
        <f t="shared" si="22"/>
        <v>0</v>
      </c>
      <c r="S59" s="226"/>
      <c r="T59" s="226"/>
      <c r="U59" s="221"/>
    </row>
    <row r="60" spans="1:21" s="222" customFormat="1">
      <c r="A60" s="230" t="s">
        <v>37</v>
      </c>
      <c r="B60" s="224">
        <f t="shared" si="20"/>
        <v>0</v>
      </c>
      <c r="C60" s="225"/>
      <c r="D60" s="225"/>
      <c r="E60" s="225">
        <f t="shared" si="21"/>
        <v>0</v>
      </c>
      <c r="F60" s="225"/>
      <c r="G60" s="225"/>
      <c r="H60" s="225"/>
      <c r="I60" s="225"/>
      <c r="J60" s="225"/>
      <c r="K60" s="225"/>
      <c r="L60" s="225"/>
      <c r="M60" s="225"/>
      <c r="N60" s="225"/>
      <c r="O60" s="225"/>
      <c r="P60" s="225"/>
      <c r="Q60" s="225"/>
      <c r="R60" s="916">
        <f t="shared" si="22"/>
        <v>0</v>
      </c>
      <c r="S60" s="226"/>
      <c r="T60" s="226"/>
      <c r="U60" s="221"/>
    </row>
    <row r="61" spans="1:21" s="222" customFormat="1">
      <c r="A61" s="230" t="s">
        <v>37</v>
      </c>
      <c r="B61" s="224">
        <f t="shared" si="20"/>
        <v>0</v>
      </c>
      <c r="C61" s="225"/>
      <c r="D61" s="225"/>
      <c r="E61" s="225">
        <f t="shared" si="21"/>
        <v>0</v>
      </c>
      <c r="F61" s="225"/>
      <c r="G61" s="225"/>
      <c r="H61" s="225"/>
      <c r="I61" s="225"/>
      <c r="J61" s="225"/>
      <c r="K61" s="225"/>
      <c r="L61" s="225"/>
      <c r="M61" s="225"/>
      <c r="N61" s="225"/>
      <c r="O61" s="225"/>
      <c r="P61" s="225"/>
      <c r="Q61" s="225"/>
      <c r="R61" s="916">
        <f t="shared" si="22"/>
        <v>0</v>
      </c>
      <c r="S61" s="226"/>
      <c r="T61" s="226"/>
      <c r="U61" s="221"/>
    </row>
    <row r="62" spans="1:21" s="222" customFormat="1" ht="13.7" customHeight="1">
      <c r="A62" s="227" t="s">
        <v>319</v>
      </c>
      <c r="B62" s="224">
        <f>SUM(C62:D62)</f>
        <v>20000</v>
      </c>
      <c r="C62" s="224">
        <f t="shared" ref="C62:Q62" si="23">SUM(C55:C61)</f>
        <v>20000</v>
      </c>
      <c r="D62" s="224">
        <f t="shared" si="23"/>
        <v>0</v>
      </c>
      <c r="E62" s="224">
        <f t="shared" si="23"/>
        <v>20000</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20000</v>
      </c>
      <c r="S62" s="226"/>
      <c r="T62" s="226"/>
      <c r="U62" s="221"/>
    </row>
    <row r="63" spans="1:21" s="222" customFormat="1">
      <c r="A63" s="233" t="s">
        <v>320</v>
      </c>
      <c r="B63" s="224">
        <f>SUM(B8+B11+B13+B14+B15+B25+B26+B36+B40+B41+B53+B62)</f>
        <v>23621270</v>
      </c>
      <c r="C63" s="224">
        <f t="shared" ref="C63:Q63" si="24">SUM(C8+C11+C13+C14+C15+C25+C26+C36+C40+C41+C53+C62)</f>
        <v>23621270</v>
      </c>
      <c r="D63" s="224">
        <f t="shared" si="24"/>
        <v>0</v>
      </c>
      <c r="E63" s="224">
        <f t="shared" si="24"/>
        <v>2673255</v>
      </c>
      <c r="F63" s="224">
        <f t="shared" si="24"/>
        <v>6848015</v>
      </c>
      <c r="G63" s="224">
        <f t="shared" si="24"/>
        <v>2000000</v>
      </c>
      <c r="H63" s="224">
        <f t="shared" si="24"/>
        <v>12100000</v>
      </c>
      <c r="I63" s="224">
        <f t="shared" si="24"/>
        <v>0</v>
      </c>
      <c r="J63" s="224">
        <f t="shared" si="24"/>
        <v>0</v>
      </c>
      <c r="K63" s="224">
        <f t="shared" si="24"/>
        <v>0</v>
      </c>
      <c r="L63" s="224">
        <f t="shared" si="24"/>
        <v>0</v>
      </c>
      <c r="M63" s="224">
        <f t="shared" si="24"/>
        <v>0</v>
      </c>
      <c r="N63" s="224">
        <f t="shared" si="24"/>
        <v>0</v>
      </c>
      <c r="O63" s="224">
        <f t="shared" si="24"/>
        <v>0</v>
      </c>
      <c r="P63" s="224">
        <f t="shared" si="24"/>
        <v>0</v>
      </c>
      <c r="Q63" s="224">
        <f t="shared" si="24"/>
        <v>0</v>
      </c>
      <c r="R63" s="558">
        <f>SUM(R8+R11+R13+R14+R15+R25+R26+R36+R40+R41+R53+R62)</f>
        <v>23621270</v>
      </c>
      <c r="S63" s="224">
        <f>SUM(S10+S13+S14+S15+S25+S26+S36+S40+S41+S53)</f>
        <v>21660703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0</v>
      </c>
      <c r="C65" s="225"/>
      <c r="D65" s="225"/>
      <c r="E65" s="225">
        <f t="shared" ref="E65:E66" si="25">C65-SUM(F65:Q65)</f>
        <v>0</v>
      </c>
      <c r="F65" s="225"/>
      <c r="G65" s="225"/>
      <c r="H65" s="225"/>
      <c r="I65" s="225"/>
      <c r="J65" s="225"/>
      <c r="K65" s="225"/>
      <c r="L65" s="225"/>
      <c r="M65" s="225"/>
      <c r="N65" s="225"/>
      <c r="O65" s="225"/>
      <c r="P65" s="225"/>
      <c r="Q65" s="225"/>
      <c r="R65" s="916">
        <f>SUM(E65:Q65)</f>
        <v>0</v>
      </c>
      <c r="S65" s="225"/>
      <c r="T65" s="225"/>
      <c r="U65" s="221"/>
    </row>
    <row r="66" spans="1:21" s="222" customFormat="1">
      <c r="A66" s="955" t="s">
        <v>1776</v>
      </c>
      <c r="B66" s="224">
        <f>SUM(C66+D66)</f>
        <v>35000</v>
      </c>
      <c r="C66" s="225">
        <v>35000</v>
      </c>
      <c r="D66" s="225"/>
      <c r="E66" s="225">
        <f t="shared" si="25"/>
        <v>35000</v>
      </c>
      <c r="F66" s="225"/>
      <c r="G66" s="225"/>
      <c r="H66" s="225"/>
      <c r="I66" s="225"/>
      <c r="J66" s="225"/>
      <c r="K66" s="225"/>
      <c r="L66" s="225"/>
      <c r="M66" s="225"/>
      <c r="N66" s="225"/>
      <c r="O66" s="225"/>
      <c r="P66" s="225"/>
      <c r="Q66" s="225"/>
      <c r="R66" s="916">
        <f>SUM(E66:Q66)</f>
        <v>35000</v>
      </c>
      <c r="S66" s="225">
        <f>R66</f>
        <v>35000</v>
      </c>
      <c r="T66" s="225"/>
      <c r="U66" s="221"/>
    </row>
    <row r="67" spans="1:21" s="222" customFormat="1">
      <c r="A67" s="227" t="s">
        <v>651</v>
      </c>
      <c r="B67" s="224">
        <f>SUM(C67:D67)</f>
        <v>35000</v>
      </c>
      <c r="C67" s="224">
        <f>SUM(C64:C66)</f>
        <v>35000</v>
      </c>
      <c r="D67" s="224">
        <f>SUM(D64:D66)</f>
        <v>0</v>
      </c>
      <c r="E67" s="224">
        <f t="shared" ref="E67:T67" si="26">SUM(E65:E66)</f>
        <v>35000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35000</v>
      </c>
      <c r="S67" s="228">
        <f>SUM(S65:S66)</f>
        <v>35000</v>
      </c>
      <c r="T67" s="228">
        <f t="shared" si="26"/>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7">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7"/>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7"/>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224083</v>
      </c>
      <c r="C72" s="225">
        <v>224083</v>
      </c>
      <c r="D72" s="225"/>
      <c r="E72" s="225">
        <f t="shared" si="27"/>
        <v>224083</v>
      </c>
      <c r="F72" s="225"/>
      <c r="G72" s="225"/>
      <c r="H72" s="225"/>
      <c r="I72" s="225"/>
      <c r="J72" s="225"/>
      <c r="K72" s="225"/>
      <c r="L72" s="225"/>
      <c r="M72" s="225"/>
      <c r="N72" s="225"/>
      <c r="O72" s="225"/>
      <c r="P72" s="225"/>
      <c r="Q72" s="225"/>
      <c r="R72" s="916">
        <f>SUM(E72:Q72)</f>
        <v>224083</v>
      </c>
      <c r="S72" s="226"/>
      <c r="T72" s="226"/>
      <c r="U72" s="221"/>
    </row>
    <row r="73" spans="1:21" s="222" customFormat="1">
      <c r="A73" s="955" t="s">
        <v>1747</v>
      </c>
      <c r="B73" s="224">
        <f>SUM(C73+D73)</f>
        <v>681016.45</v>
      </c>
      <c r="C73" s="225">
        <v>681016.45</v>
      </c>
      <c r="D73" s="225"/>
      <c r="E73" s="225">
        <f t="shared" si="27"/>
        <v>681016.45</v>
      </c>
      <c r="F73" s="225"/>
      <c r="G73" s="225"/>
      <c r="H73" s="225"/>
      <c r="I73" s="225"/>
      <c r="J73" s="225"/>
      <c r="K73" s="225"/>
      <c r="L73" s="225"/>
      <c r="M73" s="225"/>
      <c r="N73" s="225"/>
      <c r="O73" s="225"/>
      <c r="P73" s="225"/>
      <c r="Q73" s="225"/>
      <c r="R73" s="916">
        <f>SUM(E73:Q73)</f>
        <v>681016.45</v>
      </c>
      <c r="S73" s="226"/>
      <c r="T73" s="226"/>
      <c r="U73" s="221"/>
    </row>
    <row r="74" spans="1:21" s="222" customFormat="1">
      <c r="A74" s="227" t="s">
        <v>656</v>
      </c>
      <c r="B74" s="224">
        <f>SUM(C74:D74)</f>
        <v>905099.45</v>
      </c>
      <c r="C74" s="224">
        <f>SUM(C69:C73)</f>
        <v>905099.45</v>
      </c>
      <c r="D74" s="224">
        <f>SUM(D69:D73)</f>
        <v>0</v>
      </c>
      <c r="E74" s="224">
        <f t="shared" ref="E74:Q74" si="28">SUM(E69:E73)</f>
        <v>905099.45</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905099.45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1967985</v>
      </c>
      <c r="C76" s="225">
        <v>1967985</v>
      </c>
      <c r="D76" s="225"/>
      <c r="E76" s="225">
        <f t="shared" ref="E76:E77" si="29">C76-SUM(F76:Q76)</f>
        <v>0</v>
      </c>
      <c r="F76" s="225">
        <f>C76</f>
        <v>1967985</v>
      </c>
      <c r="G76" s="225"/>
      <c r="H76" s="225"/>
      <c r="I76" s="225"/>
      <c r="J76" s="225"/>
      <c r="K76" s="225"/>
      <c r="L76" s="225"/>
      <c r="M76" s="225"/>
      <c r="N76" s="225"/>
      <c r="O76" s="225"/>
      <c r="P76" s="225"/>
      <c r="Q76" s="225"/>
      <c r="R76" s="916">
        <f>SUM(E76:Q76)</f>
        <v>1967985</v>
      </c>
      <c r="S76" s="225">
        <f>R76</f>
        <v>1967985</v>
      </c>
      <c r="T76" s="225"/>
      <c r="U76" s="221"/>
    </row>
    <row r="77" spans="1:21" s="222" customFormat="1">
      <c r="A77" s="457" t="s">
        <v>63</v>
      </c>
      <c r="B77" s="224">
        <f>SUM(C77:D77)</f>
        <v>312108</v>
      </c>
      <c r="C77" s="225">
        <v>312108</v>
      </c>
      <c r="D77" s="225"/>
      <c r="E77" s="225">
        <f t="shared" si="29"/>
        <v>312108</v>
      </c>
      <c r="F77" s="225"/>
      <c r="G77" s="225"/>
      <c r="H77" s="225"/>
      <c r="I77" s="225"/>
      <c r="J77" s="225"/>
      <c r="K77" s="225"/>
      <c r="L77" s="225"/>
      <c r="M77" s="225"/>
      <c r="N77" s="225"/>
      <c r="O77" s="225"/>
      <c r="P77" s="225"/>
      <c r="Q77" s="225"/>
      <c r="R77" s="916">
        <f>SUM(E77:Q77)</f>
        <v>312108</v>
      </c>
      <c r="S77" s="225">
        <f>R77</f>
        <v>312108</v>
      </c>
      <c r="T77" s="225"/>
      <c r="U77" s="221"/>
    </row>
    <row r="78" spans="1:21" s="222" customFormat="1">
      <c r="A78" s="227" t="s">
        <v>1468</v>
      </c>
      <c r="B78" s="224">
        <f>SUM(C78:D78)</f>
        <v>2280093</v>
      </c>
      <c r="C78" s="890">
        <f>SUM(C76:C77)</f>
        <v>2280093</v>
      </c>
      <c r="D78" s="890">
        <f t="shared" ref="D78:T78" si="30">SUM(D76:D77)</f>
        <v>0</v>
      </c>
      <c r="E78" s="890">
        <f t="shared" si="30"/>
        <v>312108</v>
      </c>
      <c r="F78" s="890">
        <f t="shared" si="30"/>
        <v>1967985</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2280093</v>
      </c>
      <c r="S78" s="890">
        <f t="shared" si="30"/>
        <v>2280093</v>
      </c>
      <c r="T78" s="890">
        <f t="shared" si="3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1">SUM(C80+D80)</f>
        <v>33344</v>
      </c>
      <c r="C80" s="225">
        <v>33344</v>
      </c>
      <c r="D80" s="225"/>
      <c r="E80" s="225">
        <f t="shared" ref="E80:E94" si="32">C80-SUM(F80:Q80)</f>
        <v>33344</v>
      </c>
      <c r="F80" s="225"/>
      <c r="G80" s="225"/>
      <c r="H80" s="225"/>
      <c r="I80" s="225"/>
      <c r="J80" s="225"/>
      <c r="K80" s="225"/>
      <c r="L80" s="225"/>
      <c r="M80" s="225"/>
      <c r="N80" s="225"/>
      <c r="O80" s="225"/>
      <c r="P80" s="225"/>
      <c r="Q80" s="225"/>
      <c r="R80" s="916">
        <f t="shared" ref="R80:R94" si="33">SUM(E80:Q80)</f>
        <v>33344</v>
      </c>
      <c r="S80" s="226"/>
      <c r="T80" s="226"/>
      <c r="U80" s="221"/>
    </row>
    <row r="81" spans="1:21" s="222" customFormat="1">
      <c r="A81" s="223" t="s">
        <v>845</v>
      </c>
      <c r="B81" s="224">
        <f t="shared" si="31"/>
        <v>35000</v>
      </c>
      <c r="C81" s="225">
        <v>35000</v>
      </c>
      <c r="D81" s="225"/>
      <c r="E81" s="225">
        <f t="shared" si="32"/>
        <v>35000</v>
      </c>
      <c r="F81" s="225"/>
      <c r="G81" s="225"/>
      <c r="H81" s="225"/>
      <c r="I81" s="225"/>
      <c r="J81" s="225"/>
      <c r="K81" s="225"/>
      <c r="L81" s="225"/>
      <c r="M81" s="225"/>
      <c r="N81" s="225"/>
      <c r="O81" s="225"/>
      <c r="P81" s="225"/>
      <c r="Q81" s="225"/>
      <c r="R81" s="916">
        <f t="shared" si="33"/>
        <v>35000</v>
      </c>
      <c r="S81" s="225">
        <f>R81</f>
        <v>35000</v>
      </c>
      <c r="T81" s="225"/>
      <c r="U81" s="221"/>
    </row>
    <row r="82" spans="1:21" s="222" customFormat="1">
      <c r="A82" s="223" t="s">
        <v>846</v>
      </c>
      <c r="B82" s="224">
        <f t="shared" si="31"/>
        <v>222720</v>
      </c>
      <c r="C82" s="225">
        <v>222720</v>
      </c>
      <c r="D82" s="225"/>
      <c r="E82" s="225">
        <f t="shared" si="32"/>
        <v>222720</v>
      </c>
      <c r="F82" s="225"/>
      <c r="G82" s="225"/>
      <c r="H82" s="225"/>
      <c r="I82" s="225"/>
      <c r="J82" s="225"/>
      <c r="K82" s="225"/>
      <c r="L82" s="225"/>
      <c r="M82" s="225"/>
      <c r="N82" s="225"/>
      <c r="O82" s="225"/>
      <c r="P82" s="225"/>
      <c r="Q82" s="225"/>
      <c r="R82" s="916">
        <f t="shared" si="33"/>
        <v>222720</v>
      </c>
      <c r="S82" s="225">
        <f>R82</f>
        <v>222720</v>
      </c>
      <c r="T82" s="225"/>
      <c r="U82" s="221"/>
    </row>
    <row r="83" spans="1:21" s="222" customFormat="1">
      <c r="A83" s="223" t="s">
        <v>847</v>
      </c>
      <c r="B83" s="224">
        <f t="shared" si="31"/>
        <v>336000</v>
      </c>
      <c r="C83" s="225">
        <v>336000</v>
      </c>
      <c r="D83" s="225"/>
      <c r="E83" s="225">
        <f t="shared" si="32"/>
        <v>336000</v>
      </c>
      <c r="F83" s="225"/>
      <c r="G83" s="225"/>
      <c r="H83" s="225"/>
      <c r="I83" s="225"/>
      <c r="J83" s="225"/>
      <c r="K83" s="225"/>
      <c r="L83" s="225"/>
      <c r="M83" s="225"/>
      <c r="N83" s="225"/>
      <c r="O83" s="225"/>
      <c r="P83" s="225"/>
      <c r="Q83" s="225"/>
      <c r="R83" s="916">
        <f t="shared" si="33"/>
        <v>336000</v>
      </c>
      <c r="S83" s="225">
        <f>R83</f>
        <v>336000</v>
      </c>
      <c r="T83" s="225"/>
      <c r="U83" s="221"/>
    </row>
    <row r="84" spans="1:21" s="222" customFormat="1">
      <c r="A84" s="223" t="s">
        <v>848</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849</v>
      </c>
      <c r="B85" s="224">
        <f t="shared" si="31"/>
        <v>53750</v>
      </c>
      <c r="C85" s="225">
        <v>53750</v>
      </c>
      <c r="D85" s="225"/>
      <c r="E85" s="225">
        <f t="shared" si="32"/>
        <v>53750</v>
      </c>
      <c r="F85" s="225"/>
      <c r="G85" s="225"/>
      <c r="H85" s="225"/>
      <c r="I85" s="225"/>
      <c r="J85" s="225"/>
      <c r="K85" s="225"/>
      <c r="L85" s="225"/>
      <c r="M85" s="225"/>
      <c r="N85" s="225"/>
      <c r="O85" s="225"/>
      <c r="P85" s="225"/>
      <c r="Q85" s="225"/>
      <c r="R85" s="916">
        <f t="shared" si="33"/>
        <v>53750</v>
      </c>
      <c r="S85" s="226"/>
      <c r="T85" s="226"/>
      <c r="U85" s="221"/>
    </row>
    <row r="86" spans="1:21" s="222" customFormat="1">
      <c r="A86" s="223" t="s">
        <v>850</v>
      </c>
      <c r="B86" s="224">
        <f t="shared" si="31"/>
        <v>202800</v>
      </c>
      <c r="C86" s="225">
        <v>202800</v>
      </c>
      <c r="D86" s="225"/>
      <c r="E86" s="225">
        <f t="shared" si="32"/>
        <v>202800</v>
      </c>
      <c r="F86" s="225"/>
      <c r="G86" s="225"/>
      <c r="H86" s="225"/>
      <c r="I86" s="225"/>
      <c r="J86" s="225"/>
      <c r="K86" s="225"/>
      <c r="L86" s="225"/>
      <c r="M86" s="225"/>
      <c r="N86" s="225"/>
      <c r="O86" s="225"/>
      <c r="P86" s="225"/>
      <c r="Q86" s="225"/>
      <c r="R86" s="916">
        <f t="shared" si="33"/>
        <v>202800</v>
      </c>
      <c r="S86" s="225">
        <f>R86</f>
        <v>202800</v>
      </c>
      <c r="T86" s="225"/>
      <c r="U86" s="221"/>
    </row>
    <row r="87" spans="1:21" s="222" customFormat="1">
      <c r="A87" s="223" t="s">
        <v>851</v>
      </c>
      <c r="B87" s="224">
        <f t="shared" si="31"/>
        <v>15000</v>
      </c>
      <c r="C87" s="225">
        <v>15000</v>
      </c>
      <c r="D87" s="225"/>
      <c r="E87" s="225">
        <f t="shared" si="32"/>
        <v>15000</v>
      </c>
      <c r="F87" s="225"/>
      <c r="G87" s="225"/>
      <c r="H87" s="225"/>
      <c r="I87" s="225"/>
      <c r="J87" s="225"/>
      <c r="K87" s="225"/>
      <c r="L87" s="225"/>
      <c r="M87" s="225"/>
      <c r="N87" s="225"/>
      <c r="O87" s="225"/>
      <c r="P87" s="225"/>
      <c r="Q87" s="225"/>
      <c r="R87" s="916">
        <f t="shared" si="33"/>
        <v>15000</v>
      </c>
      <c r="S87" s="225"/>
      <c r="T87" s="225"/>
      <c r="U87" s="221"/>
    </row>
    <row r="88" spans="1:21" s="222" customFormat="1">
      <c r="A88" s="234" t="s">
        <v>403</v>
      </c>
      <c r="B88" s="224">
        <f t="shared" si="31"/>
        <v>0</v>
      </c>
      <c r="C88" s="225"/>
      <c r="D88" s="225"/>
      <c r="E88" s="225">
        <f t="shared" si="32"/>
        <v>0</v>
      </c>
      <c r="F88" s="225"/>
      <c r="G88" s="225"/>
      <c r="H88" s="225"/>
      <c r="I88" s="225"/>
      <c r="J88" s="225"/>
      <c r="K88" s="225"/>
      <c r="L88" s="225"/>
      <c r="M88" s="225"/>
      <c r="N88" s="225"/>
      <c r="O88" s="225"/>
      <c r="P88" s="225"/>
      <c r="Q88" s="225"/>
      <c r="R88" s="916">
        <f t="shared" si="33"/>
        <v>0</v>
      </c>
      <c r="S88" s="225"/>
      <c r="T88" s="225"/>
      <c r="U88" s="221"/>
    </row>
    <row r="89" spans="1:21" s="222" customFormat="1">
      <c r="A89" s="889" t="s">
        <v>1470</v>
      </c>
      <c r="B89" s="224">
        <f t="shared" si="31"/>
        <v>15000</v>
      </c>
      <c r="C89" s="225">
        <v>15000</v>
      </c>
      <c r="D89" s="225"/>
      <c r="E89" s="225">
        <f t="shared" si="32"/>
        <v>15000</v>
      </c>
      <c r="F89" s="225"/>
      <c r="G89" s="225"/>
      <c r="H89" s="225"/>
      <c r="I89" s="225"/>
      <c r="J89" s="225"/>
      <c r="K89" s="225"/>
      <c r="L89" s="225"/>
      <c r="M89" s="225"/>
      <c r="N89" s="225"/>
      <c r="O89" s="225"/>
      <c r="P89" s="225"/>
      <c r="Q89" s="225"/>
      <c r="R89" s="916">
        <f t="shared" si="33"/>
        <v>15000</v>
      </c>
      <c r="S89" s="225">
        <f t="shared" ref="S89:S94" si="34">R89</f>
        <v>15000</v>
      </c>
      <c r="T89" s="225"/>
      <c r="U89" s="221"/>
    </row>
    <row r="90" spans="1:21" s="222" customFormat="1" ht="24">
      <c r="A90" s="955" t="s">
        <v>1756</v>
      </c>
      <c r="B90" s="224">
        <f t="shared" si="31"/>
        <v>205000</v>
      </c>
      <c r="C90" s="225">
        <v>205000</v>
      </c>
      <c r="D90" s="225"/>
      <c r="E90" s="225">
        <f t="shared" si="32"/>
        <v>205000</v>
      </c>
      <c r="F90" s="225"/>
      <c r="G90" s="225"/>
      <c r="H90" s="225"/>
      <c r="I90" s="225"/>
      <c r="J90" s="225"/>
      <c r="K90" s="225"/>
      <c r="L90" s="225"/>
      <c r="M90" s="225"/>
      <c r="N90" s="225"/>
      <c r="O90" s="225"/>
      <c r="P90" s="225"/>
      <c r="Q90" s="225"/>
      <c r="R90" s="916">
        <f t="shared" si="33"/>
        <v>205000</v>
      </c>
      <c r="S90" s="225">
        <f t="shared" si="34"/>
        <v>205000</v>
      </c>
      <c r="T90" s="225"/>
      <c r="U90" s="221"/>
    </row>
    <row r="91" spans="1:21" s="222" customFormat="1">
      <c r="A91" s="955" t="s">
        <v>1757</v>
      </c>
      <c r="B91" s="224">
        <f t="shared" si="31"/>
        <v>120000</v>
      </c>
      <c r="C91" s="225">
        <v>120000</v>
      </c>
      <c r="D91" s="225"/>
      <c r="E91" s="225">
        <f t="shared" si="32"/>
        <v>120000</v>
      </c>
      <c r="F91" s="225"/>
      <c r="G91" s="225"/>
      <c r="H91" s="225"/>
      <c r="I91" s="225"/>
      <c r="J91" s="225"/>
      <c r="K91" s="225"/>
      <c r="L91" s="225"/>
      <c r="M91" s="225"/>
      <c r="N91" s="225"/>
      <c r="O91" s="225"/>
      <c r="P91" s="225"/>
      <c r="Q91" s="225"/>
      <c r="R91" s="916">
        <f t="shared" si="33"/>
        <v>120000</v>
      </c>
      <c r="S91" s="225">
        <f t="shared" si="34"/>
        <v>120000</v>
      </c>
      <c r="T91" s="225"/>
      <c r="U91" s="221"/>
    </row>
    <row r="92" spans="1:21" s="222" customFormat="1" ht="24">
      <c r="A92" s="955" t="s">
        <v>1758</v>
      </c>
      <c r="B92" s="224">
        <f t="shared" si="31"/>
        <v>90000</v>
      </c>
      <c r="C92" s="225">
        <v>90000</v>
      </c>
      <c r="D92" s="225"/>
      <c r="E92" s="225">
        <f t="shared" si="32"/>
        <v>90000</v>
      </c>
      <c r="F92" s="225"/>
      <c r="G92" s="225"/>
      <c r="H92" s="225"/>
      <c r="I92" s="225"/>
      <c r="J92" s="225"/>
      <c r="K92" s="225"/>
      <c r="L92" s="225"/>
      <c r="M92" s="225"/>
      <c r="N92" s="225"/>
      <c r="O92" s="225"/>
      <c r="P92" s="225"/>
      <c r="Q92" s="225"/>
      <c r="R92" s="916">
        <f t="shared" si="33"/>
        <v>90000</v>
      </c>
      <c r="S92" s="225">
        <f t="shared" si="34"/>
        <v>90000</v>
      </c>
      <c r="T92" s="225"/>
      <c r="U92" s="221"/>
    </row>
    <row r="93" spans="1:21" s="222" customFormat="1" ht="24">
      <c r="A93" s="955" t="s">
        <v>1759</v>
      </c>
      <c r="B93" s="224">
        <f t="shared" si="31"/>
        <v>285775</v>
      </c>
      <c r="C93" s="225">
        <v>285775</v>
      </c>
      <c r="D93" s="225"/>
      <c r="E93" s="225">
        <f t="shared" si="32"/>
        <v>285775</v>
      </c>
      <c r="F93" s="225"/>
      <c r="G93" s="225"/>
      <c r="H93" s="225"/>
      <c r="I93" s="225"/>
      <c r="J93" s="225"/>
      <c r="K93" s="225"/>
      <c r="L93" s="225"/>
      <c r="M93" s="225"/>
      <c r="N93" s="225"/>
      <c r="O93" s="225"/>
      <c r="P93" s="225"/>
      <c r="Q93" s="225"/>
      <c r="R93" s="916">
        <f t="shared" si="33"/>
        <v>285775</v>
      </c>
      <c r="S93" s="225">
        <f t="shared" si="34"/>
        <v>285775</v>
      </c>
      <c r="T93" s="225"/>
      <c r="U93" s="221"/>
    </row>
    <row r="94" spans="1:21" s="222" customFormat="1" ht="24">
      <c r="A94" s="955" t="s">
        <v>1760</v>
      </c>
      <c r="B94" s="224">
        <f t="shared" si="31"/>
        <v>30660</v>
      </c>
      <c r="C94" s="225">
        <v>30660</v>
      </c>
      <c r="D94" s="225"/>
      <c r="E94" s="225">
        <f t="shared" si="32"/>
        <v>30660</v>
      </c>
      <c r="F94" s="225"/>
      <c r="G94" s="225"/>
      <c r="H94" s="225"/>
      <c r="I94" s="225"/>
      <c r="J94" s="225"/>
      <c r="K94" s="225"/>
      <c r="L94" s="225"/>
      <c r="M94" s="225"/>
      <c r="N94" s="225"/>
      <c r="O94" s="225"/>
      <c r="P94" s="225"/>
      <c r="Q94" s="225"/>
      <c r="R94" s="916">
        <f t="shared" si="33"/>
        <v>30660</v>
      </c>
      <c r="S94" s="225">
        <f t="shared" si="34"/>
        <v>30660</v>
      </c>
      <c r="T94" s="225"/>
      <c r="U94" s="221"/>
    </row>
    <row r="95" spans="1:21" s="222" customFormat="1">
      <c r="A95" s="227" t="s">
        <v>852</v>
      </c>
      <c r="B95" s="224">
        <f>SUM(C95:D95)</f>
        <v>1645049</v>
      </c>
      <c r="C95" s="224">
        <f t="shared" ref="C95:Q95" si="35">SUM(C80:C94)</f>
        <v>1645049</v>
      </c>
      <c r="D95" s="224">
        <f t="shared" si="35"/>
        <v>0</v>
      </c>
      <c r="E95" s="224">
        <f t="shared" si="35"/>
        <v>1645049</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1645049</v>
      </c>
      <c r="S95" s="228">
        <f>SUM(S81:S84,S86:S94)</f>
        <v>1542955</v>
      </c>
      <c r="T95" s="224">
        <f>SUM(T81:T84,T86:T94)</f>
        <v>0</v>
      </c>
      <c r="U95" s="221"/>
    </row>
    <row r="96" spans="1:21" s="222" customFormat="1">
      <c r="A96" s="227" t="s">
        <v>853</v>
      </c>
      <c r="B96" s="224">
        <f>SUM(C96:D96)</f>
        <v>28486511.449999999</v>
      </c>
      <c r="C96" s="224">
        <f>SUM(C63+C67+C74+C78+C95)</f>
        <v>28486511.449999999</v>
      </c>
      <c r="D96" s="224">
        <f t="shared" ref="D96:R96" si="36">SUM(D63+D67+D74+D78+D95)</f>
        <v>0</v>
      </c>
      <c r="E96" s="224">
        <f t="shared" si="36"/>
        <v>5570511.4500000002</v>
      </c>
      <c r="F96" s="224">
        <f t="shared" si="36"/>
        <v>8816000</v>
      </c>
      <c r="G96" s="224">
        <f t="shared" si="36"/>
        <v>2000000</v>
      </c>
      <c r="H96" s="224">
        <f t="shared" si="36"/>
        <v>12100000</v>
      </c>
      <c r="I96" s="224">
        <f t="shared" si="36"/>
        <v>0</v>
      </c>
      <c r="J96" s="224">
        <f t="shared" si="36"/>
        <v>0</v>
      </c>
      <c r="K96" s="224">
        <f t="shared" si="36"/>
        <v>0</v>
      </c>
      <c r="L96" s="224">
        <f t="shared" si="36"/>
        <v>0</v>
      </c>
      <c r="M96" s="224">
        <f t="shared" si="36"/>
        <v>0</v>
      </c>
      <c r="N96" s="224">
        <f t="shared" si="36"/>
        <v>0</v>
      </c>
      <c r="O96" s="224">
        <f t="shared" si="36"/>
        <v>0</v>
      </c>
      <c r="P96" s="224">
        <f t="shared" si="36"/>
        <v>0</v>
      </c>
      <c r="Q96" s="224">
        <f t="shared" si="36"/>
        <v>0</v>
      </c>
      <c r="R96" s="224">
        <f t="shared" si="36"/>
        <v>28486511.449999999</v>
      </c>
      <c r="S96" s="224">
        <f>SUM(S63+S67+S78+S95)</f>
        <v>25518751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7">SUM(C98+D98)</f>
        <v>3445031</v>
      </c>
      <c r="C98" s="225">
        <v>3445031</v>
      </c>
      <c r="D98" s="225"/>
      <c r="E98" s="225">
        <f>C98-SUM(F98:Q98)</f>
        <v>2499899.5499999998</v>
      </c>
      <c r="F98" s="225"/>
      <c r="G98" s="225"/>
      <c r="H98" s="225"/>
      <c r="I98" s="225">
        <v>945131.45</v>
      </c>
      <c r="J98" s="225"/>
      <c r="K98" s="225"/>
      <c r="L98" s="225"/>
      <c r="M98" s="225"/>
      <c r="N98" s="225"/>
      <c r="O98" s="225"/>
      <c r="P98" s="225"/>
      <c r="Q98" s="225"/>
      <c r="R98" s="916">
        <f t="shared" ref="R98:R103" si="38">SUM(E98:Q98)</f>
        <v>3445031</v>
      </c>
      <c r="S98" s="225">
        <f>R98</f>
        <v>3445031</v>
      </c>
      <c r="T98" s="225"/>
      <c r="U98" s="221"/>
    </row>
    <row r="99" spans="1:21" s="222" customFormat="1">
      <c r="A99" s="223" t="s">
        <v>856</v>
      </c>
      <c r="B99" s="224">
        <f t="shared" si="37"/>
        <v>0</v>
      </c>
      <c r="C99" s="225"/>
      <c r="D99" s="225"/>
      <c r="E99" s="225">
        <f t="shared" ref="E99:E103" si="39">C99-SUM(F99:Q99)</f>
        <v>0</v>
      </c>
      <c r="F99" s="225"/>
      <c r="G99" s="225"/>
      <c r="H99" s="225"/>
      <c r="I99" s="225"/>
      <c r="J99" s="225"/>
      <c r="K99" s="225"/>
      <c r="L99" s="225"/>
      <c r="M99" s="225"/>
      <c r="N99" s="225"/>
      <c r="O99" s="225"/>
      <c r="P99" s="225"/>
      <c r="Q99" s="225"/>
      <c r="R99" s="916">
        <f t="shared" si="38"/>
        <v>0</v>
      </c>
      <c r="S99" s="225"/>
      <c r="T99" s="225"/>
      <c r="U99" s="221"/>
    </row>
    <row r="100" spans="1:21" s="222" customFormat="1">
      <c r="A100" s="223" t="s">
        <v>857</v>
      </c>
      <c r="B100" s="224">
        <f t="shared" si="37"/>
        <v>0</v>
      </c>
      <c r="C100" s="225"/>
      <c r="D100" s="225"/>
      <c r="E100" s="225">
        <f t="shared" si="39"/>
        <v>0</v>
      </c>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858</v>
      </c>
      <c r="B101" s="224">
        <f t="shared" si="37"/>
        <v>0</v>
      </c>
      <c r="C101" s="225"/>
      <c r="D101" s="225"/>
      <c r="E101" s="225">
        <f t="shared" si="39"/>
        <v>0</v>
      </c>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1128</v>
      </c>
      <c r="B102" s="224">
        <f t="shared" si="37"/>
        <v>0</v>
      </c>
      <c r="C102" s="225"/>
      <c r="D102" s="225"/>
      <c r="E102" s="225">
        <f t="shared" si="39"/>
        <v>0</v>
      </c>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f t="shared" si="39"/>
        <v>0</v>
      </c>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860</v>
      </c>
      <c r="B104" s="224">
        <f>SUM(C104:D104)</f>
        <v>3445031</v>
      </c>
      <c r="C104" s="224">
        <f t="shared" ref="C104:T104" si="40">SUM(C98:C103)</f>
        <v>3445031</v>
      </c>
      <c r="D104" s="224">
        <f t="shared" si="40"/>
        <v>0</v>
      </c>
      <c r="E104" s="224">
        <f t="shared" si="40"/>
        <v>2499899.5499999998</v>
      </c>
      <c r="F104" s="224">
        <f t="shared" si="40"/>
        <v>0</v>
      </c>
      <c r="G104" s="224">
        <f t="shared" si="40"/>
        <v>0</v>
      </c>
      <c r="H104" s="224">
        <f t="shared" si="40"/>
        <v>0</v>
      </c>
      <c r="I104" s="224">
        <f t="shared" si="40"/>
        <v>945131.45</v>
      </c>
      <c r="J104" s="224">
        <f t="shared" si="40"/>
        <v>0</v>
      </c>
      <c r="K104" s="224">
        <f t="shared" si="40"/>
        <v>0</v>
      </c>
      <c r="L104" s="224">
        <f t="shared" si="40"/>
        <v>0</v>
      </c>
      <c r="M104" s="224">
        <f t="shared" si="40"/>
        <v>0</v>
      </c>
      <c r="N104" s="224">
        <f t="shared" si="40"/>
        <v>0</v>
      </c>
      <c r="O104" s="224">
        <f t="shared" si="40"/>
        <v>0</v>
      </c>
      <c r="P104" s="224">
        <f t="shared" si="40"/>
        <v>0</v>
      </c>
      <c r="Q104" s="224">
        <f t="shared" si="40"/>
        <v>0</v>
      </c>
      <c r="R104" s="558">
        <f>SUM(R98:R103)</f>
        <v>3445031</v>
      </c>
      <c r="S104" s="228">
        <f t="shared" si="40"/>
        <v>3445031</v>
      </c>
      <c r="T104" s="228">
        <f t="shared" si="40"/>
        <v>0</v>
      </c>
      <c r="U104" s="221"/>
    </row>
    <row r="105" spans="1:21" s="222" customFormat="1">
      <c r="A105" s="227" t="s">
        <v>861</v>
      </c>
      <c r="B105" s="228">
        <f>SUM(C105:D105)</f>
        <v>31931542.449999999</v>
      </c>
      <c r="C105" s="228">
        <f t="shared" ref="C105:R105" si="41">SUM(C96+C104)</f>
        <v>31931542.449999999</v>
      </c>
      <c r="D105" s="228">
        <f t="shared" si="41"/>
        <v>0</v>
      </c>
      <c r="E105" s="228">
        <f t="shared" si="41"/>
        <v>8070411</v>
      </c>
      <c r="F105" s="228">
        <f t="shared" si="41"/>
        <v>8816000</v>
      </c>
      <c r="G105" s="228">
        <f t="shared" si="41"/>
        <v>2000000</v>
      </c>
      <c r="H105" s="228">
        <f t="shared" si="41"/>
        <v>12100000</v>
      </c>
      <c r="I105" s="228">
        <f t="shared" si="41"/>
        <v>945131.45</v>
      </c>
      <c r="J105" s="228">
        <f t="shared" si="41"/>
        <v>0</v>
      </c>
      <c r="K105" s="228">
        <f t="shared" si="41"/>
        <v>0</v>
      </c>
      <c r="L105" s="228">
        <f t="shared" si="41"/>
        <v>0</v>
      </c>
      <c r="M105" s="228">
        <f t="shared" si="41"/>
        <v>0</v>
      </c>
      <c r="N105" s="228">
        <f t="shared" si="41"/>
        <v>0</v>
      </c>
      <c r="O105" s="228">
        <f t="shared" si="41"/>
        <v>0</v>
      </c>
      <c r="P105" s="228">
        <f t="shared" si="41"/>
        <v>0</v>
      </c>
      <c r="Q105" s="228">
        <f t="shared" si="41"/>
        <v>0</v>
      </c>
      <c r="R105" s="558">
        <f t="shared" si="41"/>
        <v>31931542.449999999</v>
      </c>
      <c r="S105" s="228">
        <f>S96+S104</f>
        <v>28963782</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28963782</v>
      </c>
      <c r="T107" s="242">
        <f>T105+T106</f>
        <v>0</v>
      </c>
    </row>
    <row r="108" spans="1:21" s="310" customFormat="1">
      <c r="A108" s="241" t="s">
        <v>973</v>
      </c>
      <c r="B108" s="236"/>
      <c r="C108" s="236"/>
      <c r="D108" s="236"/>
      <c r="E108" s="481">
        <f>Application!AG631</f>
        <v>8070411</v>
      </c>
      <c r="F108" s="481">
        <f>Application!AG618</f>
        <v>8816000</v>
      </c>
      <c r="G108" s="481">
        <f>Application!AG619</f>
        <v>2000000</v>
      </c>
      <c r="H108" s="481">
        <f>Application!AG620</f>
        <v>12100000</v>
      </c>
      <c r="I108" s="481">
        <f>Application!AG621</f>
        <v>945131.45</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0" t="s">
        <v>1134</v>
      </c>
      <c r="E122" s="1610"/>
      <c r="F122" s="161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0" t="s">
        <v>1492</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1136</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1137</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8"/>
      <c r="E128" s="1608"/>
      <c r="F128" s="1608"/>
      <c r="G128" s="1608"/>
      <c r="H128" s="1608"/>
      <c r="I128" s="534"/>
      <c r="J128" s="1599"/>
      <c r="K128" s="1599"/>
      <c r="L128" s="534"/>
      <c r="M128" s="534"/>
      <c r="N128" s="534"/>
      <c r="O128" s="534"/>
      <c r="P128" s="534"/>
      <c r="Q128" s="534"/>
      <c r="R128" s="534"/>
      <c r="S128" s="534"/>
      <c r="T128" s="535"/>
      <c r="U128" s="537"/>
    </row>
    <row r="129" spans="1:21" ht="12.75">
      <c r="A129" s="534" t="s">
        <v>318</v>
      </c>
      <c r="B129" s="544"/>
      <c r="C129" s="534"/>
      <c r="D129" s="1609" t="s">
        <v>1141</v>
      </c>
      <c r="E129" s="1609"/>
      <c r="F129" s="1609"/>
      <c r="G129" s="1609"/>
      <c r="H129" s="160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602" t="s">
        <v>1144</v>
      </c>
      <c r="E132" s="1602"/>
      <c r="F132" s="1602"/>
      <c r="G132" s="1602"/>
      <c r="H132" s="1602"/>
      <c r="I132" s="534"/>
      <c r="J132" s="1602" t="s">
        <v>1145</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9"/>
      <c r="F138" s="1599"/>
      <c r="G138" s="534"/>
      <c r="H138" s="534"/>
      <c r="I138" s="534"/>
      <c r="J138" s="534"/>
      <c r="K138" s="534"/>
      <c r="L138" s="534"/>
      <c r="M138" s="534"/>
      <c r="N138" s="534"/>
      <c r="O138" s="534"/>
      <c r="P138" s="534"/>
      <c r="Q138" s="534"/>
      <c r="R138" s="534"/>
      <c r="S138" s="534"/>
      <c r="T138" s="541"/>
      <c r="U138" s="542"/>
    </row>
    <row r="139" spans="1:21" ht="12.75">
      <c r="A139" s="1597" t="s">
        <v>1148</v>
      </c>
      <c r="B139" s="1598"/>
      <c r="C139" s="159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5">
    <cfRule type="cellIs" dxfId="131" priority="229" stopIfTrue="1" operator="notEqual">
      <formula>$B25</formula>
    </cfRule>
    <cfRule type="cellIs" priority="230" stopIfTrue="1" operator="notEqual">
      <formula>$B25</formula>
    </cfRule>
  </conditionalFormatting>
  <conditionalFormatting sqref="R17:R24">
    <cfRule type="cellIs" dxfId="130" priority="228" stopIfTrue="1" operator="notEqual">
      <formula>$B17</formula>
    </cfRule>
  </conditionalFormatting>
  <conditionalFormatting sqref="R26">
    <cfRule type="cellIs" dxfId="129" priority="227" stopIfTrue="1" operator="notEqual">
      <formula>$B26</formula>
    </cfRule>
  </conditionalFormatting>
  <conditionalFormatting sqref="R36">
    <cfRule type="cellIs" dxfId="128" priority="225" stopIfTrue="1" operator="notEqual">
      <formula>$B36</formula>
    </cfRule>
    <cfRule type="cellIs" priority="226" stopIfTrue="1" operator="notEqual">
      <formula>$B36</formula>
    </cfRule>
  </conditionalFormatting>
  <conditionalFormatting sqref="R28:R35">
    <cfRule type="cellIs" dxfId="127" priority="224" stopIfTrue="1" operator="notEqual">
      <formula>$B28</formula>
    </cfRule>
  </conditionalFormatting>
  <conditionalFormatting sqref="R40">
    <cfRule type="cellIs" dxfId="126" priority="222" stopIfTrue="1" operator="notEqual">
      <formula>$B40</formula>
    </cfRule>
    <cfRule type="cellIs" priority="223" stopIfTrue="1" operator="notEqual">
      <formula>$B40</formula>
    </cfRule>
  </conditionalFormatting>
  <conditionalFormatting sqref="R38:R39">
    <cfRule type="cellIs" dxfId="125" priority="221" stopIfTrue="1" operator="notEqual">
      <formula>$B38</formula>
    </cfRule>
  </conditionalFormatting>
  <conditionalFormatting sqref="R41">
    <cfRule type="cellIs" dxfId="124" priority="220" stopIfTrue="1" operator="notEqual">
      <formula>$B41</formula>
    </cfRule>
  </conditionalFormatting>
  <conditionalFormatting sqref="R53">
    <cfRule type="cellIs" dxfId="123" priority="218" stopIfTrue="1" operator="notEqual">
      <formula>$B53</formula>
    </cfRule>
    <cfRule type="cellIs" priority="219" stopIfTrue="1" operator="notEqual">
      <formula>$B53</formula>
    </cfRule>
  </conditionalFormatting>
  <conditionalFormatting sqref="R43:R52">
    <cfRule type="cellIs" dxfId="122" priority="217" stopIfTrue="1" operator="notEqual">
      <formula>$B43</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55:R61">
    <cfRule type="cellIs" dxfId="120" priority="214" stopIfTrue="1" operator="notEqual">
      <formula>$B55</formula>
    </cfRule>
  </conditionalFormatting>
  <conditionalFormatting sqref="R67">
    <cfRule type="cellIs" dxfId="119" priority="212" stopIfTrue="1" operator="notEqual">
      <formula>$B67</formula>
    </cfRule>
    <cfRule type="cellIs" priority="213" stopIfTrue="1" operator="notEqual">
      <formula>$B67</formula>
    </cfRule>
  </conditionalFormatting>
  <conditionalFormatting sqref="R65:R66">
    <cfRule type="cellIs" dxfId="118" priority="211" stopIfTrue="1" operator="notEqual">
      <formula>$B65</formula>
    </cfRule>
  </conditionalFormatting>
  <conditionalFormatting sqref="R74">
    <cfRule type="cellIs" dxfId="117" priority="209" stopIfTrue="1" operator="notEqual">
      <formula>$B74</formula>
    </cfRule>
    <cfRule type="cellIs" priority="210" stopIfTrue="1" operator="notEqual">
      <formula>$B74</formula>
    </cfRule>
  </conditionalFormatting>
  <conditionalFormatting sqref="R95">
    <cfRule type="cellIs" dxfId="116" priority="207" stopIfTrue="1" operator="notEqual">
      <formula>$B95</formula>
    </cfRule>
    <cfRule type="cellIs" priority="208" stopIfTrue="1" operator="notEqual">
      <formula>$B95</formula>
    </cfRule>
  </conditionalFormatting>
  <conditionalFormatting sqref="R69:R73">
    <cfRule type="cellIs" dxfId="115" priority="206" stopIfTrue="1" operator="notEqual">
      <formula>$B69</formula>
    </cfRule>
  </conditionalFormatting>
  <conditionalFormatting sqref="R76:R77">
    <cfRule type="cellIs" dxfId="114" priority="205" stopIfTrue="1" operator="notEqual">
      <formula>$B76</formula>
    </cfRule>
  </conditionalFormatting>
  <conditionalFormatting sqref="R80:R94">
    <cfRule type="cellIs" dxfId="113" priority="204" stopIfTrue="1" operator="notEqual">
      <formula>$B80</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R98:R103">
    <cfRule type="cellIs" dxfId="111" priority="201" stopIfTrue="1" operator="notEqual">
      <formula>$B98</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
    <cfRule type="expression" dxfId="101" priority="179" stopIfTrue="1">
      <formula>(S23+T23)&gt;C23</formula>
    </cfRule>
  </conditionalFormatting>
  <conditionalFormatting sqref="S24">
    <cfRule type="expression" dxfId="100" priority="178" stopIfTrue="1">
      <formula>(S24+T24)&gt;C24</formula>
    </cfRule>
  </conditionalFormatting>
  <conditionalFormatting sqref="S26">
    <cfRule type="expression" dxfId="99" priority="171" stopIfTrue="1">
      <formula>(S26+T26)&gt;C26</formula>
    </cfRule>
  </conditionalFormatting>
  <conditionalFormatting sqref="S28:S35">
    <cfRule type="expression" dxfId="98" priority="169" stopIfTrue="1">
      <formula>(S28+T28)&gt;C28</formula>
    </cfRule>
  </conditionalFormatting>
  <conditionalFormatting sqref="S38:S39">
    <cfRule type="expression" dxfId="97" priority="153" stopIfTrue="1">
      <formula>(S38+T38)&gt;C38</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1495</v>
      </c>
      <c r="B1" s="1618"/>
      <c r="C1" s="1618"/>
      <c r="D1" s="1618"/>
      <c r="E1" s="1618"/>
      <c r="F1" s="1618"/>
      <c r="G1" s="1618"/>
      <c r="H1" s="1618"/>
      <c r="I1" s="1618"/>
      <c r="J1" s="161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65000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815000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480000</v>
      </c>
      <c r="C10" s="590"/>
      <c r="D10" s="590"/>
      <c r="E10" s="589">
        <f>'Sources and Uses Budget'!S10</f>
        <v>280000</v>
      </c>
      <c r="F10" s="590"/>
      <c r="G10" s="590"/>
      <c r="H10" s="589">
        <f>'Sources and Uses Budget'!T10</f>
        <v>0</v>
      </c>
      <c r="I10" s="590"/>
      <c r="J10" s="590"/>
      <c r="K10" s="587"/>
    </row>
    <row r="11" spans="1:11" s="588" customFormat="1">
      <c r="A11" s="593" t="s">
        <v>646</v>
      </c>
      <c r="B11" s="589">
        <f>'Sources and Uses Budget'!C11</f>
        <v>480000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1295000</v>
      </c>
      <c r="C12" s="589">
        <f>SUM(C8+C11)</f>
        <v>0</v>
      </c>
      <c r="D12" s="589">
        <f>SUM(D8+D11)</f>
        <v>0</v>
      </c>
      <c r="E12" s="591"/>
      <c r="F12" s="591"/>
      <c r="G12" s="591"/>
      <c r="H12" s="591"/>
      <c r="I12" s="591"/>
      <c r="J12" s="591"/>
      <c r="K12" s="587"/>
    </row>
    <row r="13" spans="1:11" s="588" customFormat="1">
      <c r="A13" s="594" t="s">
        <v>1000</v>
      </c>
      <c r="B13" s="589">
        <f>'Sources and Uses Budget'!C13</f>
        <v>30000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2276960</v>
      </c>
      <c r="C28" s="590"/>
      <c r="D28" s="590"/>
      <c r="E28" s="589">
        <f>'Sources and Uses Budget'!S28</f>
        <v>2276960</v>
      </c>
      <c r="F28" s="590"/>
      <c r="G28" s="590"/>
      <c r="H28" s="589">
        <f>'Sources and Uses Budget'!T28</f>
        <v>0</v>
      </c>
      <c r="I28" s="590"/>
      <c r="J28" s="590"/>
      <c r="K28" s="587"/>
    </row>
    <row r="29" spans="1:11" s="588" customFormat="1">
      <c r="A29" s="223" t="s">
        <v>649</v>
      </c>
      <c r="B29" s="589">
        <f>'Sources and Uses Budget'!C29</f>
        <v>14000000</v>
      </c>
      <c r="C29" s="590"/>
      <c r="D29" s="590"/>
      <c r="E29" s="589">
        <f>'Sources and Uses Budget'!S29</f>
        <v>14000000</v>
      </c>
      <c r="F29" s="590"/>
      <c r="G29" s="590"/>
      <c r="H29" s="589">
        <f>'Sources and Uses Budget'!T29</f>
        <v>0</v>
      </c>
      <c r="I29" s="590"/>
      <c r="J29" s="590"/>
      <c r="K29" s="587"/>
    </row>
    <row r="30" spans="1:11" s="588" customFormat="1">
      <c r="A30" s="223" t="s">
        <v>650</v>
      </c>
      <c r="B30" s="589">
        <f>'Sources and Uses Budget'!C30</f>
        <v>1172988</v>
      </c>
      <c r="C30" s="590"/>
      <c r="D30" s="590"/>
      <c r="E30" s="589">
        <f>'Sources and Uses Budget'!S30</f>
        <v>1172988</v>
      </c>
      <c r="F30" s="590"/>
      <c r="G30" s="590"/>
      <c r="H30" s="589">
        <f>'Sources and Uses Budget'!T30</f>
        <v>0</v>
      </c>
      <c r="I30" s="590"/>
      <c r="J30" s="590"/>
      <c r="K30" s="587"/>
    </row>
    <row r="31" spans="1:11" s="588" customFormat="1">
      <c r="A31" s="223" t="s">
        <v>144</v>
      </c>
      <c r="B31" s="589">
        <f>'Sources and Uses Budget'!C31</f>
        <v>502709</v>
      </c>
      <c r="C31" s="590"/>
      <c r="D31" s="590"/>
      <c r="E31" s="589">
        <f>'Sources and Uses Budget'!S31</f>
        <v>502709</v>
      </c>
      <c r="F31" s="590"/>
      <c r="G31" s="590"/>
      <c r="H31" s="589">
        <f>'Sources and Uses Budget'!T31</f>
        <v>0</v>
      </c>
      <c r="I31" s="590"/>
      <c r="J31" s="590"/>
      <c r="K31" s="587"/>
    </row>
    <row r="32" spans="1:11" s="588" customFormat="1">
      <c r="A32" s="223" t="s">
        <v>145</v>
      </c>
      <c r="B32" s="589">
        <f>'Sources and Uses Budget'!C32</f>
        <v>670279</v>
      </c>
      <c r="C32" s="590"/>
      <c r="D32" s="590"/>
      <c r="E32" s="589">
        <f>'Sources and Uses Budget'!S32</f>
        <v>670279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385880</v>
      </c>
      <c r="C34" s="590"/>
      <c r="D34" s="590"/>
      <c r="E34" s="589">
        <f>'Sources and Uses Budget'!S34</f>
        <v>385880</v>
      </c>
      <c r="F34" s="590"/>
      <c r="G34" s="590"/>
      <c r="H34" s="589">
        <f>'Sources and Uses Budget'!T34</f>
        <v>0</v>
      </c>
      <c r="I34" s="590"/>
      <c r="J34" s="590"/>
      <c r="K34" s="587"/>
    </row>
    <row r="35" spans="1:11" s="588" customFormat="1">
      <c r="A35" s="595" t="str">
        <f>'Sources and Uses Budget'!$A35</f>
        <v>Other: Payment and Performance Bond</v>
      </c>
      <c r="B35" s="589">
        <f>'Sources and Uses Budget'!C35</f>
        <v>191030</v>
      </c>
      <c r="C35" s="590"/>
      <c r="D35" s="590"/>
      <c r="E35" s="589">
        <f>'Sources and Uses Budget'!S35</f>
        <v>191030</v>
      </c>
      <c r="F35" s="590"/>
      <c r="G35" s="590"/>
      <c r="H35" s="589">
        <f>'Sources and Uses Budget'!T35</f>
        <v>0</v>
      </c>
      <c r="I35" s="590"/>
      <c r="J35" s="590"/>
      <c r="K35" s="587"/>
    </row>
    <row r="36" spans="1:11" s="588" customFormat="1">
      <c r="A36" s="597" t="s">
        <v>150</v>
      </c>
      <c r="B36" s="589">
        <f>'Sources and Uses Budget'!C36</f>
        <v>19199846</v>
      </c>
      <c r="C36" s="589">
        <f>SUM(C28:C35)</f>
        <v>0</v>
      </c>
      <c r="D36" s="589">
        <f>SUM(D28:D35)</f>
        <v>0</v>
      </c>
      <c r="E36" s="589">
        <f>'Sources and Uses Budget'!S36</f>
        <v>19199846</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500000</v>
      </c>
      <c r="C38" s="590"/>
      <c r="D38" s="590"/>
      <c r="E38" s="589">
        <f>'Sources and Uses Budget'!S38</f>
        <v>500000</v>
      </c>
      <c r="F38" s="590"/>
      <c r="G38" s="590"/>
      <c r="H38" s="589">
        <f>'Sources and Uses Budget'!T38</f>
        <v>0</v>
      </c>
      <c r="I38" s="590"/>
      <c r="J38" s="590"/>
      <c r="K38" s="587"/>
    </row>
    <row r="39" spans="1:11" s="588" customFormat="1">
      <c r="A39" s="592" t="s">
        <v>153</v>
      </c>
      <c r="B39" s="589">
        <f>'Sources and Uses Budget'!C39</f>
        <v>300000</v>
      </c>
      <c r="C39" s="590"/>
      <c r="D39" s="590"/>
      <c r="E39" s="589">
        <f>'Sources and Uses Budget'!S39</f>
        <v>300000</v>
      </c>
      <c r="F39" s="590"/>
      <c r="G39" s="590"/>
      <c r="H39" s="589">
        <f>'Sources and Uses Budget'!T39</f>
        <v>0</v>
      </c>
      <c r="I39" s="590"/>
      <c r="J39" s="590"/>
      <c r="K39" s="587"/>
    </row>
    <row r="40" spans="1:11" s="588" customFormat="1">
      <c r="A40" s="593" t="s">
        <v>154</v>
      </c>
      <c r="B40" s="589">
        <f>'Sources and Uses Budget'!C40</f>
        <v>800000</v>
      </c>
      <c r="C40" s="589">
        <f>SUM(C37:C39)</f>
        <v>0</v>
      </c>
      <c r="D40" s="589">
        <f>SUM(D37:D39)</f>
        <v>0</v>
      </c>
      <c r="E40" s="589">
        <f>'Sources and Uses Budget'!S40</f>
        <v>800000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350000</v>
      </c>
      <c r="C41" s="590"/>
      <c r="D41" s="590"/>
      <c r="E41" s="589">
        <f>'Sources and Uses Budget'!S41</f>
        <v>350000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936417</v>
      </c>
      <c r="C43" s="590"/>
      <c r="D43" s="590"/>
      <c r="E43" s="589">
        <f>'Sources and Uses Budget'!S43</f>
        <v>605917</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565067</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80000</v>
      </c>
      <c r="C48" s="590"/>
      <c r="D48" s="590"/>
      <c r="E48" s="589">
        <f>'Sources and Uses Budget'!S48</f>
        <v>80000</v>
      </c>
      <c r="F48" s="590"/>
      <c r="G48" s="590"/>
      <c r="H48" s="589">
        <f>'Sources and Uses Budget'!T48</f>
        <v>0</v>
      </c>
      <c r="I48" s="590"/>
      <c r="J48" s="590"/>
      <c r="K48" s="587"/>
    </row>
    <row r="49" spans="1:11" s="588" customFormat="1">
      <c r="A49" s="592" t="s">
        <v>161</v>
      </c>
      <c r="B49" s="589">
        <f>'Sources and Uses Budget'!C49</f>
        <v>9375</v>
      </c>
      <c r="C49" s="590"/>
      <c r="D49" s="590"/>
      <c r="E49" s="589">
        <f>'Sources and Uses Budget'!S49</f>
        <v>9375</v>
      </c>
      <c r="F49" s="590"/>
      <c r="G49" s="590"/>
      <c r="H49" s="589">
        <f>'Sources and Uses Budget'!T49</f>
        <v>0</v>
      </c>
      <c r="I49" s="590"/>
      <c r="J49" s="590"/>
      <c r="K49" s="587"/>
    </row>
    <row r="50" spans="1:11" s="588" customFormat="1">
      <c r="A50" s="592" t="s">
        <v>162</v>
      </c>
      <c r="B50" s="589">
        <f>'Sources and Uses Budget'!C50</f>
        <v>80000</v>
      </c>
      <c r="C50" s="590"/>
      <c r="D50" s="590"/>
      <c r="E50" s="589">
        <f>'Sources and Uses Budget'!S50</f>
        <v>80000</v>
      </c>
      <c r="F50" s="590"/>
      <c r="G50" s="590"/>
      <c r="H50" s="589">
        <f>'Sources and Uses Budget'!T50</f>
        <v>0</v>
      </c>
      <c r="I50" s="590"/>
      <c r="J50" s="590"/>
      <c r="K50" s="587"/>
    </row>
    <row r="51" spans="1:11" s="588" customFormat="1">
      <c r="A51" s="595" t="str">
        <f>'Sources and Uses Budget'!$A60</f>
        <v>Other: (Specify)</v>
      </c>
      <c r="B51" s="589">
        <f>'Sources and Uses Budget'!C51</f>
        <v>255565</v>
      </c>
      <c r="C51" s="590"/>
      <c r="D51" s="590"/>
      <c r="E51" s="589">
        <f>'Sources and Uses Budget'!S51</f>
        <v>255565</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1926424</v>
      </c>
      <c r="C53" s="596">
        <f>SUM(C43:C52)</f>
        <v>0</v>
      </c>
      <c r="D53" s="596">
        <f>SUM(D43:D52)</f>
        <v>0</v>
      </c>
      <c r="E53" s="589">
        <f>'Sources and Uses Budget'!S53</f>
        <v>1030857</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20000</v>
      </c>
      <c r="C62" s="589">
        <f>SUM(C55:C61)</f>
        <v>0</v>
      </c>
      <c r="D62" s="589">
        <f>SUM(D55:D61)</f>
        <v>0</v>
      </c>
      <c r="E62" s="591"/>
      <c r="F62" s="591"/>
      <c r="G62" s="591"/>
      <c r="H62" s="591"/>
      <c r="I62" s="591"/>
      <c r="J62" s="591"/>
      <c r="K62" s="587"/>
    </row>
    <row r="63" spans="1:11" s="588" customFormat="1">
      <c r="A63" s="600" t="s">
        <v>320</v>
      </c>
      <c r="B63" s="589">
        <f>'Sources and Uses Budget'!C63</f>
        <v>23621270</v>
      </c>
      <c r="C63" s="589">
        <f>SUM(C8+C11+C13+C14+C15+C25+C26+C36+C40+C41+C53+C62)</f>
        <v>0</v>
      </c>
      <c r="D63" s="589">
        <f>SUM(D8+D11+D13+D14+D15+D25+D26+D36+D40+D41+D53+D62)</f>
        <v>0</v>
      </c>
      <c r="E63" s="589">
        <f>'Sources and Uses Budget'!S63</f>
        <v>21660703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Transition Reserve</v>
      </c>
      <c r="B66" s="589">
        <f>'Sources and Uses Budget'!C66</f>
        <v>35000</v>
      </c>
      <c r="C66" s="590"/>
      <c r="D66" s="590"/>
      <c r="E66" s="589">
        <f>'Sources and Uses Budget'!S66</f>
        <v>35000</v>
      </c>
      <c r="F66" s="590"/>
      <c r="G66" s="590"/>
      <c r="H66" s="589">
        <f>'Sources and Uses Budget'!T66</f>
        <v>0</v>
      </c>
      <c r="I66" s="590"/>
      <c r="J66" s="590"/>
      <c r="K66" s="587"/>
    </row>
    <row r="67" spans="1:11" s="588" customFormat="1">
      <c r="A67" s="593" t="s">
        <v>651</v>
      </c>
      <c r="B67" s="589">
        <f>'Sources and Uses Budget'!C67</f>
        <v>35000</v>
      </c>
      <c r="C67" s="589">
        <f>SUM(C64:C66)</f>
        <v>0</v>
      </c>
      <c r="D67" s="589">
        <f>SUM(D64:D66)</f>
        <v>0</v>
      </c>
      <c r="E67" s="589">
        <f>'Sources and Uses Budget'!S67</f>
        <v>35000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224083</v>
      </c>
      <c r="C72" s="590"/>
      <c r="D72" s="590"/>
      <c r="E72" s="591"/>
      <c r="F72" s="591"/>
      <c r="G72" s="591"/>
      <c r="H72" s="591"/>
      <c r="I72" s="591"/>
      <c r="J72" s="591"/>
      <c r="K72" s="587"/>
    </row>
    <row r="73" spans="1:11" s="588" customFormat="1">
      <c r="A73" s="595" t="str">
        <f>'Sources and Uses Budget'!$A73</f>
        <v>Transition Reserve</v>
      </c>
      <c r="B73" s="589">
        <f>'Sources and Uses Budget'!C73</f>
        <v>681016.45</v>
      </c>
      <c r="C73" s="590"/>
      <c r="D73" s="590"/>
      <c r="E73" s="591"/>
      <c r="F73" s="591"/>
      <c r="G73" s="591"/>
      <c r="H73" s="591"/>
      <c r="I73" s="591"/>
      <c r="J73" s="591"/>
      <c r="K73" s="587"/>
    </row>
    <row r="74" spans="1:11" s="588" customFormat="1">
      <c r="A74" s="593" t="s">
        <v>656</v>
      </c>
      <c r="B74" s="589">
        <f>'Sources and Uses Budget'!C74</f>
        <v>905099.45</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1967985</v>
      </c>
      <c r="C76" s="590"/>
      <c r="D76" s="590"/>
      <c r="E76" s="589">
        <f>'Sources and Uses Budget'!S76</f>
        <v>1967985</v>
      </c>
      <c r="F76" s="590"/>
      <c r="G76" s="590"/>
      <c r="H76" s="589">
        <f>'Sources and Uses Budget'!T76</f>
        <v>0</v>
      </c>
      <c r="I76" s="590"/>
      <c r="J76" s="590"/>
      <c r="K76" s="587"/>
    </row>
    <row r="77" spans="1:11" s="588" customFormat="1">
      <c r="A77" s="592" t="s">
        <v>63</v>
      </c>
      <c r="B77" s="589">
        <f>'Sources and Uses Budget'!C77</f>
        <v>312108</v>
      </c>
      <c r="C77" s="590"/>
      <c r="D77" s="590"/>
      <c r="E77" s="589">
        <f>'Sources and Uses Budget'!S77</f>
        <v>312108</v>
      </c>
      <c r="F77" s="590"/>
      <c r="G77" s="590"/>
      <c r="H77" s="589">
        <f>'Sources and Uses Budget'!T77</f>
        <v>0</v>
      </c>
      <c r="I77" s="590"/>
      <c r="J77" s="590"/>
      <c r="K77" s="587"/>
    </row>
    <row r="78" spans="1:11" s="588" customFormat="1">
      <c r="A78" s="593" t="s">
        <v>1468</v>
      </c>
      <c r="B78" s="589">
        <f>'Sources and Uses Budget'!C78</f>
        <v>2280093</v>
      </c>
      <c r="C78" s="589">
        <f>SUM(C76:C77)</f>
        <v>0</v>
      </c>
      <c r="D78" s="589">
        <f>SUM(D76:D77)</f>
        <v>0</v>
      </c>
      <c r="E78" s="589">
        <f>'Sources and Uses Budget'!S78</f>
        <v>2280093</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33344</v>
      </c>
      <c r="C80" s="590"/>
      <c r="D80" s="590"/>
      <c r="E80" s="591"/>
      <c r="F80" s="591"/>
      <c r="G80" s="591"/>
      <c r="H80" s="591"/>
      <c r="I80" s="591"/>
      <c r="J80" s="591"/>
      <c r="K80" s="587"/>
    </row>
    <row r="81" spans="1:11" s="588" customFormat="1">
      <c r="A81" s="223" t="s">
        <v>845</v>
      </c>
      <c r="B81" s="589">
        <f>'Sources and Uses Budget'!C81</f>
        <v>35000</v>
      </c>
      <c r="C81" s="590"/>
      <c r="D81" s="590"/>
      <c r="E81" s="589">
        <f>'Sources and Uses Budget'!S81</f>
        <v>35000</v>
      </c>
      <c r="F81" s="590"/>
      <c r="G81" s="590"/>
      <c r="H81" s="589">
        <f>'Sources and Uses Budget'!T81</f>
        <v>0</v>
      </c>
      <c r="I81" s="590"/>
      <c r="J81" s="590"/>
      <c r="K81" s="587"/>
    </row>
    <row r="82" spans="1:11" s="588" customFormat="1">
      <c r="A82" s="223" t="s">
        <v>846</v>
      </c>
      <c r="B82" s="589">
        <f>'Sources and Uses Budget'!C82</f>
        <v>222720</v>
      </c>
      <c r="C82" s="590"/>
      <c r="D82" s="590"/>
      <c r="E82" s="589">
        <f>'Sources and Uses Budget'!S82</f>
        <v>222720</v>
      </c>
      <c r="F82" s="590"/>
      <c r="G82" s="590"/>
      <c r="H82" s="589">
        <f>'Sources and Uses Budget'!T82</f>
        <v>0</v>
      </c>
      <c r="I82" s="590"/>
      <c r="J82" s="590"/>
      <c r="K82" s="587"/>
    </row>
    <row r="83" spans="1:11" s="588" customFormat="1">
      <c r="A83" s="223" t="s">
        <v>847</v>
      </c>
      <c r="B83" s="589">
        <f>'Sources and Uses Budget'!C83</f>
        <v>336000</v>
      </c>
      <c r="C83" s="590"/>
      <c r="D83" s="590"/>
      <c r="E83" s="589">
        <f>'Sources and Uses Budget'!S83</f>
        <v>336000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53750</v>
      </c>
      <c r="C85" s="590"/>
      <c r="D85" s="590"/>
      <c r="E85" s="591"/>
      <c r="F85" s="591"/>
      <c r="G85" s="591"/>
      <c r="H85" s="591"/>
      <c r="I85" s="591"/>
      <c r="J85" s="591"/>
      <c r="K85" s="587"/>
    </row>
    <row r="86" spans="1:11" s="588" customFormat="1">
      <c r="A86" s="223" t="s">
        <v>850</v>
      </c>
      <c r="B86" s="589">
        <f>'Sources and Uses Budget'!C86</f>
        <v>202800</v>
      </c>
      <c r="C86" s="590"/>
      <c r="D86" s="590"/>
      <c r="E86" s="589">
        <f>'Sources and Uses Budget'!S86</f>
        <v>202800</v>
      </c>
      <c r="F86" s="590"/>
      <c r="G86" s="590"/>
      <c r="H86" s="589">
        <f>'Sources and Uses Budget'!T86</f>
        <v>0</v>
      </c>
      <c r="I86" s="590"/>
      <c r="J86" s="590"/>
      <c r="K86" s="587"/>
    </row>
    <row r="87" spans="1:11" s="588" customFormat="1">
      <c r="A87" s="223" t="s">
        <v>851</v>
      </c>
      <c r="B87" s="589">
        <f>'Sources and Uses Budget'!C87</f>
        <v>15000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ht="24">
      <c r="A90" s="595" t="str">
        <f>'Sources and Uses Budget'!$A90</f>
        <v>Other: Deputy Inspector &amp; 3rd Party Construction Mgmt</v>
      </c>
      <c r="B90" s="589">
        <f>'Sources and Uses Budget'!C90</f>
        <v>205000</v>
      </c>
      <c r="C90" s="590"/>
      <c r="D90" s="590"/>
      <c r="E90" s="589">
        <f>'Sources and Uses Budget'!S90</f>
        <v>205000</v>
      </c>
      <c r="F90" s="590"/>
      <c r="G90" s="590"/>
      <c r="H90" s="589">
        <f>'Sources and Uses Budget'!T90</f>
        <v>0</v>
      </c>
      <c r="I90" s="590"/>
      <c r="J90" s="590"/>
      <c r="K90" s="587"/>
    </row>
    <row r="91" spans="1:11" s="588" customFormat="1">
      <c r="A91" s="595" t="str">
        <f>'Sources and Uses Budget'!$A91</f>
        <v>Other: Security During Construction</v>
      </c>
      <c r="B91" s="589">
        <f>'Sources and Uses Budget'!C91</f>
        <v>120000</v>
      </c>
      <c r="C91" s="590"/>
      <c r="D91" s="590"/>
      <c r="E91" s="589">
        <f>'Sources and Uses Budget'!S91</f>
        <v>120000</v>
      </c>
      <c r="F91" s="590"/>
      <c r="G91" s="590"/>
      <c r="H91" s="589">
        <f>'Sources and Uses Budget'!T91</f>
        <v>0</v>
      </c>
      <c r="I91" s="590"/>
      <c r="J91" s="590"/>
      <c r="K91" s="587"/>
    </row>
    <row r="92" spans="1:11" s="588" customFormat="1" ht="24">
      <c r="A92" s="595" t="str">
        <f>'Sources and Uses Budget'!$A92</f>
        <v>Other: Sustainability Consultant, Soils &amp; Survey</v>
      </c>
      <c r="B92" s="589">
        <f>'Sources and Uses Budget'!C92</f>
        <v>90000</v>
      </c>
      <c r="C92" s="590"/>
      <c r="D92" s="590"/>
      <c r="E92" s="589">
        <f>'Sources and Uses Budget'!S92</f>
        <v>90000</v>
      </c>
      <c r="F92" s="590"/>
      <c r="G92" s="590"/>
      <c r="H92" s="589">
        <f>'Sources and Uses Budget'!T92</f>
        <v>0</v>
      </c>
      <c r="I92" s="590"/>
      <c r="J92" s="590"/>
      <c r="K92" s="587"/>
    </row>
    <row r="93" spans="1:11" s="588" customFormat="1" ht="24">
      <c r="A93" s="595" t="str">
        <f>'Sources and Uses Budget'!$A93</f>
        <v>Other: Entitlements and Utility Connection Fees</v>
      </c>
      <c r="B93" s="589">
        <f>'Sources and Uses Budget'!C93</f>
        <v>285775</v>
      </c>
      <c r="C93" s="590"/>
      <c r="D93" s="590"/>
      <c r="E93" s="589">
        <f>'Sources and Uses Budget'!S93</f>
        <v>285775</v>
      </c>
      <c r="F93" s="590"/>
      <c r="G93" s="590"/>
      <c r="H93" s="589">
        <f>'Sources and Uses Budget'!T93</f>
        <v>0</v>
      </c>
      <c r="I93" s="590"/>
      <c r="J93" s="590"/>
      <c r="K93" s="587"/>
    </row>
    <row r="94" spans="1:11" s="588" customFormat="1" ht="24">
      <c r="A94" s="595" t="str">
        <f>'Sources and Uses Budget'!$A94</f>
        <v>Other: LACDA Monitoring Fees, Prevailing Wage Monitoring</v>
      </c>
      <c r="B94" s="589">
        <f>'Sources and Uses Budget'!C94</f>
        <v>30660</v>
      </c>
      <c r="C94" s="590"/>
      <c r="D94" s="590"/>
      <c r="E94" s="589">
        <f>'Sources and Uses Budget'!S94</f>
        <v>30660</v>
      </c>
      <c r="F94" s="590"/>
      <c r="G94" s="590"/>
      <c r="H94" s="589">
        <f>'Sources and Uses Budget'!T94</f>
        <v>0</v>
      </c>
      <c r="I94" s="590"/>
      <c r="J94" s="590"/>
      <c r="K94" s="587"/>
    </row>
    <row r="95" spans="1:11" s="588" customFormat="1">
      <c r="A95" s="593" t="s">
        <v>852</v>
      </c>
      <c r="B95" s="589">
        <f>'Sources and Uses Budget'!C95</f>
        <v>1645049</v>
      </c>
      <c r="C95" s="589">
        <f>SUM(C80:C94)</f>
        <v>0</v>
      </c>
      <c r="D95" s="589">
        <f>SUM(D80:D94)</f>
        <v>0</v>
      </c>
      <c r="E95" s="589">
        <f>'Sources and Uses Budget'!S95</f>
        <v>1542955</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28486511.449999999</v>
      </c>
      <c r="C96" s="589">
        <f>SUM(C63+C67+C74+C78+C95)</f>
        <v>0</v>
      </c>
      <c r="D96" s="589">
        <f>SUM(D63+D67+D74+D78+D95)</f>
        <v>0</v>
      </c>
      <c r="E96" s="589">
        <f>'Sources and Uses Budget'!S96</f>
        <v>25518751</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3445031</v>
      </c>
      <c r="C98" s="590"/>
      <c r="D98" s="590"/>
      <c r="E98" s="589">
        <f>'Sources and Uses Budget'!S98</f>
        <v>3445031</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3445031</v>
      </c>
      <c r="C104" s="589">
        <f>SUM(C98:C103)</f>
        <v>0</v>
      </c>
      <c r="D104" s="589">
        <f>SUM(D98:D103)</f>
        <v>0</v>
      </c>
      <c r="E104" s="589">
        <f>'Sources and Uses Budget'!S104</f>
        <v>3445031</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31931542.449999999</v>
      </c>
      <c r="C105" s="596">
        <f>SUM(C96+C104)</f>
        <v>0</v>
      </c>
      <c r="D105" s="596">
        <f>SUM(D96+D104)</f>
        <v>0</v>
      </c>
      <c r="E105" s="589">
        <f>'Sources and Uses Budget'!S105</f>
        <v>28963782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28963782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view="pageBreakPreview" topLeftCell="A8" zoomScaleNormal="100" zoomScaleSheetLayoutView="100" workbookViewId="0">
      <selection activeCell="J136" sqref="J13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8" t="s">
        <v>1599</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0" t="str">
        <f xml:space="preserve"> IF(T25=100%,'Sources and Basis Breakdown'!G2,'Sources and Basis Breakdown'!F2)</f>
        <v>30% PVC for New Const/
Rehabilitation
NON-DDA/
NON-QCT Building(s)</v>
      </c>
      <c r="U7" s="1660"/>
      <c r="V7" s="1660"/>
      <c r="W7" s="1660"/>
      <c r="X7" s="1660"/>
      <c r="Y7" s="1660" t="str">
        <f>IF(T25=100%," ",'Sources and Basis Breakdown'!G2)</f>
        <v xml:space="preserve"> </v>
      </c>
      <c r="Z7" s="1660"/>
      <c r="AA7" s="1660"/>
      <c r="AB7" s="1660"/>
      <c r="AC7" s="1660"/>
      <c r="AD7" s="1660" t="str">
        <f xml:space="preserve"> IF(T25=100%, 'Sources and Basis Breakdown'!J2,'Sources and Basis Breakdown'!I2)</f>
        <v>30% PVC for Acquisition
NON-DDA/
NON-QCT Building(s)</v>
      </c>
      <c r="AE7" s="1660"/>
      <c r="AF7" s="1660"/>
      <c r="AG7" s="1660"/>
      <c r="AH7" s="1660"/>
      <c r="AI7" s="1660" t="str">
        <f>IF(T25=100%," ",'Sources and Basis Breakdown'!J2)</f>
        <v xml:space="preserve"> </v>
      </c>
      <c r="AJ7" s="1660"/>
      <c r="AK7" s="1660"/>
      <c r="AL7" s="1660"/>
      <c r="AM7" s="166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0"/>
      <c r="U8" s="1660"/>
      <c r="V8" s="1660"/>
      <c r="W8" s="1660"/>
      <c r="X8" s="1660"/>
      <c r="Y8" s="1660"/>
      <c r="Z8" s="1660"/>
      <c r="AA8" s="1660"/>
      <c r="AB8" s="1660"/>
      <c r="AC8" s="1660"/>
      <c r="AD8" s="1660"/>
      <c r="AE8" s="1660"/>
      <c r="AF8" s="1660"/>
      <c r="AG8" s="1660"/>
      <c r="AH8" s="1660"/>
      <c r="AI8" s="1660"/>
      <c r="AJ8" s="1660"/>
      <c r="AK8" s="1660"/>
      <c r="AL8" s="1660"/>
      <c r="AM8" s="166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0"/>
      <c r="U9" s="1660"/>
      <c r="V9" s="1660"/>
      <c r="W9" s="1660"/>
      <c r="X9" s="1660"/>
      <c r="Y9" s="1660"/>
      <c r="Z9" s="1660"/>
      <c r="AA9" s="1660"/>
      <c r="AB9" s="1660"/>
      <c r="AC9" s="1660"/>
      <c r="AD9" s="1660"/>
      <c r="AE9" s="1660"/>
      <c r="AF9" s="1660"/>
      <c r="AG9" s="1660"/>
      <c r="AH9" s="1660"/>
      <c r="AI9" s="1660"/>
      <c r="AJ9" s="1660"/>
      <c r="AK9" s="1660"/>
      <c r="AL9" s="1660"/>
      <c r="AM9" s="166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406</v>
      </c>
      <c r="C11" s="1630"/>
      <c r="D11" s="1630"/>
      <c r="E11" s="1630"/>
      <c r="F11" s="1630"/>
      <c r="G11" s="1630"/>
      <c r="H11" s="1630"/>
      <c r="I11" s="1630"/>
      <c r="J11" s="1630"/>
      <c r="K11" s="1630"/>
      <c r="L11" s="1630"/>
      <c r="M11" s="1630"/>
      <c r="N11" s="1630"/>
      <c r="O11" s="1630"/>
      <c r="P11" s="1630"/>
      <c r="Q11" s="1630"/>
      <c r="R11" s="1630"/>
      <c r="S11" s="1631"/>
      <c r="T11" s="1661">
        <f>IF('Sources and Basis Breakdown'!F107=0,'Sources and Basis Breakdown'!E107,'Sources and Basis Breakdown'!F107)</f>
        <v>28963782</v>
      </c>
      <c r="U11" s="1662"/>
      <c r="V11" s="1662"/>
      <c r="W11" s="1662"/>
      <c r="X11" s="1662"/>
      <c r="Y11" s="1661">
        <f>IF(Y7=" ",0,IF('Sources and Basis Breakdown'!G107+'Sources and Basis Breakdown'!F107='Sources and Basis Breakdown'!E107,'Sources and Basis Breakdown'!G107,0))</f>
        <v>0</v>
      </c>
      <c r="Z11" s="1662"/>
      <c r="AA11" s="1662"/>
      <c r="AB11" s="1662"/>
      <c r="AC11" s="1662"/>
      <c r="AD11" s="1662">
        <f>IF('Sources and Basis Breakdown'!I107=0,'Sources and Basis Breakdown'!H107,'Sources and Basis Breakdown'!I107)</f>
        <v>0</v>
      </c>
      <c r="AE11" s="1662"/>
      <c r="AF11" s="1662"/>
      <c r="AG11" s="1662"/>
      <c r="AH11" s="1662"/>
      <c r="AI11" s="1662">
        <f>IF(Y7=" ",0,IF('Sources and Basis Breakdown'!I107+'Sources and Basis Breakdown'!J107='Sources and Basis Breakdown'!H107,'Sources and Basis Breakdown'!J107,0))</f>
        <v>0</v>
      </c>
      <c r="AJ11" s="1662"/>
      <c r="AK11" s="1662"/>
      <c r="AL11" s="1662"/>
      <c r="AM11" s="166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3" t="s">
        <v>543</v>
      </c>
      <c r="C12" s="1654"/>
      <c r="D12" s="1654"/>
      <c r="E12" s="1654"/>
      <c r="F12" s="1654"/>
      <c r="G12" s="1654"/>
      <c r="H12" s="1654"/>
      <c r="I12" s="1654"/>
      <c r="J12" s="1654"/>
      <c r="K12" s="1654"/>
      <c r="L12" s="1654"/>
      <c r="M12" s="1654"/>
      <c r="N12" s="1654"/>
      <c r="O12" s="1654"/>
      <c r="P12" s="1654"/>
      <c r="Q12" s="1654"/>
      <c r="R12" s="1654"/>
      <c r="S12" s="1655"/>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6" t="s">
        <v>544</v>
      </c>
      <c r="D13" s="1656"/>
      <c r="E13" s="1656"/>
      <c r="F13" s="1656"/>
      <c r="G13" s="1656"/>
      <c r="H13" s="1656"/>
      <c r="I13" s="1656"/>
      <c r="J13" s="1656"/>
      <c r="K13" s="1656"/>
      <c r="L13" s="1656"/>
      <c r="M13" s="1656"/>
      <c r="N13" s="1656"/>
      <c r="O13" s="1656"/>
      <c r="P13" s="1656"/>
      <c r="Q13" s="1656"/>
      <c r="R13" s="1656"/>
      <c r="S13" s="1657"/>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6" t="s">
        <v>545</v>
      </c>
      <c r="D14" s="1656"/>
      <c r="E14" s="1656"/>
      <c r="F14" s="1656"/>
      <c r="G14" s="1656"/>
      <c r="H14" s="1656"/>
      <c r="I14" s="1656"/>
      <c r="J14" s="1656"/>
      <c r="K14" s="1656"/>
      <c r="L14" s="1656"/>
      <c r="M14" s="1656"/>
      <c r="N14" s="1656"/>
      <c r="O14" s="1656"/>
      <c r="P14" s="1656"/>
      <c r="Q14" s="1656"/>
      <c r="R14" s="1656"/>
      <c r="S14" s="1657"/>
      <c r="T14" s="1620"/>
      <c r="U14" s="1621"/>
      <c r="V14" s="1621"/>
      <c r="W14" s="1621"/>
      <c r="X14" s="1621"/>
      <c r="Y14" s="1620"/>
      <c r="Z14" s="1621"/>
      <c r="AA14" s="1621"/>
      <c r="AB14" s="1621"/>
      <c r="AC14" s="1621"/>
      <c r="AD14" s="1621"/>
      <c r="AE14" s="1621"/>
      <c r="AF14" s="1621"/>
      <c r="AG14" s="1621"/>
      <c r="AH14" s="1621"/>
      <c r="AI14" s="1621"/>
      <c r="AJ14" s="1621"/>
      <c r="AK14" s="1621"/>
      <c r="AL14" s="1621"/>
      <c r="AM14" s="162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6" t="s">
        <v>546</v>
      </c>
      <c r="D15" s="1656"/>
      <c r="E15" s="1656"/>
      <c r="F15" s="1656"/>
      <c r="G15" s="1656"/>
      <c r="H15" s="1656"/>
      <c r="I15" s="1656"/>
      <c r="J15" s="1656"/>
      <c r="K15" s="1656"/>
      <c r="L15" s="1656"/>
      <c r="M15" s="1656"/>
      <c r="N15" s="1656"/>
      <c r="O15" s="1656"/>
      <c r="P15" s="1656"/>
      <c r="Q15" s="1656"/>
      <c r="R15" s="1656"/>
      <c r="S15" s="1657"/>
      <c r="T15" s="1620"/>
      <c r="U15" s="1621"/>
      <c r="V15" s="1621"/>
      <c r="W15" s="1621"/>
      <c r="X15" s="1621"/>
      <c r="Y15" s="1620"/>
      <c r="Z15" s="1621"/>
      <c r="AA15" s="1621"/>
      <c r="AB15" s="1621"/>
      <c r="AC15" s="1621"/>
      <c r="AD15" s="1621"/>
      <c r="AE15" s="1621"/>
      <c r="AF15" s="1621"/>
      <c r="AG15" s="1621"/>
      <c r="AH15" s="1621"/>
      <c r="AI15" s="1621"/>
      <c r="AJ15" s="1621"/>
      <c r="AK15" s="1621"/>
      <c r="AL15" s="1621"/>
      <c r="AM15" s="162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6" t="s">
        <v>887</v>
      </c>
      <c r="D16" s="1656"/>
      <c r="E16" s="1656"/>
      <c r="F16" s="1656"/>
      <c r="G16" s="1656"/>
      <c r="H16" s="1656"/>
      <c r="I16" s="1656"/>
      <c r="J16" s="1656"/>
      <c r="K16" s="1656"/>
      <c r="L16" s="1656"/>
      <c r="M16" s="1656"/>
      <c r="N16" s="1656"/>
      <c r="O16" s="1656"/>
      <c r="P16" s="1656"/>
      <c r="Q16" s="1656"/>
      <c r="R16" s="1656"/>
      <c r="S16" s="1657"/>
      <c r="T16" s="1620"/>
      <c r="U16" s="1621"/>
      <c r="V16" s="1621"/>
      <c r="W16" s="1621"/>
      <c r="X16" s="1621"/>
      <c r="Y16" s="1620"/>
      <c r="Z16" s="1621"/>
      <c r="AA16" s="1621"/>
      <c r="AB16" s="1621"/>
      <c r="AC16" s="1621"/>
      <c r="AD16" s="1621"/>
      <c r="AE16" s="1621"/>
      <c r="AF16" s="1621"/>
      <c r="AG16" s="1621"/>
      <c r="AH16" s="1621"/>
      <c r="AI16" s="1621"/>
      <c r="AJ16" s="1621"/>
      <c r="AK16" s="1621"/>
      <c r="AL16" s="1621"/>
      <c r="AM16" s="162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6" t="s">
        <v>547</v>
      </c>
      <c r="D17" s="1656"/>
      <c r="E17" s="1656"/>
      <c r="F17" s="1656"/>
      <c r="G17" s="1656"/>
      <c r="H17" s="1656"/>
      <c r="I17" s="1656"/>
      <c r="J17" s="1656"/>
      <c r="K17" s="1656"/>
      <c r="L17" s="1656"/>
      <c r="M17" s="1656"/>
      <c r="N17" s="1656"/>
      <c r="O17" s="1656"/>
      <c r="P17" s="1656"/>
      <c r="Q17" s="1656"/>
      <c r="R17" s="1656"/>
      <c r="S17" s="1657"/>
      <c r="T17" s="1620"/>
      <c r="U17" s="1621"/>
      <c r="V17" s="1621"/>
      <c r="W17" s="1621"/>
      <c r="X17" s="1621"/>
      <c r="Y17" s="1620"/>
      <c r="Z17" s="1621"/>
      <c r="AA17" s="1621"/>
      <c r="AB17" s="1621"/>
      <c r="AC17" s="1621"/>
      <c r="AD17" s="1621"/>
      <c r="AE17" s="1621"/>
      <c r="AF17" s="1621"/>
      <c r="AG17" s="1621"/>
      <c r="AH17" s="1621"/>
      <c r="AI17" s="1621"/>
      <c r="AJ17" s="1621"/>
      <c r="AK17" s="1621"/>
      <c r="AL17" s="1621"/>
      <c r="AM17" s="162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1" t="s">
        <v>1069</v>
      </c>
      <c r="D18" s="1651"/>
      <c r="E18" s="1651"/>
      <c r="F18" s="1651"/>
      <c r="G18" s="1651"/>
      <c r="H18" s="1651"/>
      <c r="I18" s="1651"/>
      <c r="J18" s="1651"/>
      <c r="K18" s="1651"/>
      <c r="L18" s="1651"/>
      <c r="M18" s="1651"/>
      <c r="N18" s="1651"/>
      <c r="O18" s="1651"/>
      <c r="P18" s="1651"/>
      <c r="Q18" s="1651"/>
      <c r="R18" s="1651"/>
      <c r="S18" s="1652"/>
      <c r="T18" s="1620"/>
      <c r="U18" s="1621"/>
      <c r="V18" s="1621"/>
      <c r="W18" s="1621"/>
      <c r="X18" s="1621"/>
      <c r="Y18" s="1620"/>
      <c r="Z18" s="1621"/>
      <c r="AA18" s="1621"/>
      <c r="AB18" s="1621"/>
      <c r="AC18" s="1621"/>
      <c r="AD18" s="1621"/>
      <c r="AE18" s="1621"/>
      <c r="AF18" s="1621"/>
      <c r="AG18" s="1621"/>
      <c r="AH18" s="1621"/>
      <c r="AI18" s="1621"/>
      <c r="AJ18" s="1621"/>
      <c r="AK18" s="1621"/>
      <c r="AL18" s="1621"/>
      <c r="AM18" s="162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1" t="s">
        <v>1069</v>
      </c>
      <c r="D19" s="1651"/>
      <c r="E19" s="1651"/>
      <c r="F19" s="1651"/>
      <c r="G19" s="1651"/>
      <c r="H19" s="1651"/>
      <c r="I19" s="1651"/>
      <c r="J19" s="1651"/>
      <c r="K19" s="1651"/>
      <c r="L19" s="1651"/>
      <c r="M19" s="1651"/>
      <c r="N19" s="1651"/>
      <c r="O19" s="1651"/>
      <c r="P19" s="1651"/>
      <c r="Q19" s="1651"/>
      <c r="R19" s="1651"/>
      <c r="S19" s="1652"/>
      <c r="T19" s="1620"/>
      <c r="U19" s="1621"/>
      <c r="V19" s="1621"/>
      <c r="W19" s="1621"/>
      <c r="X19" s="1621"/>
      <c r="Y19" s="1620"/>
      <c r="Z19" s="1621"/>
      <c r="AA19" s="1621"/>
      <c r="AB19" s="1621"/>
      <c r="AC19" s="1621"/>
      <c r="AD19" s="1621"/>
      <c r="AE19" s="1621"/>
      <c r="AF19" s="1621"/>
      <c r="AG19" s="1621"/>
      <c r="AH19" s="1621"/>
      <c r="AI19" s="1621"/>
      <c r="AJ19" s="1621"/>
      <c r="AK19" s="1621"/>
      <c r="AL19" s="1621"/>
      <c r="AM19" s="162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548</v>
      </c>
      <c r="C20" s="1630"/>
      <c r="D20" s="1630"/>
      <c r="E20" s="1630"/>
      <c r="F20" s="1630"/>
      <c r="G20" s="1630"/>
      <c r="H20" s="1630"/>
      <c r="I20" s="1630"/>
      <c r="J20" s="1630"/>
      <c r="K20" s="1630"/>
      <c r="L20" s="1630"/>
      <c r="M20" s="1630"/>
      <c r="N20" s="1630"/>
      <c r="O20" s="1630"/>
      <c r="P20" s="1630"/>
      <c r="Q20" s="1630"/>
      <c r="R20" s="1630"/>
      <c r="S20" s="1631"/>
      <c r="T20" s="1622">
        <f>SUM(T13:X19)</f>
        <v>0</v>
      </c>
      <c r="U20" s="1623"/>
      <c r="V20" s="1623"/>
      <c r="W20" s="1623"/>
      <c r="X20" s="1623"/>
      <c r="Y20" s="1622">
        <f>SUM(Y13:AC19)</f>
        <v>0</v>
      </c>
      <c r="Z20" s="1623"/>
      <c r="AA20" s="1623"/>
      <c r="AB20" s="1623"/>
      <c r="AC20" s="1623"/>
      <c r="AD20" s="1624">
        <f>SUM(AD13:AH19)</f>
        <v>0</v>
      </c>
      <c r="AE20" s="1625"/>
      <c r="AF20" s="1625"/>
      <c r="AG20" s="1625"/>
      <c r="AH20" s="1622"/>
      <c r="AI20" s="1624">
        <f>SUM(AI13:AM19)</f>
        <v>0</v>
      </c>
      <c r="AJ20" s="1625"/>
      <c r="AK20" s="1625"/>
      <c r="AL20" s="1625"/>
      <c r="AM20" s="162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1551</v>
      </c>
      <c r="C21" s="1630"/>
      <c r="D21" s="1630"/>
      <c r="E21" s="1630"/>
      <c r="F21" s="1630"/>
      <c r="G21" s="1630"/>
      <c r="H21" s="1630"/>
      <c r="I21" s="1630"/>
      <c r="J21" s="1630"/>
      <c r="K21" s="1630"/>
      <c r="L21" s="1630"/>
      <c r="M21" s="1630"/>
      <c r="N21" s="1630"/>
      <c r="O21" s="1630"/>
      <c r="P21" s="1630"/>
      <c r="Q21" s="1630"/>
      <c r="R21" s="1630"/>
      <c r="S21" s="1631"/>
      <c r="T21" s="1620"/>
      <c r="U21" s="1621"/>
      <c r="V21" s="1621"/>
      <c r="W21" s="1621"/>
      <c r="X21" s="1621"/>
      <c r="Y21" s="1620"/>
      <c r="Z21" s="1621"/>
      <c r="AA21" s="1621"/>
      <c r="AB21" s="1621"/>
      <c r="AC21" s="1621"/>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549</v>
      </c>
      <c r="C22" s="1630"/>
      <c r="D22" s="1630"/>
      <c r="E22" s="1630"/>
      <c r="F22" s="1630"/>
      <c r="G22" s="1630"/>
      <c r="H22" s="1630"/>
      <c r="I22" s="1630"/>
      <c r="J22" s="1630"/>
      <c r="K22" s="1630"/>
      <c r="L22" s="1630"/>
      <c r="M22" s="1630"/>
      <c r="N22" s="1630"/>
      <c r="O22" s="1630"/>
      <c r="P22" s="1630"/>
      <c r="Q22" s="1630"/>
      <c r="R22" s="1630"/>
      <c r="S22" s="1631"/>
      <c r="T22" s="1675">
        <f>(T20+T21)*-1</f>
        <v>0</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2" t="s">
        <v>550</v>
      </c>
      <c r="C23" s="1633"/>
      <c r="D23" s="1633"/>
      <c r="E23" s="1633"/>
      <c r="F23" s="1633"/>
      <c r="G23" s="1633"/>
      <c r="H23" s="1633"/>
      <c r="I23" s="1633"/>
      <c r="J23" s="1633"/>
      <c r="K23" s="1633"/>
      <c r="L23" s="1633"/>
      <c r="M23" s="1633"/>
      <c r="N23" s="1633"/>
      <c r="O23" s="1633"/>
      <c r="P23" s="1633"/>
      <c r="Q23" s="1633"/>
      <c r="R23" s="1633"/>
      <c r="S23" s="1634"/>
      <c r="T23" s="1622">
        <f>T11+T22</f>
        <v>28963782</v>
      </c>
      <c r="U23" s="1623"/>
      <c r="V23" s="1623"/>
      <c r="W23" s="1623"/>
      <c r="X23" s="1623"/>
      <c r="Y23" s="1622">
        <f>Y11+Y22</f>
        <v>0</v>
      </c>
      <c r="Z23" s="1623"/>
      <c r="AA23" s="1623"/>
      <c r="AB23" s="1623"/>
      <c r="AC23" s="1623"/>
      <c r="AD23" s="1622">
        <f>AD11+AD22</f>
        <v>0</v>
      </c>
      <c r="AE23" s="1623"/>
      <c r="AF23" s="1623"/>
      <c r="AG23" s="1623"/>
      <c r="AH23" s="1623"/>
      <c r="AI23" s="1622">
        <f>AI11+AI22</f>
        <v>0</v>
      </c>
      <c r="AJ23" s="1623"/>
      <c r="AK23" s="1623"/>
      <c r="AL23" s="1623"/>
      <c r="AM23" s="162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1070</v>
      </c>
      <c r="C24" s="1630"/>
      <c r="D24" s="1630"/>
      <c r="E24" s="1630"/>
      <c r="F24" s="1630"/>
      <c r="G24" s="1630"/>
      <c r="H24" s="1630"/>
      <c r="I24" s="1630"/>
      <c r="J24" s="1630"/>
      <c r="K24" s="1630"/>
      <c r="L24" s="1630"/>
      <c r="M24" s="1630"/>
      <c r="N24" s="1630"/>
      <c r="O24" s="1630"/>
      <c r="P24" s="1630"/>
      <c r="Q24" s="1630"/>
      <c r="R24" s="1630"/>
      <c r="S24" s="1631"/>
      <c r="T24" s="1624">
        <f>Application!AD1004</f>
        <v>61437367</v>
      </c>
      <c r="U24" s="1625"/>
      <c r="V24" s="1625"/>
      <c r="W24" s="1625"/>
      <c r="X24" s="1625"/>
      <c r="Y24" s="1625"/>
      <c r="Z24" s="1625"/>
      <c r="AA24" s="1625"/>
      <c r="AB24" s="1625"/>
      <c r="AC24" s="1625"/>
      <c r="AD24" s="1625"/>
      <c r="AE24" s="1625"/>
      <c r="AF24" s="1625"/>
      <c r="AG24" s="1625"/>
      <c r="AH24" s="1625"/>
      <c r="AI24" s="1625"/>
      <c r="AJ24" s="1625"/>
      <c r="AK24" s="1625"/>
      <c r="AL24" s="1625"/>
      <c r="AM24" s="162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7" t="s">
        <v>1552</v>
      </c>
      <c r="C25" s="1638"/>
      <c r="D25" s="1638"/>
      <c r="E25" s="1638"/>
      <c r="F25" s="1638"/>
      <c r="G25" s="1638"/>
      <c r="H25" s="1638"/>
      <c r="I25" s="1638"/>
      <c r="J25" s="1638"/>
      <c r="K25" s="1638"/>
      <c r="L25" s="1638"/>
      <c r="M25" s="1638"/>
      <c r="N25" s="1638"/>
      <c r="O25" s="1638"/>
      <c r="P25" s="1638"/>
      <c r="Q25" s="1638"/>
      <c r="R25" s="1638"/>
      <c r="S25" s="1639"/>
      <c r="T25" s="1670">
        <f>IF(OR(Application!T196="yes",Application!T195="yes"),1.3,1)</f>
        <v>1</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551</v>
      </c>
      <c r="C26" s="1630"/>
      <c r="D26" s="1630"/>
      <c r="E26" s="1630"/>
      <c r="F26" s="1630"/>
      <c r="G26" s="1630"/>
      <c r="H26" s="1630"/>
      <c r="I26" s="1630"/>
      <c r="J26" s="1630"/>
      <c r="K26" s="1630"/>
      <c r="L26" s="1630"/>
      <c r="M26" s="1630"/>
      <c r="N26" s="1630"/>
      <c r="O26" s="1630"/>
      <c r="P26" s="1630"/>
      <c r="Q26" s="1630"/>
      <c r="R26" s="1630"/>
      <c r="S26" s="1631"/>
      <c r="T26" s="1673">
        <f>T23*T25</f>
        <v>28963782</v>
      </c>
      <c r="U26" s="1674"/>
      <c r="V26" s="1674"/>
      <c r="W26" s="1674"/>
      <c r="X26" s="1674"/>
      <c r="Y26" s="1673">
        <f>Y23*Y25</f>
        <v>0</v>
      </c>
      <c r="Z26" s="1674"/>
      <c r="AA26" s="1674"/>
      <c r="AB26" s="1674"/>
      <c r="AC26" s="1674"/>
      <c r="AD26" s="1673">
        <f>AD23*AD25</f>
        <v>0</v>
      </c>
      <c r="AE26" s="1674"/>
      <c r="AF26" s="1674"/>
      <c r="AG26" s="1674"/>
      <c r="AH26" s="1674"/>
      <c r="AI26" s="1673">
        <f>AI23*AI25</f>
        <v>0</v>
      </c>
      <c r="AJ26" s="1674"/>
      <c r="AK26" s="1674"/>
      <c r="AL26" s="1674"/>
      <c r="AM26" s="167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0" t="s">
        <v>460</v>
      </c>
      <c r="C27" s="1641"/>
      <c r="D27" s="1641"/>
      <c r="E27" s="1641"/>
      <c r="F27" s="1641"/>
      <c r="G27" s="1641"/>
      <c r="H27" s="1641"/>
      <c r="I27" s="1641"/>
      <c r="J27" s="1641"/>
      <c r="K27" s="1641"/>
      <c r="L27" s="1641"/>
      <c r="M27" s="1641"/>
      <c r="N27" s="1641"/>
      <c r="O27" s="1641"/>
      <c r="P27" s="1641"/>
      <c r="Q27" s="1641"/>
      <c r="R27" s="1641"/>
      <c r="S27" s="1642"/>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552</v>
      </c>
      <c r="C28" s="1630"/>
      <c r="D28" s="1630"/>
      <c r="E28" s="1630"/>
      <c r="F28" s="1630"/>
      <c r="G28" s="1630"/>
      <c r="H28" s="1630"/>
      <c r="I28" s="1630"/>
      <c r="J28" s="1630"/>
      <c r="K28" s="1630"/>
      <c r="L28" s="1630"/>
      <c r="M28" s="1630"/>
      <c r="N28" s="1630"/>
      <c r="O28" s="1630"/>
      <c r="P28" s="1630"/>
      <c r="Q28" s="1630"/>
      <c r="R28" s="1630"/>
      <c r="S28" s="1631"/>
      <c r="T28" s="1643">
        <f>IF(ISERROR((T26*T27)),0,(T26*T27))</f>
        <v>28963782</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569</v>
      </c>
      <c r="C29" s="1630"/>
      <c r="D29" s="1630"/>
      <c r="E29" s="1630"/>
      <c r="F29" s="1630"/>
      <c r="G29" s="1630"/>
      <c r="H29" s="1630"/>
      <c r="I29" s="1630"/>
      <c r="J29" s="1630"/>
      <c r="K29" s="1630"/>
      <c r="L29" s="1630"/>
      <c r="M29" s="1630"/>
      <c r="N29" s="1630"/>
      <c r="O29" s="1630"/>
      <c r="P29" s="1630"/>
      <c r="Q29" s="1630"/>
      <c r="R29" s="1630"/>
      <c r="S29" s="1631"/>
      <c r="T29" s="1624">
        <f>T28+Y28+AD28+AI28</f>
        <v>28963782</v>
      </c>
      <c r="U29" s="1625"/>
      <c r="V29" s="1625"/>
      <c r="W29" s="1625"/>
      <c r="X29" s="1625"/>
      <c r="Y29" s="1625"/>
      <c r="Z29" s="1625"/>
      <c r="AA29" s="1625"/>
      <c r="AB29" s="1625"/>
      <c r="AC29" s="1625"/>
      <c r="AD29" s="1625"/>
      <c r="AE29" s="1625"/>
      <c r="AF29" s="1625"/>
      <c r="AG29" s="1625"/>
      <c r="AH29" s="1625"/>
      <c r="AI29" s="1625"/>
      <c r="AJ29" s="1625"/>
      <c r="AK29" s="1625"/>
      <c r="AL29" s="1625"/>
      <c r="AM29" s="162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5" t="s">
        <v>1556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5" t="s">
        <v>1553</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0" t="s">
        <v>1386</v>
      </c>
      <c r="Z35" s="1660"/>
      <c r="AA35" s="1660"/>
      <c r="AB35" s="1660"/>
      <c r="AC35" s="1660"/>
      <c r="AD35" s="1692" t="s">
        <v>393</v>
      </c>
      <c r="AE35" s="1692"/>
      <c r="AF35" s="1692"/>
      <c r="AG35" s="1692"/>
      <c r="AH35" s="169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0"/>
      <c r="Z36" s="1660"/>
      <c r="AA36" s="1660"/>
      <c r="AB36" s="1660"/>
      <c r="AC36" s="1660"/>
      <c r="AD36" s="1692"/>
      <c r="AE36" s="1692"/>
      <c r="AF36" s="1692"/>
      <c r="AG36" s="1692"/>
      <c r="AH36" s="169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0"/>
      <c r="Z37" s="1660"/>
      <c r="AA37" s="1660"/>
      <c r="AB37" s="1660"/>
      <c r="AC37" s="1660"/>
      <c r="AD37" s="1692"/>
      <c r="AE37" s="1692"/>
      <c r="AF37" s="1692"/>
      <c r="AG37" s="1692"/>
      <c r="AH37" s="169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552</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23">
        <f>IF(T24&gt;=(T23+Y23+AD23+AI23),T28+Y28,0)</f>
        <v>28963782</v>
      </c>
      <c r="Z38" s="1623"/>
      <c r="AA38" s="1623"/>
      <c r="AB38" s="1623"/>
      <c r="AC38" s="1623"/>
      <c r="AD38" s="1623">
        <f>IF(T24&gt;=(T23+Y23+AD23+AI23),AD28+AI28,0)</f>
        <v>0</v>
      </c>
      <c r="AE38" s="1623"/>
      <c r="AF38" s="1623"/>
      <c r="AG38" s="1623"/>
      <c r="AH38" s="162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1554</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93">
        <v>3.2399999999999998E-2</v>
      </c>
      <c r="Z39" s="1693"/>
      <c r="AA39" s="1693"/>
      <c r="AB39" s="1693"/>
      <c r="AC39" s="1693"/>
      <c r="AD39" s="1693">
        <v>3.2399999999999998E-2</v>
      </c>
      <c r="AE39" s="1693"/>
      <c r="AF39" s="1693"/>
      <c r="AG39" s="1693"/>
      <c r="AH39" s="169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692</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23">
        <f>ROUND(Y38*Y39,0)</f>
        <v>938427</v>
      </c>
      <c r="Z40" s="1623"/>
      <c r="AA40" s="1623"/>
      <c r="AB40" s="1623"/>
      <c r="AC40" s="1623"/>
      <c r="AD40" s="1622">
        <f>ROUND(AD38*AD39,0)</f>
        <v>0</v>
      </c>
      <c r="AE40" s="1623"/>
      <c r="AF40" s="1623"/>
      <c r="AG40" s="1623"/>
      <c r="AH40" s="162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693</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45">
        <f>Y40+AD40</f>
        <v>938427</v>
      </c>
      <c r="Z41" s="1646"/>
      <c r="AA41" s="1646"/>
      <c r="AB41" s="1646"/>
      <c r="AC41" s="1646"/>
      <c r="AD41" s="1646"/>
      <c r="AE41" s="1646"/>
      <c r="AF41" s="1646"/>
      <c r="AG41" s="1646"/>
      <c r="AH41" s="164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6" t="s">
        <v>1555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7" t="s">
        <v>1586</v>
      </c>
      <c r="B44" s="1627"/>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31931542.449999999</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23861131.449999999</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8070411</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5">
        <v>0.85999393665886503</v>
      </c>
      <c r="AC50" s="1686"/>
      <c r="AD50" s="1686"/>
      <c r="AE50" s="1686"/>
      <c r="AF50" s="168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8" t="s">
        <v>1182</v>
      </c>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9384265</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938426.5</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9">
        <f>(IF((Y41&lt;AB55),Y41,AB55))</f>
        <v>938426.5</v>
      </c>
      <c r="AC56" s="1690"/>
      <c r="AD56" s="1690"/>
      <c r="AE56" s="1690"/>
      <c r="AF56" s="169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8070411</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9">
        <f>AB49-AB57</f>
        <v>0</v>
      </c>
      <c r="AC59" s="1679"/>
      <c r="AD59" s="1679"/>
      <c r="AE59" s="1679"/>
      <c r="AF59" s="167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7" t="str">
        <f>IF(Application!AF204="yes","Farmworker State Credit", "$500M State Credit" )</f>
        <v>$500M State Credit</v>
      </c>
      <c r="B61" s="1627"/>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0" t="s">
        <v>1101</v>
      </c>
      <c r="Z63" s="1680"/>
      <c r="AA63" s="1680"/>
      <c r="AB63" s="1680"/>
      <c r="AC63" s="1680"/>
      <c r="AD63" s="1680" t="s">
        <v>393</v>
      </c>
      <c r="AE63" s="1680"/>
      <c r="AF63" s="1680"/>
      <c r="AG63" s="1680"/>
      <c r="AH63" s="168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1">
        <f>IF(OR(Application!M350="yes",Application!AF204="yes"),(T23*T27)+Y28,0)</f>
        <v>28963782</v>
      </c>
      <c r="Z64" s="1682"/>
      <c r="AA64" s="1682"/>
      <c r="AB64" s="1682"/>
      <c r="AC64" s="1683"/>
      <c r="AD64" s="1681">
        <f>IF(AND(Application!AF204="yes",Application!M353="yes"),AD28+AI28,0)</f>
        <v>0</v>
      </c>
      <c r="AE64" s="1682"/>
      <c r="AF64" s="1682"/>
      <c r="AG64" s="1682"/>
      <c r="AH64" s="168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4" t="s">
        <v>1536</v>
      </c>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9">
        <f>IF(Application!AF204="yes",0.75,0.3)</f>
        <v>0.3</v>
      </c>
      <c r="Z67" s="1699"/>
      <c r="AA67" s="1699"/>
      <c r="AB67" s="1699"/>
      <c r="AC67" s="1699"/>
      <c r="AD67" s="1699">
        <f>IF(Application!AF204="yes",0.75,0.3)</f>
        <v>0.3</v>
      </c>
      <c r="AE67" s="1699"/>
      <c r="AF67" s="1699"/>
      <c r="AG67" s="1699"/>
      <c r="AH67" s="169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0">
        <f>ROUND(Y64*Y67,0)</f>
        <v>8689135</v>
      </c>
      <c r="Z68" s="1701"/>
      <c r="AA68" s="1701"/>
      <c r="AB68" s="1701"/>
      <c r="AC68" s="1701"/>
      <c r="AD68" s="1700" t="str">
        <f>IF(Application!D210="At-Risk",AD64*AD67,"$0")</f>
        <v>$0</v>
      </c>
      <c r="AE68" s="1701"/>
      <c r="AF68" s="1701"/>
      <c r="AG68" s="1701"/>
      <c r="AH68" s="170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5"/>
      <c r="AC71" s="1686"/>
      <c r="AD71" s="1686"/>
      <c r="AE71" s="1686"/>
      <c r="AF71" s="168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2" t="s">
        <v>1539</v>
      </c>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2"/>
      <c r="F73" s="1702"/>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2"/>
      <c r="F74" s="1702"/>
      <c r="G74" s="1702"/>
      <c r="H74" s="1702"/>
      <c r="I74" s="1702"/>
      <c r="J74" s="1702"/>
      <c r="K74" s="1702"/>
      <c r="L74" s="1702"/>
      <c r="M74" s="1702"/>
      <c r="N74" s="1702"/>
      <c r="O74" s="1702"/>
      <c r="P74" s="1702"/>
      <c r="Q74" s="1702"/>
      <c r="R74" s="1702"/>
      <c r="S74" s="1702"/>
      <c r="T74" s="1702"/>
      <c r="U74" s="1702"/>
      <c r="V74" s="1702"/>
      <c r="W74" s="1702"/>
      <c r="X74" s="1702"/>
      <c r="Y74" s="1702"/>
      <c r="Z74" s="1702"/>
      <c r="AA74" s="170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4">
        <f>ROUND(IF(ISERROR((AB59/AB71)),0,(AB59/AB71)),0)</f>
        <v>0</v>
      </c>
      <c r="AC76" s="1694"/>
      <c r="AD76" s="1694"/>
      <c r="AE76" s="1694"/>
      <c r="AF76" s="169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5">
        <f>IF((Y68+AD68&lt;AB76),Y68+AD68,AB76)</f>
        <v>0</v>
      </c>
      <c r="AC77" s="1696"/>
      <c r="AD77" s="1696"/>
      <c r="AE77" s="1696"/>
      <c r="AF77" s="169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8">
        <f>AB77*AB71</f>
        <v>0</v>
      </c>
      <c r="AC78" s="1698"/>
      <c r="AD78" s="1698"/>
      <c r="AE78" s="1698"/>
      <c r="AF78" s="169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9">
        <f>AB49-(AB57+AB78)</f>
        <v>0</v>
      </c>
      <c r="AC80" s="1679"/>
      <c r="AD80" s="1679"/>
      <c r="AE80" s="1679"/>
      <c r="AF80" s="167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7" t="s">
        <v>1587</v>
      </c>
      <c r="B83" s="1627"/>
      <c r="C83" s="1627"/>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row>
    <row r="84" spans="1:98" ht="13.5" thickTop="1"/>
    <row r="85" spans="1:98" ht="12.75">
      <c r="A85" s="819" t="s">
        <v>642</v>
      </c>
      <c r="C85" s="344" t="s">
        <v>1585</v>
      </c>
    </row>
    <row r="86" spans="1:98" ht="12.75">
      <c r="D86" s="344" t="s">
        <v>1641</v>
      </c>
      <c r="AB86" s="1628">
        <f>IF(A61="$500M State Credit",AB77/(Application!AG424-Application!AG425),"N/A")</f>
        <v>0</v>
      </c>
      <c r="AC86" s="1628"/>
      <c r="AD86" s="1628"/>
      <c r="AE86" s="1628"/>
      <c r="AF86" s="1628"/>
    </row>
    <row r="87" spans="1:98" ht="13.5" thickBot="1">
      <c r="D87" s="344" t="s">
        <v>1642</v>
      </c>
      <c r="AB87" s="1626" t="e">
        <f>IF(A61="$500M State Credit",(Application!AG424-Application!AG425)/AB77,"N/A")</f>
        <v>#DIV/0!</v>
      </c>
      <c r="AC87" s="1626"/>
      <c r="AD87" s="1626"/>
      <c r="AE87" s="1626"/>
      <c r="AF87" s="162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view="pageBreakPreview" topLeftCell="H18" zoomScale="90" zoomScaleNormal="90" zoomScaleSheetLayoutView="90" workbookViewId="0">
      <selection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392700</v>
      </c>
      <c r="G4" s="366">
        <f>E4*$C$4</f>
        <v>402517.49999999994</v>
      </c>
      <c r="I4" s="366">
        <f>G4*$C$4</f>
        <v>412580.43749999988</v>
      </c>
      <c r="K4" s="366">
        <f>I4*$C$4</f>
        <v>422894.94843749987</v>
      </c>
      <c r="M4" s="366">
        <f>K4*$C$4</f>
        <v>433467.32214843732</v>
      </c>
      <c r="O4" s="366">
        <f>M4*$C$4</f>
        <v>444304.00520214823</v>
      </c>
      <c r="Q4" s="366">
        <f>O4*$C$4</f>
        <v>455411.60533220187</v>
      </c>
      <c r="S4" s="366">
        <f>Q4*$C$4</f>
        <v>466796.89546550688</v>
      </c>
      <c r="U4" s="366">
        <f>S4*$C$4</f>
        <v>478466.81785214454</v>
      </c>
      <c r="W4" s="366">
        <f>U4*$C$4</f>
        <v>490428.48829844809</v>
      </c>
      <c r="Y4" s="366">
        <f>W4*$C$4</f>
        <v>502689.20050590928</v>
      </c>
      <c r="AA4" s="366">
        <f>Y4*$C$4</f>
        <v>515256.43051855697</v>
      </c>
      <c r="AC4" s="366">
        <f>AA4*$C$4</f>
        <v>528137.8412815209</v>
      </c>
      <c r="AE4" s="366">
        <f>AC4*$C$4</f>
        <v>541341.28731355886</v>
      </c>
      <c r="AG4" s="366">
        <f>AE4*$C$4</f>
        <v>554874.81949639774</v>
      </c>
    </row>
    <row r="5" spans="1:34" s="350" customFormat="1" ht="14.25">
      <c r="B5" s="350" t="s">
        <v>924</v>
      </c>
      <c r="C5" s="391">
        <f>IF(Application!$D$210="Special Needs",0.1,0.05)</f>
        <v>0.1</v>
      </c>
      <c r="E5" s="368">
        <f>-E4*$C$5</f>
        <v>-39270</v>
      </c>
      <c r="F5" s="368"/>
      <c r="G5" s="368">
        <f>-G4*$C$5</f>
        <v>-40251.75</v>
      </c>
      <c r="H5" s="368"/>
      <c r="I5" s="368">
        <f>-I4*$C$5</f>
        <v>-41258.04374999999</v>
      </c>
      <c r="J5" s="368"/>
      <c r="K5" s="368">
        <f>-K4*$C$5</f>
        <v>-42289.494843749992</v>
      </c>
      <c r="L5" s="368"/>
      <c r="M5" s="368">
        <f>-M4*$C$5</f>
        <v>-43346.732214843738</v>
      </c>
      <c r="N5" s="368"/>
      <c r="O5" s="368">
        <f>-O4*$C$5</f>
        <v>-44430.400520214826</v>
      </c>
      <c r="P5" s="368"/>
      <c r="Q5" s="368">
        <f>-Q4*$C$5</f>
        <v>-45541.160533220187</v>
      </c>
      <c r="R5" s="368"/>
      <c r="S5" s="368">
        <f>-S4*$C$5</f>
        <v>-46679.68954655069</v>
      </c>
      <c r="T5" s="368"/>
      <c r="U5" s="368">
        <f>-U4*$C$5</f>
        <v>-47846.68178521446</v>
      </c>
      <c r="V5" s="368"/>
      <c r="W5" s="368">
        <f>-W4*$C$5</f>
        <v>-49042.848829844814</v>
      </c>
      <c r="X5" s="368"/>
      <c r="Y5" s="368">
        <f>-Y4*$C$5</f>
        <v>-50268.920050590932</v>
      </c>
      <c r="Z5" s="368"/>
      <c r="AA5" s="368">
        <f>-AA4*$C$5</f>
        <v>-51525.643051855703</v>
      </c>
      <c r="AB5" s="368"/>
      <c r="AC5" s="368">
        <f>-AC4*$C$5</f>
        <v>-52813.784128152096</v>
      </c>
      <c r="AD5" s="368"/>
      <c r="AE5" s="368">
        <f>-AE4*$C$5</f>
        <v>-54134.128731355886</v>
      </c>
      <c r="AF5" s="368"/>
      <c r="AG5" s="368">
        <f>-AG4*$C$5</f>
        <v>-55487.481949639776</v>
      </c>
    </row>
    <row r="6" spans="1:34" s="350" customFormat="1" ht="14.25">
      <c r="A6" s="350" t="s">
        <v>922</v>
      </c>
      <c r="C6" s="390">
        <v>1.0249999999999999</v>
      </c>
      <c r="E6" s="369">
        <f>Application!Z789</f>
        <v>682440</v>
      </c>
      <c r="F6" s="369"/>
      <c r="G6" s="369">
        <f>E6*$C$6</f>
        <v>699500.99999999988</v>
      </c>
      <c r="H6" s="369"/>
      <c r="I6" s="369">
        <f>G6*$C$6</f>
        <v>716988.52499999979</v>
      </c>
      <c r="J6" s="369"/>
      <c r="K6" s="369">
        <f>I6*$C$6</f>
        <v>734913.23812499968</v>
      </c>
      <c r="L6" s="369"/>
      <c r="M6" s="369">
        <f>K6*$C$6</f>
        <v>753286.06907812459</v>
      </c>
      <c r="N6" s="369"/>
      <c r="O6" s="369">
        <f>M6*$C$6</f>
        <v>772118.2208050777</v>
      </c>
      <c r="P6" s="369"/>
      <c r="Q6" s="369">
        <f>O6*$C$6</f>
        <v>791421.17632520455</v>
      </c>
      <c r="R6" s="369"/>
      <c r="S6" s="369">
        <f>Q6*$C$6</f>
        <v>811206.70573333465</v>
      </c>
      <c r="T6" s="369"/>
      <c r="U6" s="369">
        <f>S6*$C$6</f>
        <v>831486.87337666797</v>
      </c>
      <c r="V6" s="369"/>
      <c r="W6" s="369">
        <f>U6*$C$6</f>
        <v>852274.04521108454</v>
      </c>
      <c r="X6" s="369"/>
      <c r="Y6" s="369">
        <f>W6*$C$6</f>
        <v>873580.89634136157</v>
      </c>
      <c r="Z6" s="369"/>
      <c r="AA6" s="369">
        <f>Y6*$C$6</f>
        <v>895420.41874989553</v>
      </c>
      <c r="AB6" s="369"/>
      <c r="AC6" s="369">
        <f>AA6*$C$6</f>
        <v>917805.92921864288</v>
      </c>
      <c r="AD6" s="369"/>
      <c r="AE6" s="369">
        <f>AC6*$C$6</f>
        <v>940751.07744910882</v>
      </c>
      <c r="AF6" s="369"/>
      <c r="AG6" s="369">
        <f>AE6*$C$6</f>
        <v>964269.85438533651</v>
      </c>
    </row>
    <row r="7" spans="1:34" s="350" customFormat="1" ht="14.25">
      <c r="B7" s="350" t="s">
        <v>924</v>
      </c>
      <c r="C7" s="391">
        <f>IF(Application!$D$210="Special Needs",0.1,0.05)</f>
        <v>0.1</v>
      </c>
      <c r="E7" s="368">
        <f>-E6*$C$7</f>
        <v>-68244</v>
      </c>
      <c r="F7" s="368"/>
      <c r="G7" s="368">
        <f>-G6*$C$7</f>
        <v>-69950.099999999991</v>
      </c>
      <c r="H7" s="368"/>
      <c r="I7" s="368">
        <f>-I6*$C$7</f>
        <v>-71698.852499999979</v>
      </c>
      <c r="J7" s="368"/>
      <c r="K7" s="368">
        <f>-K6*$C$7</f>
        <v>-73491.323812499977</v>
      </c>
      <c r="L7" s="368"/>
      <c r="M7" s="368">
        <f>-M6*$C$7</f>
        <v>-75328.606907812456</v>
      </c>
      <c r="N7" s="368"/>
      <c r="O7" s="368">
        <f>-O6*$C$7</f>
        <v>-77211.822080507773</v>
      </c>
      <c r="P7" s="368"/>
      <c r="Q7" s="368">
        <f>-Q6*$C$7</f>
        <v>-79142.117632520458</v>
      </c>
      <c r="R7" s="368"/>
      <c r="S7" s="368">
        <f>-S6*$C$7</f>
        <v>-81120.670573333467</v>
      </c>
      <c r="T7" s="368"/>
      <c r="U7" s="368">
        <f>-U6*$C$7</f>
        <v>-83148.687337666808</v>
      </c>
      <c r="V7" s="368"/>
      <c r="W7" s="368">
        <f>-W6*$C$7</f>
        <v>-85227.404521108459</v>
      </c>
      <c r="X7" s="368"/>
      <c r="Y7" s="368">
        <f>-Y6*$C$7</f>
        <v>-87358.089634136166</v>
      </c>
      <c r="Z7" s="368"/>
      <c r="AA7" s="368">
        <f>-AA6*$C$7</f>
        <v>-89542.041874989562</v>
      </c>
      <c r="AB7" s="368"/>
      <c r="AC7" s="368">
        <f>-AC6*$C$7</f>
        <v>-91780.5929218643</v>
      </c>
      <c r="AD7" s="368"/>
      <c r="AE7" s="368">
        <f>-AE6*$C$7</f>
        <v>-94075.107744910885</v>
      </c>
      <c r="AF7" s="368"/>
      <c r="AG7" s="368">
        <f>-AG6*$C$7</f>
        <v>-96426.985438533651</v>
      </c>
    </row>
    <row r="8" spans="1:34" s="350" customFormat="1" ht="14.25">
      <c r="A8" s="350" t="s">
        <v>306</v>
      </c>
      <c r="C8" s="390">
        <v>1.0249999999999999</v>
      </c>
      <c r="E8" s="369">
        <f>Application!Z797</f>
        <v>3360</v>
      </c>
      <c r="F8" s="369"/>
      <c r="G8" s="369">
        <f>E8*$C$8</f>
        <v>3443.9999999999995</v>
      </c>
      <c r="H8" s="369"/>
      <c r="I8" s="369">
        <f>G8*$C$8</f>
        <v>3530.0999999999995</v>
      </c>
      <c r="J8" s="369"/>
      <c r="K8" s="369">
        <f>I8*$C$8</f>
        <v>3618.3524999999991</v>
      </c>
      <c r="L8" s="369"/>
      <c r="M8" s="369">
        <f>K8*$C$8</f>
        <v>3708.8113124999986</v>
      </c>
      <c r="N8" s="369"/>
      <c r="O8" s="369">
        <f>M8*$C$8</f>
        <v>3801.5315953124982</v>
      </c>
      <c r="P8" s="369"/>
      <c r="Q8" s="369">
        <f>O8*$C$8</f>
        <v>3896.5698851953102</v>
      </c>
      <c r="R8" s="369"/>
      <c r="S8" s="369">
        <f>Q8*$C$8</f>
        <v>3993.9841323251926</v>
      </c>
      <c r="T8" s="369"/>
      <c r="U8" s="369">
        <f>S8*$C$8</f>
        <v>4093.8337356333222</v>
      </c>
      <c r="V8" s="369"/>
      <c r="W8" s="369">
        <f>U8*$C$8</f>
        <v>4196.1795790241549</v>
      </c>
      <c r="X8" s="369"/>
      <c r="Y8" s="369">
        <f>W8*$C$8</f>
        <v>4301.0840684997584</v>
      </c>
      <c r="Z8" s="369"/>
      <c r="AA8" s="369">
        <f>Y8*$C$8</f>
        <v>4408.6111702122516</v>
      </c>
      <c r="AB8" s="369"/>
      <c r="AC8" s="369">
        <f>AA8*$C$8</f>
        <v>4518.8264494675577</v>
      </c>
      <c r="AD8" s="369"/>
      <c r="AE8" s="369">
        <f>AC8*$C$8</f>
        <v>4631.7971107042458</v>
      </c>
      <c r="AF8" s="369"/>
      <c r="AG8" s="369">
        <f>AE8*$C$8</f>
        <v>4747.592038471852</v>
      </c>
    </row>
    <row r="9" spans="1:34" s="350" customFormat="1" ht="14.25">
      <c r="B9" s="350" t="s">
        <v>924</v>
      </c>
      <c r="C9" s="391">
        <f>IF(Application!$D$210="Special Needs",0.1,0.05)</f>
        <v>0.1</v>
      </c>
      <c r="E9" s="388">
        <f>-E8*$C$9</f>
        <v>-336</v>
      </c>
      <c r="F9" s="368"/>
      <c r="G9" s="388">
        <f>-G8*$C$9</f>
        <v>-344.4</v>
      </c>
      <c r="H9" s="368"/>
      <c r="I9" s="388">
        <f>-I8*$C$9</f>
        <v>-353.01</v>
      </c>
      <c r="J9" s="368"/>
      <c r="K9" s="388">
        <f>-K8*$C$9</f>
        <v>-361.83524999999992</v>
      </c>
      <c r="L9" s="368"/>
      <c r="M9" s="388">
        <f>-M8*$C$9</f>
        <v>-370.8811312499999</v>
      </c>
      <c r="N9" s="368"/>
      <c r="O9" s="388">
        <f>-O8*$C$9</f>
        <v>-380.15315953124986</v>
      </c>
      <c r="P9" s="368"/>
      <c r="Q9" s="388">
        <f>-Q8*$C$9</f>
        <v>-389.65698851953107</v>
      </c>
      <c r="R9" s="368"/>
      <c r="S9" s="388">
        <f>-S8*$C$9</f>
        <v>-399.39841323251926</v>
      </c>
      <c r="T9" s="368"/>
      <c r="U9" s="388">
        <f>-U8*$C$9</f>
        <v>-409.38337356333227</v>
      </c>
      <c r="V9" s="368"/>
      <c r="W9" s="388">
        <f>-W8*$C$9</f>
        <v>-419.61795790241553</v>
      </c>
      <c r="X9" s="368"/>
      <c r="Y9" s="388">
        <f>-Y8*$C$9</f>
        <v>-430.10840684997584</v>
      </c>
      <c r="Z9" s="368"/>
      <c r="AA9" s="388">
        <f>-AA8*$C$9</f>
        <v>-440.8611170212252</v>
      </c>
      <c r="AB9" s="368"/>
      <c r="AC9" s="388">
        <f>-AC8*$C$9</f>
        <v>-451.88264494675582</v>
      </c>
      <c r="AD9" s="368"/>
      <c r="AE9" s="388">
        <f>-AE8*$C$9</f>
        <v>-463.17971107042462</v>
      </c>
      <c r="AF9" s="368"/>
      <c r="AG9" s="388">
        <f>-AG8*$C$9</f>
        <v>-474.75920384718523</v>
      </c>
    </row>
    <row r="10" spans="1:34" s="370" customFormat="1" ht="15">
      <c r="A10" s="370" t="s">
        <v>946</v>
      </c>
      <c r="C10" s="361"/>
      <c r="E10" s="370">
        <f>SUM(E4:E9)</f>
        <v>970650</v>
      </c>
      <c r="G10" s="370">
        <f>SUM(G4:G9)</f>
        <v>994916.24999999977</v>
      </c>
      <c r="I10" s="370">
        <f>SUM(I4:I9)</f>
        <v>1019789.1562499997</v>
      </c>
      <c r="K10" s="370">
        <f>SUM(K4:K9)</f>
        <v>1045283.8851562497</v>
      </c>
      <c r="M10" s="370">
        <f>SUM(M4:M9)</f>
        <v>1071415.9822851557</v>
      </c>
      <c r="O10" s="370">
        <f>SUM(O4:O9)</f>
        <v>1098201.3818422845</v>
      </c>
      <c r="Q10" s="370">
        <f>SUM(Q4:Q9)</f>
        <v>1125656.4163883415</v>
      </c>
      <c r="S10" s="370">
        <f>SUM(S4:S9)</f>
        <v>1153797.82679805</v>
      </c>
      <c r="U10" s="370">
        <f>SUM(U4:U9)</f>
        <v>1182642.7724680013</v>
      </c>
      <c r="W10" s="370">
        <f>SUM(W4:W9)</f>
        <v>1212208.8417797014</v>
      </c>
      <c r="Y10" s="370">
        <f>SUM(Y4:Y9)</f>
        <v>1242514.0628241936</v>
      </c>
      <c r="AA10" s="370">
        <f>SUM(AA4:AA9)</f>
        <v>1273576.9143947982</v>
      </c>
      <c r="AC10" s="370">
        <f>SUM(AC4:AC9)</f>
        <v>1305416.3372546684</v>
      </c>
      <c r="AE10" s="370">
        <f>SUM(AE4:AE9)</f>
        <v>1338051.7456860347</v>
      </c>
      <c r="AG10" s="370">
        <f>SUM(AG4:AG9)</f>
        <v>1371503.0393281856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59152</v>
      </c>
      <c r="G14" s="366">
        <f>E14*$C$13</f>
        <v>61222.319999999992</v>
      </c>
      <c r="I14" s="366">
        <f>G14*$C$13</f>
        <v>63365.10119999999</v>
      </c>
      <c r="K14" s="366">
        <f>I14*$C$13</f>
        <v>65582.87974199999</v>
      </c>
      <c r="M14" s="366">
        <f>K14*$C$13</f>
        <v>67878.280532969991</v>
      </c>
      <c r="O14" s="366">
        <f>M14*$C$13</f>
        <v>70254.020351623942</v>
      </c>
      <c r="Q14" s="366">
        <f>O14*$C$13</f>
        <v>72712.911063930776</v>
      </c>
      <c r="S14" s="366">
        <f>Q14*$C$13</f>
        <v>75257.862951168354</v>
      </c>
      <c r="U14" s="366">
        <f>S14*$C$13</f>
        <v>77891.888154459244</v>
      </c>
      <c r="W14" s="366">
        <f>U14*$C$13</f>
        <v>80618.104239865308</v>
      </c>
      <c r="Y14" s="366">
        <f>W14*$C$13</f>
        <v>83439.737888260584</v>
      </c>
      <c r="AA14" s="366">
        <f>Y14*$C$13</f>
        <v>86360.128714349703</v>
      </c>
      <c r="AC14" s="366">
        <f>AA14*$C$13</f>
        <v>89382.73321935194</v>
      </c>
      <c r="AE14" s="366">
        <f>AC14*$C$13</f>
        <v>92511.128882029254</v>
      </c>
      <c r="AG14" s="366">
        <f>AE14*$C$13</f>
        <v>95749.018392900267</v>
      </c>
    </row>
    <row r="15" spans="1:34" s="350" customFormat="1" ht="14.25">
      <c r="A15" s="350" t="s">
        <v>367</v>
      </c>
      <c r="C15" s="380"/>
      <c r="E15" s="369">
        <f>Application!W829</f>
        <v>40320</v>
      </c>
      <c r="F15" s="369"/>
      <c r="G15" s="369">
        <f t="shared" ref="G15:AG20" si="0">E15*$C$13</f>
        <v>41731.199999999997</v>
      </c>
      <c r="H15" s="369"/>
      <c r="I15" s="369">
        <f t="shared" si="0"/>
        <v>43191.791999999994</v>
      </c>
      <c r="J15" s="369"/>
      <c r="K15" s="369">
        <f t="shared" si="0"/>
        <v>44703.50471999999</v>
      </c>
      <c r="L15" s="369"/>
      <c r="M15" s="369">
        <f t="shared" si="0"/>
        <v>46268.127385199987</v>
      </c>
      <c r="N15" s="369"/>
      <c r="O15" s="369">
        <f t="shared" si="0"/>
        <v>47887.511843681983</v>
      </c>
      <c r="P15" s="369"/>
      <c r="Q15" s="369">
        <f t="shared" si="0"/>
        <v>49563.574758210845</v>
      </c>
      <c r="R15" s="369"/>
      <c r="S15" s="369">
        <f t="shared" si="0"/>
        <v>51298.29987474822</v>
      </c>
      <c r="T15" s="369"/>
      <c r="U15" s="369">
        <f t="shared" si="0"/>
        <v>53093.740370364401</v>
      </c>
      <c r="V15" s="369"/>
      <c r="W15" s="369">
        <f t="shared" si="0"/>
        <v>54952.021283327151</v>
      </c>
      <c r="X15" s="369"/>
      <c r="Y15" s="369">
        <f t="shared" si="0"/>
        <v>56875.342028243598</v>
      </c>
      <c r="Z15" s="369"/>
      <c r="AA15" s="369">
        <f t="shared" si="0"/>
        <v>58865.978999232117</v>
      </c>
      <c r="AB15" s="369"/>
      <c r="AC15" s="369">
        <f t="shared" si="0"/>
        <v>60926.288264205235</v>
      </c>
      <c r="AD15" s="369"/>
      <c r="AE15" s="369">
        <f t="shared" si="0"/>
        <v>63058.708353452414</v>
      </c>
      <c r="AF15" s="369"/>
      <c r="AG15" s="369">
        <f t="shared" si="0"/>
        <v>65265.763145823243</v>
      </c>
    </row>
    <row r="16" spans="1:34" s="350" customFormat="1" ht="14.25">
      <c r="A16" s="350" t="s">
        <v>609</v>
      </c>
      <c r="C16" s="380"/>
      <c r="E16" s="369">
        <f>Application!W835</f>
        <v>91040</v>
      </c>
      <c r="F16" s="369"/>
      <c r="G16" s="369">
        <f t="shared" si="0"/>
        <v>94226.4</v>
      </c>
      <c r="H16" s="369"/>
      <c r="I16" s="369">
        <f t="shared" si="0"/>
        <v>97524.323999999993</v>
      </c>
      <c r="J16" s="369"/>
      <c r="K16" s="369">
        <f t="shared" si="0"/>
        <v>100937.67533999999</v>
      </c>
      <c r="L16" s="369"/>
      <c r="M16" s="369">
        <f t="shared" si="0"/>
        <v>104470.49397689998</v>
      </c>
      <c r="N16" s="369"/>
      <c r="O16" s="369">
        <f t="shared" si="0"/>
        <v>108126.96126609147</v>
      </c>
      <c r="P16" s="369"/>
      <c r="Q16" s="369">
        <f t="shared" si="0"/>
        <v>111911.40491040467</v>
      </c>
      <c r="R16" s="369"/>
      <c r="S16" s="369">
        <f t="shared" si="0"/>
        <v>115828.30408226882</v>
      </c>
      <c r="T16" s="369"/>
      <c r="U16" s="369">
        <f t="shared" si="0"/>
        <v>119882.29472514823</v>
      </c>
      <c r="V16" s="369"/>
      <c r="W16" s="369">
        <f t="shared" si="0"/>
        <v>124078.17504052841</v>
      </c>
      <c r="X16" s="369"/>
      <c r="Y16" s="369">
        <f t="shared" si="0"/>
        <v>128420.9111669469</v>
      </c>
      <c r="Z16" s="369"/>
      <c r="AA16" s="369">
        <f t="shared" si="0"/>
        <v>132915.64305779003</v>
      </c>
      <c r="AB16" s="369"/>
      <c r="AC16" s="369">
        <f t="shared" si="0"/>
        <v>137567.69056481268</v>
      </c>
      <c r="AD16" s="369"/>
      <c r="AE16" s="369">
        <f t="shared" si="0"/>
        <v>142382.55973458113</v>
      </c>
      <c r="AF16" s="369"/>
      <c r="AG16" s="369">
        <f t="shared" si="0"/>
        <v>147365.94932529144</v>
      </c>
    </row>
    <row r="17" spans="1:33" s="350" customFormat="1" ht="14.25">
      <c r="A17" s="350" t="s">
        <v>928</v>
      </c>
      <c r="C17" s="380"/>
      <c r="E17" s="369">
        <f>Application!W840</f>
        <v>109400</v>
      </c>
      <c r="F17" s="369"/>
      <c r="G17" s="369">
        <f t="shared" si="0"/>
        <v>113228.99999999999</v>
      </c>
      <c r="H17" s="369"/>
      <c r="I17" s="369">
        <f t="shared" si="0"/>
        <v>117192.01499999997</v>
      </c>
      <c r="J17" s="369"/>
      <c r="K17" s="369">
        <f t="shared" si="0"/>
        <v>121293.73552499995</v>
      </c>
      <c r="L17" s="369"/>
      <c r="M17" s="369">
        <f t="shared" si="0"/>
        <v>125539.01626837494</v>
      </c>
      <c r="N17" s="369"/>
      <c r="O17" s="369">
        <f t="shared" si="0"/>
        <v>129932.88183776804</v>
      </c>
      <c r="P17" s="369"/>
      <c r="Q17" s="369">
        <f t="shared" si="0"/>
        <v>134480.53270208993</v>
      </c>
      <c r="R17" s="369"/>
      <c r="S17" s="369">
        <f t="shared" si="0"/>
        <v>139187.35134666305</v>
      </c>
      <c r="T17" s="369"/>
      <c r="U17" s="369">
        <f t="shared" si="0"/>
        <v>144058.90864379625</v>
      </c>
      <c r="V17" s="369"/>
      <c r="W17" s="369">
        <f t="shared" si="0"/>
        <v>149100.9704463291</v>
      </c>
      <c r="X17" s="369"/>
      <c r="Y17" s="369">
        <f t="shared" si="0"/>
        <v>154319.50441195059</v>
      </c>
      <c r="Z17" s="369"/>
      <c r="AA17" s="369">
        <f t="shared" si="0"/>
        <v>159720.68706636885</v>
      </c>
      <c r="AB17" s="369"/>
      <c r="AC17" s="369">
        <f t="shared" si="0"/>
        <v>165310.91111369175</v>
      </c>
      <c r="AD17" s="369"/>
      <c r="AE17" s="369">
        <f t="shared" si="0"/>
        <v>171096.79300267095</v>
      </c>
      <c r="AF17" s="369"/>
      <c r="AG17" s="369">
        <f t="shared" si="0"/>
        <v>177085.18075776441</v>
      </c>
    </row>
    <row r="18" spans="1:33" s="350" customFormat="1" ht="14.25">
      <c r="A18" s="350" t="s">
        <v>162</v>
      </c>
      <c r="C18" s="380"/>
      <c r="E18" s="369">
        <f>Application!W841</f>
        <v>22400</v>
      </c>
      <c r="F18" s="369"/>
      <c r="G18" s="369">
        <f t="shared" si="0"/>
        <v>23184</v>
      </c>
      <c r="H18" s="369"/>
      <c r="I18" s="369">
        <f t="shared" si="0"/>
        <v>23995.439999999999</v>
      </c>
      <c r="J18" s="369"/>
      <c r="K18" s="369">
        <f t="shared" si="0"/>
        <v>24835.280399999996</v>
      </c>
      <c r="L18" s="369"/>
      <c r="M18" s="369">
        <f t="shared" si="0"/>
        <v>25704.515213999995</v>
      </c>
      <c r="N18" s="369"/>
      <c r="O18" s="369">
        <f t="shared" si="0"/>
        <v>26604.173246489994</v>
      </c>
      <c r="P18" s="369"/>
      <c r="Q18" s="369">
        <f t="shared" si="0"/>
        <v>27535.319310117142</v>
      </c>
      <c r="R18" s="369"/>
      <c r="S18" s="369">
        <f t="shared" si="0"/>
        <v>28499.055485971239</v>
      </c>
      <c r="T18" s="369"/>
      <c r="U18" s="369">
        <f t="shared" si="0"/>
        <v>29496.522427980231</v>
      </c>
      <c r="V18" s="369"/>
      <c r="W18" s="369">
        <f t="shared" si="0"/>
        <v>30528.900712959537</v>
      </c>
      <c r="X18" s="369"/>
      <c r="Y18" s="369">
        <f t="shared" si="0"/>
        <v>31597.412237913119</v>
      </c>
      <c r="Z18" s="369"/>
      <c r="AA18" s="369">
        <f t="shared" si="0"/>
        <v>32703.321666240074</v>
      </c>
      <c r="AB18" s="369"/>
      <c r="AC18" s="369">
        <f t="shared" si="0"/>
        <v>33847.937924558471</v>
      </c>
      <c r="AD18" s="369"/>
      <c r="AE18" s="369">
        <f t="shared" si="0"/>
        <v>35032.615751918012</v>
      </c>
      <c r="AF18" s="369"/>
      <c r="AG18" s="369">
        <f t="shared" si="0"/>
        <v>36258.757303235143</v>
      </c>
    </row>
    <row r="19" spans="1:33" s="350" customFormat="1" ht="14.25">
      <c r="A19" s="350" t="s">
        <v>422</v>
      </c>
      <c r="C19" s="380"/>
      <c r="E19" s="369">
        <f>Application!W850</f>
        <v>48040</v>
      </c>
      <c r="F19" s="369"/>
      <c r="G19" s="369">
        <f t="shared" si="0"/>
        <v>49721.399999999994</v>
      </c>
      <c r="H19" s="369"/>
      <c r="I19" s="369">
        <f t="shared" si="0"/>
        <v>51461.64899999999</v>
      </c>
      <c r="J19" s="369"/>
      <c r="K19" s="369">
        <f t="shared" si="0"/>
        <v>53262.806714999984</v>
      </c>
      <c r="L19" s="369"/>
      <c r="M19" s="369">
        <f t="shared" si="0"/>
        <v>55127.004950024981</v>
      </c>
      <c r="N19" s="369"/>
      <c r="O19" s="369">
        <f t="shared" si="0"/>
        <v>57056.450123275848</v>
      </c>
      <c r="P19" s="369"/>
      <c r="Q19" s="369">
        <f t="shared" si="0"/>
        <v>59053.425877590496</v>
      </c>
      <c r="R19" s="369"/>
      <c r="S19" s="369">
        <f t="shared" si="0"/>
        <v>61120.295783306159</v>
      </c>
      <c r="T19" s="369"/>
      <c r="U19" s="369">
        <f t="shared" si="0"/>
        <v>63259.506135721873</v>
      </c>
      <c r="V19" s="369"/>
      <c r="W19" s="369">
        <f t="shared" si="0"/>
        <v>65473.588850472137</v>
      </c>
      <c r="X19" s="369"/>
      <c r="Y19" s="369">
        <f t="shared" si="0"/>
        <v>67765.164460238651</v>
      </c>
      <c r="Z19" s="369"/>
      <c r="AA19" s="369">
        <f t="shared" si="0"/>
        <v>70136.945216346998</v>
      </c>
      <c r="AB19" s="369"/>
      <c r="AC19" s="369">
        <f t="shared" si="0"/>
        <v>72591.738298919139</v>
      </c>
      <c r="AD19" s="369"/>
      <c r="AE19" s="369">
        <f t="shared" si="0"/>
        <v>75132.449139381308</v>
      </c>
      <c r="AF19" s="369"/>
      <c r="AG19" s="369">
        <f t="shared" si="0"/>
        <v>77762.084859259645</v>
      </c>
    </row>
    <row r="20" spans="1:33" s="350" customFormat="1" ht="14.25">
      <c r="A20" s="373" t="s">
        <v>1071</v>
      </c>
      <c r="B20" s="373"/>
      <c r="C20" s="380"/>
      <c r="E20" s="379">
        <f>Application!W857</f>
        <v>4785</v>
      </c>
      <c r="F20" s="369"/>
      <c r="G20" s="379">
        <f t="shared" si="0"/>
        <v>4952.4749999999995</v>
      </c>
      <c r="H20" s="369"/>
      <c r="I20" s="379">
        <f t="shared" si="0"/>
        <v>5125.8116249999994</v>
      </c>
      <c r="J20" s="369"/>
      <c r="K20" s="379">
        <f t="shared" si="0"/>
        <v>5305.2150318749991</v>
      </c>
      <c r="L20" s="369"/>
      <c r="M20" s="379">
        <f t="shared" si="0"/>
        <v>5490.8975579906237</v>
      </c>
      <c r="N20" s="369"/>
      <c r="O20" s="379">
        <f t="shared" si="0"/>
        <v>5683.0789725202949</v>
      </c>
      <c r="P20" s="369"/>
      <c r="Q20" s="379">
        <f t="shared" si="0"/>
        <v>5881.9867365585051</v>
      </c>
      <c r="R20" s="369"/>
      <c r="S20" s="379">
        <f t="shared" si="0"/>
        <v>6087.8562723380519</v>
      </c>
      <c r="T20" s="369"/>
      <c r="U20" s="379">
        <f t="shared" si="0"/>
        <v>6300.9312418698828</v>
      </c>
      <c r="V20" s="369"/>
      <c r="W20" s="379">
        <f t="shared" si="0"/>
        <v>6521.4638353353284</v>
      </c>
      <c r="X20" s="369"/>
      <c r="Y20" s="379">
        <f t="shared" si="0"/>
        <v>6749.7150695720647</v>
      </c>
      <c r="Z20" s="369"/>
      <c r="AA20" s="379">
        <f t="shared" si="0"/>
        <v>6985.9550970070868</v>
      </c>
      <c r="AB20" s="369"/>
      <c r="AC20" s="379">
        <f t="shared" si="0"/>
        <v>7230.4635254023342</v>
      </c>
      <c r="AD20" s="369"/>
      <c r="AE20" s="379">
        <f t="shared" si="0"/>
        <v>7483.5297487914149</v>
      </c>
      <c r="AF20" s="369"/>
      <c r="AG20" s="379">
        <f t="shared" si="0"/>
        <v>7745.4532899991136</v>
      </c>
    </row>
    <row r="21" spans="1:33" s="370" customFormat="1" ht="15">
      <c r="A21" s="370" t="s">
        <v>929</v>
      </c>
      <c r="C21" s="380"/>
      <c r="E21" s="370">
        <f>SUM(E14:E20)</f>
        <v>375137</v>
      </c>
      <c r="G21" s="370">
        <f>SUM(G14:G20)</f>
        <v>388266.79499999993</v>
      </c>
      <c r="I21" s="370">
        <f>SUM(I14:I20)</f>
        <v>401856.13282499992</v>
      </c>
      <c r="K21" s="370">
        <f>SUM(K14:K20)</f>
        <v>415921.09747387486</v>
      </c>
      <c r="M21" s="370">
        <f>SUM(M14:M20)</f>
        <v>430478.33588546055</v>
      </c>
      <c r="O21" s="370">
        <f>SUM(O14:O20)</f>
        <v>445545.07764145161</v>
      </c>
      <c r="Q21" s="370">
        <f>SUM(Q14:Q20)</f>
        <v>461139.15535890235</v>
      </c>
      <c r="S21" s="370">
        <f>SUM(S14:S20)</f>
        <v>477279.02579646395</v>
      </c>
      <c r="U21" s="370">
        <f>SUM(U14:U20)</f>
        <v>493983.7916993401</v>
      </c>
      <c r="W21" s="370">
        <f>SUM(W14:W20)</f>
        <v>511273.22440881695</v>
      </c>
      <c r="Y21" s="370">
        <f>SUM(Y14:Y20)</f>
        <v>529167.78726312553</v>
      </c>
      <c r="AA21" s="370">
        <f>SUM(AA14:AA20)</f>
        <v>547688.65981733496</v>
      </c>
      <c r="AC21" s="370">
        <f>SUM(AC14:AC20)</f>
        <v>566857.76291094162</v>
      </c>
      <c r="AE21" s="370">
        <f>SUM(AE14:AE20)</f>
        <v>586697.78461282444</v>
      </c>
      <c r="AG21" s="370">
        <f>SUM(AG14:AG20)</f>
        <v>607232.20707427326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16800</v>
      </c>
      <c r="F25" s="369"/>
      <c r="G25" s="369">
        <f>$E$25</f>
        <v>16800</v>
      </c>
      <c r="H25" s="369"/>
      <c r="I25" s="369">
        <f>$E$25</f>
        <v>16800</v>
      </c>
      <c r="J25" s="369"/>
      <c r="K25" s="369">
        <f>$E$25</f>
        <v>16800</v>
      </c>
      <c r="L25" s="369"/>
      <c r="M25" s="369">
        <f>$E$25</f>
        <v>16800</v>
      </c>
      <c r="N25" s="369"/>
      <c r="O25" s="369">
        <f>$E$25</f>
        <v>16800</v>
      </c>
      <c r="P25" s="369"/>
      <c r="Q25" s="369">
        <f>$E$25</f>
        <v>16800</v>
      </c>
      <c r="R25" s="369"/>
      <c r="S25" s="369">
        <f>$E$25</f>
        <v>16800</v>
      </c>
      <c r="T25" s="369"/>
      <c r="U25" s="369">
        <f>$E$25</f>
        <v>16800</v>
      </c>
      <c r="V25" s="369"/>
      <c r="W25" s="369">
        <f>$E$25</f>
        <v>16800</v>
      </c>
      <c r="X25" s="369"/>
      <c r="Y25" s="369">
        <f>$E$25</f>
        <v>16800</v>
      </c>
      <c r="Z25" s="369"/>
      <c r="AA25" s="369">
        <f>$E$25</f>
        <v>16800</v>
      </c>
      <c r="AB25" s="369"/>
      <c r="AC25" s="369">
        <f>$E$25</f>
        <v>16800</v>
      </c>
      <c r="AD25" s="369"/>
      <c r="AE25" s="369">
        <f>$E$25</f>
        <v>16800</v>
      </c>
      <c r="AF25" s="369"/>
      <c r="AG25" s="369">
        <f>$E$25</f>
        <v>16800</v>
      </c>
    </row>
    <row r="26" spans="1:33" s="350" customFormat="1" ht="14.25">
      <c r="A26" s="350" t="s">
        <v>930</v>
      </c>
      <c r="C26" s="390">
        <v>1.02</v>
      </c>
      <c r="E26" s="369">
        <f>Application!AC868</f>
        <v>8960</v>
      </c>
      <c r="F26" s="369"/>
      <c r="G26" s="369">
        <f>E26*$C$26</f>
        <v>9139.2000000000007</v>
      </c>
      <c r="H26" s="369"/>
      <c r="I26" s="369">
        <f>G26*$C$26</f>
        <v>9321.9840000000004</v>
      </c>
      <c r="J26" s="369"/>
      <c r="K26" s="369">
        <f>I26*$C$26</f>
        <v>9508.4236799999999</v>
      </c>
      <c r="L26" s="369"/>
      <c r="M26" s="369">
        <f>K26*$C$26</f>
        <v>9698.5921536000005</v>
      </c>
      <c r="N26" s="369"/>
      <c r="O26" s="369">
        <f>M26*$C$26</f>
        <v>9892.5639966720009</v>
      </c>
      <c r="P26" s="369"/>
      <c r="Q26" s="369">
        <f>O26*$C$26</f>
        <v>10090.415276605441</v>
      </c>
      <c r="R26" s="369"/>
      <c r="S26" s="369">
        <f>Q26*$C$26</f>
        <v>10292.223582137551</v>
      </c>
      <c r="T26" s="369"/>
      <c r="U26" s="369">
        <f>S26*$C$26</f>
        <v>10498.068053780302</v>
      </c>
      <c r="V26" s="369"/>
      <c r="W26" s="369">
        <f>U26*$C$26</f>
        <v>10708.029414855908</v>
      </c>
      <c r="X26" s="369"/>
      <c r="Y26" s="369">
        <f>W26*$C$26</f>
        <v>10922.190003153026</v>
      </c>
      <c r="Z26" s="369"/>
      <c r="AA26" s="369">
        <f>Y26*$C$26</f>
        <v>11140.633803216086</v>
      </c>
      <c r="AB26" s="369"/>
      <c r="AC26" s="369">
        <f>AA26*$C$26</f>
        <v>11363.446479280408</v>
      </c>
      <c r="AD26" s="369"/>
      <c r="AE26" s="369">
        <f>AC26*$C$26</f>
        <v>11590.715408866017</v>
      </c>
      <c r="AF26" s="369"/>
      <c r="AG26" s="369">
        <f>AE26*$C$26</f>
        <v>11822.529717043339</v>
      </c>
    </row>
    <row r="27" spans="1:33" s="350" customFormat="1" ht="14.25">
      <c r="A27" s="372" t="s">
        <v>1779</v>
      </c>
      <c r="B27" s="373"/>
      <c r="C27" s="509">
        <v>1</v>
      </c>
      <c r="E27" s="369">
        <v>11020</v>
      </c>
      <c r="F27" s="369"/>
      <c r="G27" s="369">
        <f>E27*$C$27</f>
        <v>11020</v>
      </c>
      <c r="H27" s="369"/>
      <c r="I27" s="369">
        <f>G27*$C$27</f>
        <v>11020</v>
      </c>
      <c r="J27" s="369"/>
      <c r="K27" s="369">
        <f>I27*$C$27</f>
        <v>11020</v>
      </c>
      <c r="L27" s="369"/>
      <c r="M27" s="369">
        <f>K27*$C$27</f>
        <v>11020</v>
      </c>
      <c r="N27" s="369"/>
      <c r="O27" s="369">
        <f>M27*$C$27</f>
        <v>11020</v>
      </c>
      <c r="P27" s="369"/>
      <c r="Q27" s="369">
        <f>O27*$C$27</f>
        <v>11020</v>
      </c>
      <c r="R27" s="369"/>
      <c r="S27" s="369">
        <f>Q27*$C$27</f>
        <v>11020</v>
      </c>
      <c r="T27" s="369"/>
      <c r="U27" s="369">
        <f>S27*$C$27</f>
        <v>11020</v>
      </c>
      <c r="V27" s="369"/>
      <c r="W27" s="369">
        <f>U27*$C$27</f>
        <v>11020</v>
      </c>
      <c r="X27" s="369"/>
      <c r="Y27" s="369">
        <f>W27*$C$27</f>
        <v>11020</v>
      </c>
      <c r="Z27" s="369"/>
      <c r="AA27" s="369">
        <f>Y27*$C$27</f>
        <v>11020</v>
      </c>
      <c r="AB27" s="369"/>
      <c r="AC27" s="369">
        <f>AA27*$C$27</f>
        <v>11020</v>
      </c>
      <c r="AD27" s="369"/>
      <c r="AE27" s="369">
        <f>AC27*$C$27</f>
        <v>11020</v>
      </c>
      <c r="AF27" s="369"/>
      <c r="AG27" s="369">
        <f>AE27*$C$27</f>
        <v>11020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411917</v>
      </c>
      <c r="G30" s="370">
        <f>SUM(G21:G28)</f>
        <v>425225.99499999994</v>
      </c>
      <c r="I30" s="370">
        <f>SUM(I21:I28)</f>
        <v>438998.11682499992</v>
      </c>
      <c r="K30" s="370">
        <f>SUM(K21:K28)</f>
        <v>453249.52115387487</v>
      </c>
      <c r="M30" s="370">
        <f>SUM(M21:M28)</f>
        <v>467996.92803906056</v>
      </c>
      <c r="O30" s="370">
        <f>SUM(O21:O28)</f>
        <v>483257.6416381236</v>
      </c>
      <c r="Q30" s="370">
        <f>SUM(Q21:Q28)</f>
        <v>499049.57063550781</v>
      </c>
      <c r="S30" s="370">
        <f>SUM(S21:S28)</f>
        <v>515391.2493786015</v>
      </c>
      <c r="U30" s="370">
        <f>SUM(U21:U28)</f>
        <v>532301.85975312046</v>
      </c>
      <c r="W30" s="370">
        <f>SUM(W21:W28)</f>
        <v>549801.25382367289</v>
      </c>
      <c r="Y30" s="370">
        <f>SUM(Y21:Y28)</f>
        <v>567909.97726627858</v>
      </c>
      <c r="AA30" s="370">
        <f>SUM(AA21:AA28)</f>
        <v>586649.29362055101</v>
      </c>
      <c r="AC30" s="370">
        <f>SUM(AC21:AC28)</f>
        <v>606041.20939022198</v>
      </c>
      <c r="AE30" s="370">
        <f>SUM(AE21:AE28)</f>
        <v>626108.5000216905</v>
      </c>
      <c r="AG30" s="370">
        <f>SUM(AG21:AG28)</f>
        <v>646874.73679131665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558733</v>
      </c>
      <c r="G32" s="370">
        <f>G10-G30</f>
        <v>569690.25499999989</v>
      </c>
      <c r="I32" s="370">
        <f>I10-I30</f>
        <v>580791.03942499973</v>
      </c>
      <c r="K32" s="370">
        <f>K10-K30</f>
        <v>592034.36400237493</v>
      </c>
      <c r="M32" s="370">
        <f>M10-M30</f>
        <v>603419.05424609513</v>
      </c>
      <c r="O32" s="370">
        <f>O10-O30</f>
        <v>614943.7402041608</v>
      </c>
      <c r="Q32" s="370">
        <f>Q10-Q30</f>
        <v>626606.84575283364</v>
      </c>
      <c r="S32" s="370">
        <f>S10-S30</f>
        <v>638406.57741944841</v>
      </c>
      <c r="U32" s="370">
        <f>U10-U30</f>
        <v>650340.91271488089</v>
      </c>
      <c r="W32" s="370">
        <f>W10-W30</f>
        <v>662407.58795602852</v>
      </c>
      <c r="Y32" s="370">
        <f>Y10-Y30</f>
        <v>674604.08555791504</v>
      </c>
      <c r="AA32" s="370">
        <f>AA10-AA30</f>
        <v>686927.62077424722</v>
      </c>
      <c r="AC32" s="370">
        <f>AC10-AC30</f>
        <v>699375.12786444637</v>
      </c>
      <c r="AE32" s="370">
        <f>AE10-AE30</f>
        <v>711943.24566434417</v>
      </c>
      <c r="AG32" s="370">
        <f>AG10-AG30</f>
        <v>724628.30253686896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Permanent Loan</v>
      </c>
      <c r="B35" s="373"/>
      <c r="C35" s="367"/>
      <c r="E35" s="369">
        <f>Application!AB618</f>
        <v>484415</v>
      </c>
      <c r="F35" s="369"/>
      <c r="G35" s="369">
        <f>$E$35</f>
        <v>484415</v>
      </c>
      <c r="H35" s="369"/>
      <c r="I35" s="369">
        <f>$E$35</f>
        <v>484415</v>
      </c>
      <c r="J35" s="369"/>
      <c r="K35" s="369">
        <f>$E$35</f>
        <v>484415</v>
      </c>
      <c r="L35" s="369"/>
      <c r="M35" s="369">
        <f>$E$35</f>
        <v>484415</v>
      </c>
      <c r="N35" s="369"/>
      <c r="O35" s="369">
        <f>$E$35</f>
        <v>484415</v>
      </c>
      <c r="P35" s="369"/>
      <c r="Q35" s="369">
        <f>$E$35</f>
        <v>484415</v>
      </c>
      <c r="R35" s="369"/>
      <c r="S35" s="369">
        <f>$E$35</f>
        <v>484415</v>
      </c>
      <c r="T35" s="369"/>
      <c r="U35" s="369">
        <f>$E$35</f>
        <v>484415</v>
      </c>
      <c r="V35" s="369"/>
      <c r="W35" s="369">
        <f>$E$35</f>
        <v>484415</v>
      </c>
      <c r="X35" s="369"/>
      <c r="Y35" s="369">
        <f>$E$35</f>
        <v>484415</v>
      </c>
      <c r="Z35" s="369"/>
      <c r="AA35" s="369">
        <f>$E$35</f>
        <v>484415</v>
      </c>
      <c r="AB35" s="369"/>
      <c r="AC35" s="369">
        <f>$E$35</f>
        <v>484415</v>
      </c>
      <c r="AD35" s="369"/>
      <c r="AE35" s="369">
        <f>$E$35</f>
        <v>484415</v>
      </c>
      <c r="AF35" s="369"/>
      <c r="AG35" s="369">
        <f>$E$35</f>
        <v>484415</v>
      </c>
    </row>
    <row r="36" spans="1:35" s="350" customFormat="1" ht="14.25">
      <c r="B36" s="373"/>
      <c r="C36" s="367"/>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484415</v>
      </c>
      <c r="G38" s="370">
        <f>SUM(G35:G37)</f>
        <v>484415</v>
      </c>
      <c r="I38" s="370">
        <f>SUM(I35:I37)</f>
        <v>484415</v>
      </c>
      <c r="K38" s="370">
        <f>SUM(K35:K37)</f>
        <v>484415</v>
      </c>
      <c r="M38" s="370">
        <f>SUM(M35:M37)</f>
        <v>484415</v>
      </c>
      <c r="O38" s="370">
        <f>SUM(O35:O37)</f>
        <v>484415</v>
      </c>
      <c r="Q38" s="370">
        <f>SUM(Q35:Q37)</f>
        <v>484415</v>
      </c>
      <c r="S38" s="370">
        <f>SUM(S35:S37)</f>
        <v>484415</v>
      </c>
      <c r="U38" s="370">
        <f>SUM(U35:U37)</f>
        <v>484415</v>
      </c>
      <c r="W38" s="370">
        <f>SUM(W35:W37)</f>
        <v>484415</v>
      </c>
      <c r="Y38" s="370">
        <f>SUM(Y35:Y37)</f>
        <v>484415</v>
      </c>
      <c r="AA38" s="370">
        <f>SUM(AA35:AA37)</f>
        <v>484415</v>
      </c>
      <c r="AC38" s="370">
        <f>SUM(AC35:AC37)</f>
        <v>484415</v>
      </c>
      <c r="AE38" s="370">
        <f>SUM(AE35:AE37)</f>
        <v>484415</v>
      </c>
      <c r="AG38" s="370">
        <f>SUM(AG35:AG37)</f>
        <v>484415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74318</v>
      </c>
      <c r="G40" s="370">
        <f>G32-G38</f>
        <v>85275.254999999888</v>
      </c>
      <c r="I40" s="370">
        <f>I32-I38</f>
        <v>96376.039424999733</v>
      </c>
      <c r="K40" s="370">
        <f>K32-K38</f>
        <v>107619.36400237493</v>
      </c>
      <c r="M40" s="370">
        <f>M32-M38</f>
        <v>119004.05424609513</v>
      </c>
      <c r="O40" s="370">
        <f>O32-O38</f>
        <v>130528.7402041608</v>
      </c>
      <c r="Q40" s="370">
        <f>Q32-Q38</f>
        <v>142191.84575283364</v>
      </c>
      <c r="S40" s="370">
        <f>S32-S38</f>
        <v>153991.57741944841</v>
      </c>
      <c r="U40" s="370">
        <f>U32-U38</f>
        <v>165925.91271488089</v>
      </c>
      <c r="W40" s="370">
        <f>W32-W38</f>
        <v>177992.58795602852</v>
      </c>
      <c r="Y40" s="370">
        <f>Y32-Y38</f>
        <v>190189.08555791504</v>
      </c>
      <c r="AA40" s="370">
        <f>AA32-AA38</f>
        <v>202512.62077424722</v>
      </c>
      <c r="AC40" s="370">
        <f>AC32-AC38</f>
        <v>214960.12786444637</v>
      </c>
      <c r="AE40" s="370">
        <f>AE32-AE38</f>
        <v>227528.24566434417</v>
      </c>
      <c r="AG40" s="370">
        <f>AG32-AG38</f>
        <v>240213.30253686896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6.8908669448307841E-2</v>
      </c>
      <c r="G42" s="374">
        <f>G40/(G4+G6+G8)</f>
        <v>7.7139889412802254E-2</v>
      </c>
      <c r="I42" s="374">
        <f>I40/(I4+I6+I8)</f>
        <v>8.5055263581598595E-2</v>
      </c>
      <c r="K42" s="374">
        <f>K40/(K4+K6+K8)</f>
        <v>9.2661361164731948E-2</v>
      </c>
      <c r="M42" s="374">
        <f>M40/(M4+M6+M8)</f>
        <v>9.996458013726002E-2</v>
      </c>
      <c r="O42" s="374">
        <f>O40/(O4+O6+O8)</f>
        <v>0.10697115130803553</v>
      </c>
      <c r="Q42" s="374">
        <f>Q40/(Q4+Q6+Q8)</f>
        <v>0.11368714228818542</v>
      </c>
      <c r="S42" s="374">
        <f>S40/(S4+S6+S8)</f>
        <v>0.12011846136174208</v>
      </c>
      <c r="U42" s="374">
        <f>U40/(U4+U6+U8)</f>
        <v>0.12627086126079826</v>
      </c>
      <c r="W42" s="374">
        <f>W40/(W4+W6+W8)</f>
        <v>0.13214994284750328</v>
      </c>
      <c r="Y42" s="374">
        <f>Y40/(Y4+Y6+Y8)</f>
        <v>0.13776115870516537</v>
      </c>
      <c r="AA42" s="374">
        <f>AA40/(AA4+AA6+AA8)</f>
        <v>0.14310981664066422</v>
      </c>
      <c r="AC42" s="374">
        <f>AC40/(AC4+AC6+AC8)</f>
        <v>0.14820108310032559</v>
      </c>
      <c r="AE42" s="374">
        <f>AE40/(AE4+AE6+AE8)</f>
        <v>0.15303998650135839</v>
      </c>
      <c r="AG42" s="374">
        <f>AG40/(AG4+AG6+AG8)</f>
        <v>0.1576314204809062</v>
      </c>
    </row>
    <row r="43" spans="1:35" s="374" customFormat="1" ht="14.25">
      <c r="A43" s="374" t="s">
        <v>938</v>
      </c>
      <c r="C43" s="367"/>
      <c r="E43" s="374">
        <f>E40/E38</f>
        <v>0.15341804031667061</v>
      </c>
      <c r="G43" s="374">
        <f>G40/G38</f>
        <v>0.17603760205608804</v>
      </c>
      <c r="I43" s="374">
        <f>I40/I38</f>
        <v>0.19895345814023044</v>
      </c>
      <c r="K43" s="374">
        <f>K40/K38</f>
        <v>0.22216356636845461</v>
      </c>
      <c r="M43" s="374">
        <f>M40/M38</f>
        <v>0.24566550219562797</v>
      </c>
      <c r="O43" s="374">
        <f>O40/O38</f>
        <v>0.26945643756729415</v>
      </c>
      <c r="Q43" s="374">
        <f>Q40/Q38</f>
        <v>0.29353311881926375</v>
      </c>
      <c r="S43" s="374">
        <f>S40/S38</f>
        <v>0.31789184360403461</v>
      </c>
      <c r="U43" s="374">
        <f>U40/U38</f>
        <v>0.3425284368049728</v>
      </c>
      <c r="W43" s="374">
        <f>W40/W38</f>
        <v>0.36743822539770349</v>
      </c>
      <c r="Y43" s="374">
        <f>Y40/Y38</f>
        <v>0.39261601221662218</v>
      </c>
      <c r="AA43" s="374">
        <f>AA40/AA38</f>
        <v>0.41805604858282097</v>
      </c>
      <c r="AC43" s="374">
        <f>AC40/AC38</f>
        <v>0.44375200574805979</v>
      </c>
      <c r="AE43" s="374">
        <f>AE40/AE38</f>
        <v>0.46969694510769522</v>
      </c>
      <c r="AG43" s="374">
        <f>AG40/AG38</f>
        <v>0.49588328713369517</v>
      </c>
    </row>
    <row r="44" spans="1:35" s="375" customFormat="1" ht="14.25">
      <c r="A44" s="375" t="s">
        <v>936</v>
      </c>
      <c r="C44" s="376"/>
      <c r="E44" s="375">
        <f>E32/E38</f>
        <v>1.1534180403166707</v>
      </c>
      <c r="G44" s="375">
        <f>G32/G38</f>
        <v>1.1760376020560881</v>
      </c>
      <c r="I44" s="375">
        <f>I32/I38</f>
        <v>1.1989534581402304</v>
      </c>
      <c r="K44" s="375">
        <f>K32/K38</f>
        <v>1.2221635663684547</v>
      </c>
      <c r="M44" s="375">
        <f>M32/M38</f>
        <v>1.245665502195628</v>
      </c>
      <c r="O44" s="375">
        <f>O32/O38</f>
        <v>1.2694564375672941</v>
      </c>
      <c r="Q44" s="375">
        <f>Q32/Q38</f>
        <v>1.2935331188192638</v>
      </c>
      <c r="S44" s="375">
        <f>S32/S38</f>
        <v>1.3178918436040346</v>
      </c>
      <c r="U44" s="375">
        <f>U32/U38</f>
        <v>1.3425284368049728</v>
      </c>
      <c r="W44" s="375">
        <f>W32/W38</f>
        <v>1.3674382253977035</v>
      </c>
      <c r="Y44" s="375">
        <f>Y32/Y38</f>
        <v>1.3926160122166222</v>
      </c>
      <c r="AA44" s="375">
        <f>AA32/AA38</f>
        <v>1.4180560485828209</v>
      </c>
      <c r="AC44" s="375">
        <f>AC32/AC38</f>
        <v>1.4437520057480597</v>
      </c>
      <c r="AE44" s="375">
        <f>AE32/AE38</f>
        <v>1.4696969451076951</v>
      </c>
      <c r="AG44" s="375">
        <f>AG32/AG38</f>
        <v>1.4958832871336951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74318</v>
      </c>
      <c r="G54" s="255">
        <f>G40-G52</f>
        <v>85275.254999999888</v>
      </c>
      <c r="I54" s="255">
        <f>I40-I52</f>
        <v>96376.039424999733</v>
      </c>
      <c r="K54" s="255">
        <f>K40-K52</f>
        <v>107619.36400237493</v>
      </c>
      <c r="M54" s="255">
        <f>M40-M52</f>
        <v>119004.05424609513</v>
      </c>
      <c r="O54" s="255">
        <f>O40-O52</f>
        <v>130528.7402041608</v>
      </c>
      <c r="Q54" s="255">
        <f>Q40-Q52</f>
        <v>142191.84575283364</v>
      </c>
      <c r="S54" s="255">
        <f>S40-S52</f>
        <v>153991.57741944841</v>
      </c>
      <c r="U54" s="255">
        <f>U40-U52</f>
        <v>165925.91271488089</v>
      </c>
      <c r="W54" s="255">
        <f>W40-W52</f>
        <v>177992.58795602852</v>
      </c>
      <c r="Y54" s="255">
        <f>Y40-Y52</f>
        <v>190189.08555791504</v>
      </c>
      <c r="AA54" s="255">
        <f>AA40-AA52</f>
        <v>202512.62077424722</v>
      </c>
      <c r="AC54" s="255">
        <f>AC40-AC52</f>
        <v>214960.12786444637</v>
      </c>
      <c r="AE54" s="255">
        <f>AE40-AE52</f>
        <v>227528.24566434417</v>
      </c>
      <c r="AG54" s="255">
        <f>AG40-AG52</f>
        <v>240213.30253686896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3" t="s">
        <v>950</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2020-10-23T18:53:58Z</cp:lastPrinted>
  <dcterms:created xsi:type="dcterms:W3CDTF">2007-12-27T18:26:28Z</dcterms:created>
  <dcterms:modified xsi:type="dcterms:W3CDTF">2020-11-19T17:53:04Z</dcterms:modified>
</cp:coreProperties>
</file>