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6 December 9 2020\App-20733(Web-3061) Residency at the Mayer Hollywood\"/>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675" yWindow="225" windowWidth="18525" windowHeight="9540" tabRatio="905" firstSheet="4"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5" i="13" l="1"/>
  <c r="C34" i="13"/>
  <c r="C33" i="13"/>
  <c r="C32" i="13"/>
  <c r="C31" i="13"/>
  <c r="C30" i="13"/>
  <c r="C29" i="13"/>
  <c r="F35" i="13"/>
  <c r="F34" i="13"/>
  <c r="F33" i="13"/>
  <c r="F32" i="13"/>
  <c r="F31" i="13"/>
  <c r="F30" i="13"/>
  <c r="F29" i="13"/>
  <c r="S35" i="4"/>
  <c r="E35" i="4"/>
  <c r="E34" i="4"/>
  <c r="S34" i="4" s="1"/>
  <c r="E33" i="4"/>
  <c r="S33" i="4" s="1"/>
  <c r="E32" i="4"/>
  <c r="S32" i="4" s="1"/>
  <c r="E31" i="4"/>
  <c r="S31" i="4" s="1"/>
  <c r="E30" i="4"/>
  <c r="S30" i="4" s="1"/>
  <c r="E29" i="4"/>
  <c r="C29" i="4"/>
  <c r="S29" i="4" s="1"/>
  <c r="B59" i="7" l="1"/>
  <c r="F9" i="4"/>
  <c r="Z794" i="3"/>
  <c r="AE546" i="3" l="1"/>
  <c r="AE550" i="3"/>
  <c r="AG388" i="3"/>
  <c r="G89" i="4"/>
  <c r="G86" i="4"/>
  <c r="G85" i="4"/>
  <c r="C9" i="4"/>
  <c r="C13" i="4"/>
  <c r="AG618" i="3"/>
  <c r="G48" i="7"/>
  <c r="I48" i="7" s="1"/>
  <c r="K48" i="7" s="1"/>
  <c r="M48" i="7" s="1"/>
  <c r="O48" i="7" s="1"/>
  <c r="Q48" i="7" s="1"/>
  <c r="S48" i="7" s="1"/>
  <c r="U48" i="7" s="1"/>
  <c r="W48" i="7" s="1"/>
  <c r="Y48" i="7" s="1"/>
  <c r="AA48" i="7" s="1"/>
  <c r="AC48" i="7" s="1"/>
  <c r="AE48" i="7" s="1"/>
  <c r="AG48" i="7" s="1"/>
  <c r="E23" i="7"/>
  <c r="F72" i="4"/>
  <c r="E72" i="4" s="1"/>
  <c r="D9" i="4"/>
  <c r="G712" i="3"/>
  <c r="P621" i="3"/>
  <c r="C621" i="3"/>
  <c r="Z560" i="3"/>
  <c r="E5" i="8" l="1"/>
  <c r="E7" i="8" s="1"/>
  <c r="B7" i="8"/>
  <c r="Z786" i="3" s="1"/>
  <c r="AA893" i="3"/>
  <c r="F4" i="4"/>
  <c r="E94" i="4"/>
  <c r="E93" i="4"/>
  <c r="E92" i="4"/>
  <c r="E91" i="4"/>
  <c r="E90" i="4"/>
  <c r="E89" i="4"/>
  <c r="E88" i="4"/>
  <c r="E87" i="4"/>
  <c r="E86" i="4"/>
  <c r="E85" i="4"/>
  <c r="E84" i="4"/>
  <c r="E83" i="4"/>
  <c r="E82" i="4"/>
  <c r="E81" i="4"/>
  <c r="E80" i="4"/>
  <c r="E77" i="4"/>
  <c r="E76" i="4"/>
  <c r="E73" i="4"/>
  <c r="E71" i="4"/>
  <c r="E70" i="4"/>
  <c r="E66" i="4"/>
  <c r="E65" i="4"/>
  <c r="E55" i="4"/>
  <c r="E50" i="4"/>
  <c r="E49" i="4"/>
  <c r="E48" i="4"/>
  <c r="E41" i="4"/>
  <c r="E39" i="4"/>
  <c r="E38" i="4"/>
  <c r="E23" i="4"/>
  <c r="E22" i="4"/>
  <c r="E21" i="4"/>
  <c r="E20" i="4"/>
  <c r="E19" i="4"/>
  <c r="E4" i="4"/>
  <c r="F69" i="4"/>
  <c r="E69" i="4" s="1"/>
  <c r="F57" i="4"/>
  <c r="E57" i="4" s="1"/>
  <c r="F56" i="4"/>
  <c r="E56" i="4" s="1"/>
  <c r="F55" i="4"/>
  <c r="F48" i="4"/>
  <c r="F47" i="4"/>
  <c r="E47" i="4" s="1"/>
  <c r="F46" i="4"/>
  <c r="E46" i="4" s="1"/>
  <c r="F45" i="4"/>
  <c r="E45" i="4" s="1"/>
  <c r="F44" i="4"/>
  <c r="E44" i="4" s="1"/>
  <c r="F43" i="4"/>
  <c r="E43" i="4" s="1"/>
  <c r="G98" i="4"/>
  <c r="G65" i="4"/>
  <c r="G57" i="4"/>
  <c r="G56" i="4"/>
  <c r="G55" i="4"/>
  <c r="G49" i="4"/>
  <c r="G9" i="4"/>
  <c r="G4" i="4"/>
  <c r="J98" i="4"/>
  <c r="AA894" i="3"/>
  <c r="Z636" i="3"/>
  <c r="Z638" i="3"/>
  <c r="Z637" i="3"/>
  <c r="Z646" i="3"/>
  <c r="Z645" i="3"/>
  <c r="Z644" i="3"/>
  <c r="Z643" i="3"/>
  <c r="Z570" i="3"/>
  <c r="G572" i="3"/>
  <c r="G580" i="3" s="1"/>
  <c r="G571" i="3"/>
  <c r="G579" i="3" s="1"/>
  <c r="G570" i="3"/>
  <c r="G578" i="3" s="1"/>
  <c r="G569" i="3"/>
  <c r="G577" i="3" s="1"/>
  <c r="Z561" i="3"/>
  <c r="G563" i="3"/>
  <c r="Z563" i="3" s="1"/>
  <c r="G562" i="3"/>
  <c r="Z562" i="3" s="1"/>
  <c r="G713" i="3"/>
  <c r="O98" i="4"/>
  <c r="S18" i="4"/>
  <c r="Z876" i="3"/>
  <c r="T754" i="3"/>
  <c r="W829" i="3"/>
  <c r="K710" i="3"/>
  <c r="K709" i="3"/>
  <c r="M805" i="3"/>
  <c r="M807" i="3"/>
  <c r="M808" i="3" s="1"/>
  <c r="M809" i="3"/>
  <c r="S94" i="4"/>
  <c r="S93" i="4"/>
  <c r="S92" i="4"/>
  <c r="S91" i="4"/>
  <c r="S90" i="4"/>
  <c r="S89" i="4"/>
  <c r="S88" i="4"/>
  <c r="S87" i="4"/>
  <c r="S86" i="4"/>
  <c r="S84" i="4"/>
  <c r="S83" i="4"/>
  <c r="S82" i="4"/>
  <c r="S81" i="4"/>
  <c r="S77" i="4"/>
  <c r="S76" i="4"/>
  <c r="S66" i="4"/>
  <c r="S65" i="4"/>
  <c r="S52" i="4"/>
  <c r="S51" i="4"/>
  <c r="S50" i="4"/>
  <c r="S49" i="4"/>
  <c r="S48" i="4"/>
  <c r="S47" i="4"/>
  <c r="S46" i="4"/>
  <c r="S45" i="4"/>
  <c r="S44" i="4"/>
  <c r="S43" i="4"/>
  <c r="S41" i="4"/>
  <c r="S39" i="4"/>
  <c r="S38" i="4"/>
  <c r="S24" i="4"/>
  <c r="S23" i="4"/>
  <c r="S22" i="4"/>
  <c r="S21" i="4"/>
  <c r="S20" i="4"/>
  <c r="S19" i="4"/>
  <c r="S13" i="4"/>
  <c r="T9" i="4"/>
  <c r="W839" i="3"/>
  <c r="Z795" i="3"/>
  <c r="Z793" i="3"/>
  <c r="C620" i="3"/>
  <c r="C618" i="3"/>
  <c r="U549" i="3"/>
  <c r="U550" i="3" s="1"/>
  <c r="AG429" i="3"/>
  <c r="AG435" i="3"/>
  <c r="H306" i="3"/>
  <c r="Z569" i="3" l="1"/>
  <c r="Z571" i="3"/>
  <c r="Z572" i="3"/>
  <c r="AB271" i="3"/>
  <c r="L271" i="3"/>
  <c r="AC240" i="3"/>
  <c r="W240" i="3"/>
  <c r="V271" i="3" s="1"/>
  <c r="Z242" i="3"/>
  <c r="Y273" i="3" s="1"/>
  <c r="M243" i="3"/>
  <c r="L274" i="3" s="1"/>
  <c r="M242" i="3"/>
  <c r="L273" i="3" s="1"/>
  <c r="M241" i="3"/>
  <c r="L272" i="3" s="1"/>
  <c r="M240" i="3"/>
  <c r="M239" i="3"/>
  <c r="L270" i="3" s="1"/>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D78" i="13"/>
  <c r="H77" i="13"/>
  <c r="E77" i="13"/>
  <c r="F77" i="13" s="1"/>
  <c r="B77" i="13"/>
  <c r="C77" i="13" s="1"/>
  <c r="R77" i="4"/>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F5" i="8"/>
  <c r="B6" i="8"/>
  <c r="F6" i="8" s="1"/>
  <c r="F7" i="8"/>
  <c r="F8" i="8"/>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I9" i="13" s="1"/>
  <c r="I11" i="13" s="1"/>
  <c r="E106" i="13"/>
  <c r="E103" i="13"/>
  <c r="E102" i="13"/>
  <c r="E101" i="13"/>
  <c r="E100" i="13"/>
  <c r="E99" i="13"/>
  <c r="E94" i="13"/>
  <c r="E93" i="13"/>
  <c r="E92" i="13"/>
  <c r="E91" i="13"/>
  <c r="E90" i="13"/>
  <c r="F90" i="13" s="1"/>
  <c r="E89" i="13"/>
  <c r="F89" i="13" s="1"/>
  <c r="E88" i="13"/>
  <c r="F88" i="13" s="1"/>
  <c r="E87" i="13"/>
  <c r="F87" i="13" s="1"/>
  <c r="E86" i="13"/>
  <c r="F86" i="13" s="1"/>
  <c r="E84" i="13"/>
  <c r="F84" i="13" s="1"/>
  <c r="E83" i="13"/>
  <c r="F83" i="13" s="1"/>
  <c r="F95" i="13" s="1"/>
  <c r="E82" i="13"/>
  <c r="F82" i="13" s="1"/>
  <c r="E81" i="13"/>
  <c r="F81" i="13" s="1"/>
  <c r="E78" i="13"/>
  <c r="E76" i="13"/>
  <c r="F76" i="13" s="1"/>
  <c r="F78" i="13" s="1"/>
  <c r="E66" i="13"/>
  <c r="E65" i="13"/>
  <c r="F65" i="13" s="1"/>
  <c r="E52" i="13"/>
  <c r="E51" i="13"/>
  <c r="E50" i="13"/>
  <c r="F50" i="13" s="1"/>
  <c r="E49" i="13"/>
  <c r="F49" i="13" s="1"/>
  <c r="E48" i="13"/>
  <c r="F48" i="13" s="1"/>
  <c r="E47" i="13"/>
  <c r="F47" i="13" s="1"/>
  <c r="E46" i="13"/>
  <c r="F46" i="13" s="1"/>
  <c r="E45" i="13"/>
  <c r="F45" i="13" s="1"/>
  <c r="E44" i="13"/>
  <c r="F44" i="13" s="1"/>
  <c r="E43" i="13"/>
  <c r="F43" i="13" s="1"/>
  <c r="F53" i="13" s="1"/>
  <c r="E41" i="13"/>
  <c r="F41" i="13" s="1"/>
  <c r="E39" i="13"/>
  <c r="F39" i="13" s="1"/>
  <c r="E38" i="13"/>
  <c r="F38" i="13" s="1"/>
  <c r="F40" i="13" s="1"/>
  <c r="E35" i="13"/>
  <c r="E34" i="13"/>
  <c r="E33" i="13"/>
  <c r="E32" i="13"/>
  <c r="E31" i="13"/>
  <c r="E30" i="13"/>
  <c r="E29" i="13"/>
  <c r="E28" i="13"/>
  <c r="E26" i="13"/>
  <c r="E24" i="13"/>
  <c r="E23" i="13"/>
  <c r="F23" i="13" s="1"/>
  <c r="E22" i="13"/>
  <c r="F22" i="13" s="1"/>
  <c r="E21" i="13"/>
  <c r="F21" i="13" s="1"/>
  <c r="E20" i="13"/>
  <c r="F20" i="13" s="1"/>
  <c r="E19" i="13"/>
  <c r="F19" i="13" s="1"/>
  <c r="E18" i="13"/>
  <c r="F18" i="13" s="1"/>
  <c r="E17" i="13"/>
  <c r="E15" i="13"/>
  <c r="E14" i="13"/>
  <c r="E13" i="13"/>
  <c r="F13" i="13" s="1"/>
  <c r="E10" i="13"/>
  <c r="B103" i="13"/>
  <c r="C103" i="13" s="1"/>
  <c r="B102" i="13"/>
  <c r="C102" i="13" s="1"/>
  <c r="B101" i="13"/>
  <c r="C101" i="13" s="1"/>
  <c r="B100" i="13"/>
  <c r="C100" i="13" s="1"/>
  <c r="B99" i="13"/>
  <c r="C99" i="13" s="1"/>
  <c r="B94" i="13"/>
  <c r="B93" i="13"/>
  <c r="B92" i="13"/>
  <c r="B91" i="13"/>
  <c r="B90" i="13"/>
  <c r="B89" i="13"/>
  <c r="C89" i="13" s="1"/>
  <c r="B88" i="13"/>
  <c r="C88" i="13" s="1"/>
  <c r="B87" i="13"/>
  <c r="C87" i="13" s="1"/>
  <c r="B86" i="13"/>
  <c r="C86" i="13" s="1"/>
  <c r="B85" i="13"/>
  <c r="C85" i="13" s="1"/>
  <c r="B84" i="13"/>
  <c r="B83" i="13"/>
  <c r="C83" i="13" s="1"/>
  <c r="B82" i="13"/>
  <c r="C82" i="13" s="1"/>
  <c r="B81" i="13"/>
  <c r="C81" i="13" s="1"/>
  <c r="C95" i="13" s="1"/>
  <c r="B80" i="13"/>
  <c r="C80" i="13" s="1"/>
  <c r="B76" i="13"/>
  <c r="C76" i="13" s="1"/>
  <c r="C78" i="13" s="1"/>
  <c r="B73" i="13"/>
  <c r="C73" i="13" s="1"/>
  <c r="B72" i="13"/>
  <c r="C72" i="13" s="1"/>
  <c r="B71" i="13"/>
  <c r="C71" i="13" s="1"/>
  <c r="B70" i="13"/>
  <c r="C70" i="13" s="1"/>
  <c r="B69" i="13"/>
  <c r="C69" i="13" s="1"/>
  <c r="C67" i="4"/>
  <c r="B67" i="13" s="1"/>
  <c r="B66" i="13"/>
  <c r="C66" i="13" s="1"/>
  <c r="B65" i="13"/>
  <c r="C65" i="13" s="1"/>
  <c r="B61" i="13"/>
  <c r="B60" i="13"/>
  <c r="B59" i="13"/>
  <c r="B58" i="13"/>
  <c r="B57" i="13"/>
  <c r="C57" i="13" s="1"/>
  <c r="B56" i="13"/>
  <c r="C56" i="13" s="1"/>
  <c r="C62" i="13" s="1"/>
  <c r="B55" i="13"/>
  <c r="C55" i="13" s="1"/>
  <c r="B52" i="13"/>
  <c r="B51" i="13"/>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B34" i="13"/>
  <c r="B33" i="13"/>
  <c r="B32" i="13"/>
  <c r="B31" i="13"/>
  <c r="B30" i="13"/>
  <c r="B29" i="13"/>
  <c r="B28" i="13"/>
  <c r="B26" i="13"/>
  <c r="B24" i="13"/>
  <c r="C24" i="13" s="1"/>
  <c r="B23" i="13"/>
  <c r="C23" i="13" s="1"/>
  <c r="B22" i="13"/>
  <c r="C22" i="13" s="1"/>
  <c r="B21" i="13"/>
  <c r="C21" i="13" s="1"/>
  <c r="B20" i="13"/>
  <c r="C20" i="13" s="1"/>
  <c r="B19" i="13"/>
  <c r="C19" i="13" s="1"/>
  <c r="B18" i="13"/>
  <c r="C18" i="13" s="1"/>
  <c r="B17" i="13"/>
  <c r="B5" i="13"/>
  <c r="B6" i="13"/>
  <c r="B7" i="13"/>
  <c r="C8" i="4"/>
  <c r="B8" i="13" s="1"/>
  <c r="B9" i="13"/>
  <c r="C9" i="13" s="1"/>
  <c r="C11" i="13" s="1"/>
  <c r="B10" i="13"/>
  <c r="B13" i="13"/>
  <c r="C13" i="13" s="1"/>
  <c r="B14" i="13"/>
  <c r="B15" i="13"/>
  <c r="B4" i="13"/>
  <c r="C4" i="13" s="1"/>
  <c r="C8" i="13" s="1"/>
  <c r="J104" i="13"/>
  <c r="G104" i="13"/>
  <c r="D104" i="13"/>
  <c r="G95" i="13"/>
  <c r="D95" i="13"/>
  <c r="D74" i="13"/>
  <c r="J67" i="13"/>
  <c r="I67" i="13"/>
  <c r="G67" i="13"/>
  <c r="F67" i="13"/>
  <c r="D67" i="13"/>
  <c r="C67" i="13"/>
  <c r="D62" i="13"/>
  <c r="J53" i="13"/>
  <c r="I53" i="13"/>
  <c r="G53" i="13"/>
  <c r="D53" i="13"/>
  <c r="C53" i="13"/>
  <c r="J40" i="13"/>
  <c r="I40" i="13"/>
  <c r="G40" i="13"/>
  <c r="F36" i="13"/>
  <c r="D40" i="13"/>
  <c r="C40" i="13"/>
  <c r="J36" i="13"/>
  <c r="I36" i="13"/>
  <c r="G36" i="13"/>
  <c r="D36" i="13"/>
  <c r="C36" i="13"/>
  <c r="J25" i="13"/>
  <c r="J63" i="13" s="1"/>
  <c r="J96" i="13" s="1"/>
  <c r="J105" i="13" s="1"/>
  <c r="J107" i="13" s="1"/>
  <c r="I25" i="13"/>
  <c r="G25" i="13"/>
  <c r="D25" i="13"/>
  <c r="J11" i="13"/>
  <c r="D11" i="13"/>
  <c r="D8" i="13"/>
  <c r="R103" i="4"/>
  <c r="R102" i="4"/>
  <c r="R101" i="4"/>
  <c r="R100" i="4"/>
  <c r="R99"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7" i="4"/>
  <c r="R6" i="4"/>
  <c r="R5" i="4"/>
  <c r="R4" i="4"/>
  <c r="AD991" i="3"/>
  <c r="B5" i="11"/>
  <c r="C5" i="11"/>
  <c r="B6" i="11"/>
  <c r="B9" i="11" s="1"/>
  <c r="C6" i="11"/>
  <c r="B7" i="11"/>
  <c r="C7" i="11"/>
  <c r="D7" i="11" s="1"/>
  <c r="C8" i="11"/>
  <c r="B8" i="11"/>
  <c r="B10" i="11"/>
  <c r="B11" i="11"/>
  <c r="C10" i="11"/>
  <c r="C11" i="11"/>
  <c r="B14" i="11"/>
  <c r="C14" i="11"/>
  <c r="B15" i="11"/>
  <c r="C15" i="11"/>
  <c r="B16" i="11"/>
  <c r="C16" i="11"/>
  <c r="D16" i="11" s="1"/>
  <c r="B18" i="11"/>
  <c r="C18" i="11"/>
  <c r="B19" i="11"/>
  <c r="C19" i="11"/>
  <c r="B20" i="11"/>
  <c r="C20" i="11"/>
  <c r="B21" i="11"/>
  <c r="C21" i="11"/>
  <c r="D21" i="11" s="1"/>
  <c r="B22" i="11"/>
  <c r="C22" i="11"/>
  <c r="D22" i="11" s="1"/>
  <c r="B23" i="11"/>
  <c r="D23" i="11" s="1"/>
  <c r="C23" i="11"/>
  <c r="B24" i="11"/>
  <c r="C24" i="11"/>
  <c r="B25" i="11"/>
  <c r="C25" i="11"/>
  <c r="D25" i="11" s="1"/>
  <c r="B27" i="11"/>
  <c r="C27" i="11"/>
  <c r="B29" i="11"/>
  <c r="B30" i="11"/>
  <c r="B31" i="11"/>
  <c r="B32" i="11"/>
  <c r="B33" i="11"/>
  <c r="B34" i="11"/>
  <c r="B35" i="11"/>
  <c r="B36" i="11"/>
  <c r="C29" i="11"/>
  <c r="D29" i="11" s="1"/>
  <c r="C30" i="11"/>
  <c r="D30" i="11" s="1"/>
  <c r="C31" i="11"/>
  <c r="C32" i="11"/>
  <c r="C33" i="11"/>
  <c r="C34" i="11"/>
  <c r="C35" i="11"/>
  <c r="D35" i="11" s="1"/>
  <c r="C36" i="11"/>
  <c r="B39" i="11"/>
  <c r="C39" i="11"/>
  <c r="C40" i="11"/>
  <c r="C41" i="11" s="1"/>
  <c r="B40" i="11"/>
  <c r="B41" i="11"/>
  <c r="B42" i="11"/>
  <c r="D42" i="11" s="1"/>
  <c r="C42" i="11"/>
  <c r="B44" i="11"/>
  <c r="C44" i="11"/>
  <c r="B45" i="11"/>
  <c r="C45" i="11"/>
  <c r="C54" i="11" s="1"/>
  <c r="B46" i="11"/>
  <c r="B47" i="11"/>
  <c r="B48" i="11"/>
  <c r="B49" i="11"/>
  <c r="B50" i="11"/>
  <c r="B51" i="11"/>
  <c r="B52" i="11"/>
  <c r="B53" i="11"/>
  <c r="C46" i="11"/>
  <c r="C47" i="11"/>
  <c r="D47" i="11" s="1"/>
  <c r="C48" i="11"/>
  <c r="D48" i="11" s="1"/>
  <c r="C49" i="11"/>
  <c r="C50" i="11"/>
  <c r="D50" i="11" s="1"/>
  <c r="C51" i="11"/>
  <c r="D51" i="11" s="1"/>
  <c r="C52" i="11"/>
  <c r="C53" i="11"/>
  <c r="D53" i="11" s="1"/>
  <c r="D52" i="11"/>
  <c r="B56" i="11"/>
  <c r="C56" i="11"/>
  <c r="B57" i="11"/>
  <c r="C57" i="11"/>
  <c r="B58" i="11"/>
  <c r="C58" i="11"/>
  <c r="D58" i="11" s="1"/>
  <c r="B59" i="11"/>
  <c r="C59" i="11"/>
  <c r="D59" i="11" s="1"/>
  <c r="B60" i="11"/>
  <c r="C60" i="11"/>
  <c r="B61" i="11"/>
  <c r="C61" i="11"/>
  <c r="B62" i="11"/>
  <c r="C62" i="11"/>
  <c r="D62" i="11" s="1"/>
  <c r="B66" i="11"/>
  <c r="B68" i="11" s="1"/>
  <c r="B67" i="11"/>
  <c r="C66" i="11"/>
  <c r="C67" i="11"/>
  <c r="C68" i="11" s="1"/>
  <c r="B70" i="11"/>
  <c r="C70" i="11"/>
  <c r="D70" i="11" s="1"/>
  <c r="B71" i="11"/>
  <c r="C71" i="11"/>
  <c r="B72" i="11"/>
  <c r="C72" i="11"/>
  <c r="D72" i="11"/>
  <c r="B73" i="11"/>
  <c r="C73" i="11"/>
  <c r="D73" i="11" s="1"/>
  <c r="B74" i="11"/>
  <c r="B75" i="11" s="1"/>
  <c r="C74" i="11"/>
  <c r="B81" i="11"/>
  <c r="C81" i="11"/>
  <c r="D81" i="11" s="1"/>
  <c r="B82" i="11"/>
  <c r="C82" i="11"/>
  <c r="C83" i="11"/>
  <c r="C84" i="11"/>
  <c r="D84" i="11" s="1"/>
  <c r="C85" i="11"/>
  <c r="C86" i="11"/>
  <c r="D86" i="11" s="1"/>
  <c r="C87" i="11"/>
  <c r="C88" i="11"/>
  <c r="D88" i="11" s="1"/>
  <c r="C89" i="11"/>
  <c r="D89" i="11" s="1"/>
  <c r="C90" i="11"/>
  <c r="C91" i="11"/>
  <c r="C92" i="11"/>
  <c r="D92" i="11" s="1"/>
  <c r="C93" i="11"/>
  <c r="C94" i="11"/>
  <c r="C95" i="11"/>
  <c r="B83" i="11"/>
  <c r="B84" i="11"/>
  <c r="B85" i="11"/>
  <c r="D85" i="11" s="1"/>
  <c r="B86" i="11"/>
  <c r="B87" i="11"/>
  <c r="B88" i="11"/>
  <c r="B89" i="11"/>
  <c r="B90" i="11"/>
  <c r="B91" i="11"/>
  <c r="B92" i="11"/>
  <c r="B93" i="11"/>
  <c r="D93" i="11"/>
  <c r="B94" i="11"/>
  <c r="D94" i="11" s="1"/>
  <c r="B95" i="11"/>
  <c r="B100" i="11"/>
  <c r="B101" i="11"/>
  <c r="B102" i="11"/>
  <c r="B103" i="11"/>
  <c r="B104" i="11"/>
  <c r="C100" i="11"/>
  <c r="C101" i="11"/>
  <c r="C102" i="11"/>
  <c r="C103" i="11"/>
  <c r="C104" i="11"/>
  <c r="A4" i="8"/>
  <c r="F4" i="8"/>
  <c r="C4" i="8"/>
  <c r="H4" i="8" s="1"/>
  <c r="I4" i="8" s="1"/>
  <c r="A5" i="8"/>
  <c r="C5" i="8"/>
  <c r="H5" i="8" s="1"/>
  <c r="I5" i="8" s="1"/>
  <c r="A6" i="8"/>
  <c r="C6" i="8"/>
  <c r="H6" i="8"/>
  <c r="I6" i="8"/>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G23" i="7"/>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R589" i="3"/>
  <c r="AT589"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D8" i="4"/>
  <c r="D11" i="4"/>
  <c r="B11" i="4" s="1"/>
  <c r="D25" i="4"/>
  <c r="D36" i="4"/>
  <c r="D40" i="4"/>
  <c r="D53" i="4"/>
  <c r="D62" i="4"/>
  <c r="D67" i="4"/>
  <c r="D74" i="4"/>
  <c r="D95" i="4"/>
  <c r="D104" i="4"/>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G12" i="4" s="1"/>
  <c r="H8" i="4"/>
  <c r="I8" i="4"/>
  <c r="I12" i="4" s="1"/>
  <c r="I11" i="4"/>
  <c r="J8" i="4"/>
  <c r="J11" i="4"/>
  <c r="J25" i="4"/>
  <c r="J36" i="4"/>
  <c r="J40" i="4"/>
  <c r="J53" i="4"/>
  <c r="J62" i="4"/>
  <c r="J67" i="4"/>
  <c r="J74" i="4"/>
  <c r="J95" i="4"/>
  <c r="J104" i="4"/>
  <c r="K8" i="4"/>
  <c r="K11" i="4"/>
  <c r="K63" i="4" s="1"/>
  <c r="K96" i="4" s="1"/>
  <c r="K105" i="4" s="1"/>
  <c r="L8" i="4"/>
  <c r="L12" i="4" s="1"/>
  <c r="L11" i="4"/>
  <c r="M8" i="4"/>
  <c r="M11" i="4"/>
  <c r="N8" i="4"/>
  <c r="N12" i="4" s="1"/>
  <c r="O8" i="4"/>
  <c r="Q8" i="4"/>
  <c r="Q12" i="4" s="1"/>
  <c r="Q11" i="4"/>
  <c r="B9" i="4"/>
  <c r="B10"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G104" i="4"/>
  <c r="H104" i="4"/>
  <c r="K104" i="4"/>
  <c r="L104" i="4"/>
  <c r="Q104" i="4"/>
  <c r="E108" i="4"/>
  <c r="F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49" i="11"/>
  <c r="D39" i="11"/>
  <c r="D67" i="11"/>
  <c r="D31" i="11"/>
  <c r="D6" i="11"/>
  <c r="D32" i="11"/>
  <c r="D15" i="11"/>
  <c r="D71" i="11"/>
  <c r="D18" i="11"/>
  <c r="D102" i="11"/>
  <c r="D60" i="11"/>
  <c r="D8" i="11"/>
  <c r="D56" i="11"/>
  <c r="D61" i="11"/>
  <c r="D101" i="11"/>
  <c r="D90" i="11"/>
  <c r="D44" i="11"/>
  <c r="D57" i="11"/>
  <c r="AG432" i="3"/>
  <c r="AI27" i="15" s="1"/>
  <c r="B63" i="11"/>
  <c r="D100" i="11"/>
  <c r="D82" i="11"/>
  <c r="D46" i="11"/>
  <c r="D12" i="13"/>
  <c r="D77" i="11"/>
  <c r="D20" i="11"/>
  <c r="D5" i="11"/>
  <c r="B11" i="13"/>
  <c r="C37" i="11" l="1"/>
  <c r="F25" i="13"/>
  <c r="D34" i="11"/>
  <c r="B36" i="4"/>
  <c r="O63" i="4"/>
  <c r="O96" i="4" s="1"/>
  <c r="L63" i="4"/>
  <c r="L96" i="4" s="1"/>
  <c r="L105" i="4" s="1"/>
  <c r="D103" i="11"/>
  <c r="D74" i="11"/>
  <c r="D68" i="11"/>
  <c r="D36" i="11"/>
  <c r="B37" i="11"/>
  <c r="D37" i="11" s="1"/>
  <c r="C9" i="11"/>
  <c r="D9" i="11" s="1"/>
  <c r="R36" i="4"/>
  <c r="N63" i="4"/>
  <c r="N96" i="4" s="1"/>
  <c r="N105" i="4" s="1"/>
  <c r="D40" i="11"/>
  <c r="P63" i="4"/>
  <c r="P96" i="4" s="1"/>
  <c r="P105" i="4" s="1"/>
  <c r="K12" i="4"/>
  <c r="D27" i="11"/>
  <c r="G63" i="13"/>
  <c r="G96" i="13" s="1"/>
  <c r="G105" i="13" s="1"/>
  <c r="G107" i="13" s="1"/>
  <c r="B67" i="4"/>
  <c r="D33" i="11"/>
  <c r="R67" i="4"/>
  <c r="D41" i="11"/>
  <c r="F12" i="4"/>
  <c r="M63" i="4"/>
  <c r="M96" i="4" s="1"/>
  <c r="M105" i="4" s="1"/>
  <c r="D63" i="13"/>
  <c r="D96" i="13" s="1"/>
  <c r="D105" i="13" s="1"/>
  <c r="D91" i="11"/>
  <c r="D83" i="11"/>
  <c r="I63" i="13"/>
  <c r="I96" i="13" s="1"/>
  <c r="D78" i="11"/>
  <c r="Q63" i="4"/>
  <c r="Q96" i="4" s="1"/>
  <c r="AI709" i="3"/>
  <c r="D87" i="11"/>
  <c r="D24" i="11"/>
  <c r="R8" i="4"/>
  <c r="J63" i="4"/>
  <c r="J96" i="4" s="1"/>
  <c r="J105" i="4" s="1"/>
  <c r="D14" i="11"/>
  <c r="D10" i="11"/>
  <c r="C25" i="13"/>
  <c r="C63" i="13" s="1"/>
  <c r="C96" i="13" s="1"/>
  <c r="C74" i="13"/>
  <c r="B74" i="4"/>
  <c r="R74" i="4"/>
  <c r="C75" i="11"/>
  <c r="D75" i="11" s="1"/>
  <c r="B25" i="4"/>
  <c r="R78" i="4"/>
  <c r="R40" i="4"/>
  <c r="R25" i="4"/>
  <c r="R53" i="4"/>
  <c r="R62" i="4"/>
  <c r="G63" i="4"/>
  <c r="G96" i="4" s="1"/>
  <c r="G105" i="4" s="1"/>
  <c r="O105" i="4"/>
  <c r="Q105" i="4"/>
  <c r="AI713" i="3"/>
  <c r="AI712" i="3"/>
  <c r="C12" i="11"/>
  <c r="C13" i="11" s="1"/>
  <c r="F63" i="13"/>
  <c r="F96" i="13" s="1"/>
  <c r="C12" i="13"/>
  <c r="S63" i="4"/>
  <c r="E63" i="13" s="1"/>
  <c r="C96" i="11"/>
  <c r="B79" i="11"/>
  <c r="C79" i="11"/>
  <c r="B78" i="4"/>
  <c r="C63" i="11"/>
  <c r="D63" i="11" s="1"/>
  <c r="B53" i="4"/>
  <c r="B54" i="11"/>
  <c r="D54" i="11" s="1"/>
  <c r="D19" i="11"/>
  <c r="D63" i="4"/>
  <c r="D96" i="4" s="1"/>
  <c r="D105" i="4" s="1"/>
  <c r="B12" i="11"/>
  <c r="B13" i="11" s="1"/>
  <c r="AI711" i="3"/>
  <c r="M12" i="4"/>
  <c r="D45" i="11"/>
  <c r="B62" i="4"/>
  <c r="B8" i="4"/>
  <c r="D12" i="4"/>
  <c r="J12" i="4"/>
  <c r="E25" i="13"/>
  <c r="B26" i="11"/>
  <c r="R95" i="4"/>
  <c r="D95" i="11"/>
  <c r="B40" i="4"/>
  <c r="D66" i="11"/>
  <c r="I63" i="4"/>
  <c r="I96" i="4" s="1"/>
  <c r="M38" i="7"/>
  <c r="U35" i="7"/>
  <c r="U38" i="7" s="1"/>
  <c r="S35" i="7"/>
  <c r="S38" i="7" s="1"/>
  <c r="E38" i="7"/>
  <c r="I35" i="7"/>
  <c r="I38" i="7" s="1"/>
  <c r="K35" i="7"/>
  <c r="K38" i="7" s="1"/>
  <c r="W35" i="7"/>
  <c r="W38" i="7" s="1"/>
  <c r="Y35" i="7"/>
  <c r="Y38" i="7" s="1"/>
  <c r="AD7" i="15"/>
  <c r="C63" i="4"/>
  <c r="C96" i="4" s="1"/>
  <c r="C26" i="11"/>
  <c r="G35" i="7"/>
  <c r="G38" i="7" s="1"/>
  <c r="O35" i="7"/>
  <c r="O38" i="7" s="1"/>
  <c r="BA621" i="3"/>
  <c r="BZ621" i="3"/>
  <c r="AE35" i="7"/>
  <c r="AE38" i="7" s="1"/>
  <c r="AA35" i="7"/>
  <c r="AA38" i="7" s="1"/>
  <c r="BU621" i="3"/>
  <c r="BF621" i="3"/>
  <c r="AG35" i="7"/>
  <c r="AG38" i="7" s="1"/>
  <c r="Q35" i="7"/>
  <c r="Q38" i="7" s="1"/>
  <c r="AC35" i="7"/>
  <c r="AC38" i="7" s="1"/>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AN891" i="3"/>
  <c r="AQ882" i="3" s="1"/>
  <c r="Y778" i="3"/>
  <c r="BF614" i="3"/>
  <c r="BA633" i="3"/>
  <c r="BA614" i="3"/>
  <c r="BP621" i="3"/>
  <c r="BU633" i="3"/>
  <c r="BZ633" i="3"/>
  <c r="BP633" i="3"/>
  <c r="AT675" i="3"/>
  <c r="AU654" i="3" s="1"/>
  <c r="AV654" i="3" s="1"/>
  <c r="AT237" i="3"/>
  <c r="BB239" i="3" s="1"/>
  <c r="T262" i="3" s="1"/>
  <c r="BF633" i="3"/>
  <c r="BU614" i="3"/>
  <c r="P734" i="3"/>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B96" i="11"/>
  <c r="B95" i="4"/>
  <c r="T63" i="4"/>
  <c r="T96" i="4" s="1"/>
  <c r="T98" i="4" s="1"/>
  <c r="D11" i="11"/>
  <c r="C12" i="4"/>
  <c r="B12" i="13" s="1"/>
  <c r="D79" i="11" l="1"/>
  <c r="B64" i="11"/>
  <c r="B97" i="11" s="1"/>
  <c r="D96" i="11"/>
  <c r="D12" i="11"/>
  <c r="Z789" i="3"/>
  <c r="E6" i="7" s="1"/>
  <c r="E7" i="7" s="1"/>
  <c r="M922" i="3"/>
  <c r="M923" i="3" s="1"/>
  <c r="T104" i="4"/>
  <c r="H104" i="13" s="1"/>
  <c r="H98" i="13"/>
  <c r="I98" i="13" s="1"/>
  <c r="I104" i="13" s="1"/>
  <c r="I105" i="13" s="1"/>
  <c r="I107" i="13" s="1"/>
  <c r="S96" i="4"/>
  <c r="B63" i="4"/>
  <c r="D26" i="11"/>
  <c r="B12" i="4"/>
  <c r="D13" i="11"/>
  <c r="BK635" i="3"/>
  <c r="V949" i="3" s="1"/>
  <c r="AD949" i="3" s="1"/>
  <c r="Y780" i="3"/>
  <c r="B63" i="13"/>
  <c r="C64" i="11"/>
  <c r="BA635" i="3"/>
  <c r="V947" i="3" s="1"/>
  <c r="AD947" i="3" s="1"/>
  <c r="AC863" i="3"/>
  <c r="BP635" i="3"/>
  <c r="V950" i="3" s="1"/>
  <c r="AD950" i="3" s="1"/>
  <c r="BF635" i="3"/>
  <c r="V948" i="3" s="1"/>
  <c r="AD948" i="3" s="1"/>
  <c r="AU673" i="3"/>
  <c r="AV673" i="3" s="1"/>
  <c r="BZ635" i="3"/>
  <c r="G30" i="7"/>
  <c r="I1003" i="3"/>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I21" i="7"/>
  <c r="I30" i="7" s="1"/>
  <c r="K8" i="7"/>
  <c r="I9" i="7"/>
  <c r="K21" i="7"/>
  <c r="K30" i="7" s="1"/>
  <c r="M14" i="7"/>
  <c r="H63" i="13"/>
  <c r="H96" i="13"/>
  <c r="B96" i="13"/>
  <c r="B96" i="4"/>
  <c r="G108" i="4" s="1"/>
  <c r="D64" i="11" l="1"/>
  <c r="E52" i="7"/>
  <c r="G6" i="7"/>
  <c r="G7" i="7" s="1"/>
  <c r="S98" i="4"/>
  <c r="C98" i="4" s="1"/>
  <c r="I98" i="4" s="1"/>
  <c r="T105" i="4"/>
  <c r="T107" i="4" s="1"/>
  <c r="H107" i="13" s="1"/>
  <c r="E96" i="13"/>
  <c r="AU675" i="3"/>
  <c r="C97" i="11"/>
  <c r="D97" i="11" s="1"/>
  <c r="Z798" i="3"/>
  <c r="V951" i="3"/>
  <c r="AD951" i="3" s="1"/>
  <c r="AD953" i="3" s="1"/>
  <c r="E10" i="7"/>
  <c r="E32" i="7" s="1"/>
  <c r="E40" i="7" s="1"/>
  <c r="G4" i="7"/>
  <c r="G5" i="7" s="1"/>
  <c r="AV650" i="3"/>
  <c r="AV675" i="3" s="1"/>
  <c r="AD734" i="3" s="1"/>
  <c r="M21" i="7"/>
  <c r="M30" i="7" s="1"/>
  <c r="O14" i="7"/>
  <c r="M8" i="7"/>
  <c r="K9" i="7"/>
  <c r="I6" i="7" l="1"/>
  <c r="I104" i="4"/>
  <c r="I105" i="4" s="1"/>
  <c r="AG621" i="3"/>
  <c r="H105" i="13"/>
  <c r="AD11" i="15"/>
  <c r="AD23" i="15" s="1"/>
  <c r="AD26" i="15" s="1"/>
  <c r="AD28" i="15" s="1"/>
  <c r="AI11" i="15"/>
  <c r="AI23" i="15" s="1"/>
  <c r="AI26" i="15" s="1"/>
  <c r="AI28" i="15" s="1"/>
  <c r="AD974" i="3"/>
  <c r="AD988" i="3"/>
  <c r="V983" i="3"/>
  <c r="AD955" i="3"/>
  <c r="AQ877" i="3" s="1"/>
  <c r="B1014" i="3"/>
  <c r="V952" i="3"/>
  <c r="G10" i="7"/>
  <c r="G32" i="7" s="1"/>
  <c r="G44" i="7" s="1"/>
  <c r="E44" i="7"/>
  <c r="I4" i="7"/>
  <c r="I5" i="7" s="1"/>
  <c r="I7" i="7"/>
  <c r="K6" i="7"/>
  <c r="M9" i="7"/>
  <c r="O8" i="7"/>
  <c r="O21" i="7"/>
  <c r="O30" i="7" s="1"/>
  <c r="Q14" i="7"/>
  <c r="E54" i="7"/>
  <c r="E43" i="7"/>
  <c r="E42" i="7"/>
  <c r="I108" i="4" l="1"/>
  <c r="AE549" i="3"/>
  <c r="E56" i="7"/>
  <c r="E59" i="7" s="1"/>
  <c r="AM826" i="3"/>
  <c r="AM829" i="3"/>
  <c r="AM834" i="3" s="1"/>
  <c r="AQ885" i="3"/>
  <c r="AQ888" i="3" s="1"/>
  <c r="B1012" i="3" s="1"/>
  <c r="G40" i="7"/>
  <c r="G54" i="7" s="1"/>
  <c r="G56" i="7" s="1"/>
  <c r="G59" i="7" s="1"/>
  <c r="K4" i="7"/>
  <c r="M4" i="7" s="1"/>
  <c r="M5" i="7" s="1"/>
  <c r="I10" i="7"/>
  <c r="I32" i="7" s="1"/>
  <c r="I44" i="7" s="1"/>
  <c r="Q21" i="7"/>
  <c r="Q30" i="7" s="1"/>
  <c r="S14" i="7"/>
  <c r="M6" i="7"/>
  <c r="K7" i="7"/>
  <c r="O9" i="7"/>
  <c r="Q8" i="7"/>
  <c r="AQ886" i="3" l="1"/>
  <c r="G42" i="7"/>
  <c r="G43" i="7"/>
  <c r="O4" i="7"/>
  <c r="O5" i="7" s="1"/>
  <c r="K5" i="7"/>
  <c r="K10" i="7" s="1"/>
  <c r="K32" i="7" s="1"/>
  <c r="K40" i="7" s="1"/>
  <c r="I40" i="7"/>
  <c r="I42" i="7" s="1"/>
  <c r="U14" i="7"/>
  <c r="S21" i="7"/>
  <c r="S30" i="7" s="1"/>
  <c r="Q9" i="7"/>
  <c r="S8" i="7"/>
  <c r="O6" i="7"/>
  <c r="M7" i="7"/>
  <c r="M10" i="7" s="1"/>
  <c r="M32" i="7" s="1"/>
  <c r="I54" i="7" l="1"/>
  <c r="I56" i="7" s="1"/>
  <c r="I59" i="7" s="1"/>
  <c r="I43" i="7"/>
  <c r="Q4" i="7"/>
  <c r="S4" i="7" s="1"/>
  <c r="K44" i="7"/>
  <c r="M40" i="7"/>
  <c r="M44" i="7"/>
  <c r="S9" i="7"/>
  <c r="U8" i="7"/>
  <c r="U21" i="7"/>
  <c r="U30" i="7" s="1"/>
  <c r="W14" i="7"/>
  <c r="K43" i="7"/>
  <c r="K42" i="7"/>
  <c r="K54" i="7"/>
  <c r="K56" i="7" s="1"/>
  <c r="K59" i="7" s="1"/>
  <c r="O7" i="7"/>
  <c r="O10" i="7" s="1"/>
  <c r="O32" i="7" s="1"/>
  <c r="Q6" i="7"/>
  <c r="Q5" i="7" l="1"/>
  <c r="O40" i="7"/>
  <c r="O44" i="7"/>
  <c r="W21" i="7"/>
  <c r="W30" i="7" s="1"/>
  <c r="Y14" i="7"/>
  <c r="W8" i="7"/>
  <c r="U9" i="7"/>
  <c r="M43" i="7"/>
  <c r="M42" i="7"/>
  <c r="M54" i="7"/>
  <c r="M56" i="7" s="1"/>
  <c r="M59" i="7" s="1"/>
  <c r="U4" i="7"/>
  <c r="S5" i="7"/>
  <c r="Q7" i="7"/>
  <c r="S6" i="7"/>
  <c r="Q10" i="7" l="1"/>
  <c r="Q32" i="7" s="1"/>
  <c r="Q44" i="7" s="1"/>
  <c r="W4" i="7"/>
  <c r="U5" i="7"/>
  <c r="Y8" i="7"/>
  <c r="W9" i="7"/>
  <c r="Y21" i="7"/>
  <c r="Y30" i="7" s="1"/>
  <c r="AA14" i="7"/>
  <c r="S7" i="7"/>
  <c r="S10" i="7" s="1"/>
  <c r="S32" i="7" s="1"/>
  <c r="U6" i="7"/>
  <c r="O54" i="7"/>
  <c r="O56" i="7" s="1"/>
  <c r="O59" i="7" s="1"/>
  <c r="O42" i="7"/>
  <c r="O43" i="7"/>
  <c r="Q40" i="7" l="1"/>
  <c r="Q42" i="7" s="1"/>
  <c r="S40" i="7"/>
  <c r="S44" i="7"/>
  <c r="W6" i="7"/>
  <c r="U7" i="7"/>
  <c r="U10" i="7" s="1"/>
  <c r="U32" i="7" s="1"/>
  <c r="Y4" i="7"/>
  <c r="W5" i="7"/>
  <c r="AA21" i="7"/>
  <c r="AA30" i="7" s="1"/>
  <c r="AC14" i="7"/>
  <c r="Y9" i="7"/>
  <c r="AA8" i="7"/>
  <c r="Q54" i="7" l="1"/>
  <c r="Q56" i="7" s="1"/>
  <c r="Q59" i="7" s="1"/>
  <c r="Q43" i="7"/>
  <c r="U40" i="7"/>
  <c r="U44" i="7"/>
  <c r="AE14" i="7"/>
  <c r="AC21" i="7"/>
  <c r="AC30" i="7" s="1"/>
  <c r="W7" i="7"/>
  <c r="W10" i="7" s="1"/>
  <c r="W32" i="7" s="1"/>
  <c r="Y6" i="7"/>
  <c r="AA4" i="7"/>
  <c r="Y5" i="7"/>
  <c r="AA9" i="7"/>
  <c r="AC8" i="7"/>
  <c r="S54" i="7"/>
  <c r="S56" i="7" s="1"/>
  <c r="S59" i="7" s="1"/>
  <c r="S43" i="7"/>
  <c r="S42" i="7"/>
  <c r="AA6" i="7" l="1"/>
  <c r="Y7" i="7"/>
  <c r="Y10" i="7" s="1"/>
  <c r="Y32" i="7" s="1"/>
  <c r="AE8" i="7"/>
  <c r="AC9" i="7"/>
  <c r="AC4" i="7"/>
  <c r="AA5" i="7"/>
  <c r="W44" i="7"/>
  <c r="W40" i="7"/>
  <c r="AG14" i="7"/>
  <c r="AG21" i="7" s="1"/>
  <c r="AG30" i="7" s="1"/>
  <c r="AE21" i="7"/>
  <c r="AE30" i="7" s="1"/>
  <c r="U43" i="7"/>
  <c r="U42" i="7"/>
  <c r="U54" i="7"/>
  <c r="U56" i="7" s="1"/>
  <c r="U59" i="7" s="1"/>
  <c r="W42" i="7" l="1"/>
  <c r="W54" i="7"/>
  <c r="W56" i="7" s="1"/>
  <c r="W59" i="7" s="1"/>
  <c r="W43" i="7"/>
  <c r="Y40" i="7"/>
  <c r="Y44" i="7"/>
  <c r="AE4" i="7"/>
  <c r="AC5" i="7"/>
  <c r="AE9" i="7"/>
  <c r="AG8" i="7"/>
  <c r="AG9" i="7" s="1"/>
  <c r="AA7" i="7"/>
  <c r="AA10" i="7" s="1"/>
  <c r="AA32" i="7" s="1"/>
  <c r="AC6" i="7"/>
  <c r="AA44" i="7" l="1"/>
  <c r="AA40" i="7"/>
  <c r="AE5" i="7"/>
  <c r="AG4" i="7"/>
  <c r="Y43" i="7"/>
  <c r="Y42" i="7"/>
  <c r="Y54" i="7"/>
  <c r="Y59"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 r="CJ590" i="3"/>
  <c r="CJ614" i="3" s="1"/>
  <c r="AV590" i="3"/>
  <c r="AX590" i="3" s="1"/>
  <c r="AX614" i="3" s="1"/>
  <c r="X1003" i="3" s="1"/>
  <c r="DD590" i="3"/>
  <c r="DD614" i="3" s="1"/>
  <c r="CY590" i="3"/>
  <c r="CY614" i="3" s="1"/>
  <c r="CT590" i="3"/>
  <c r="CT614" i="3" s="1"/>
  <c r="CO590" i="3"/>
  <c r="CO614" i="3" s="1"/>
  <c r="CE590" i="3"/>
  <c r="CE614" i="3" s="1"/>
  <c r="AR590" i="3"/>
  <c r="AT590" i="3" s="1"/>
  <c r="AT614" i="3" s="1"/>
  <c r="X999" i="3" s="1"/>
  <c r="AI710" i="3"/>
  <c r="AA1000" i="3" l="1"/>
  <c r="AO907" i="3"/>
  <c r="AD1000" i="3" s="1"/>
  <c r="AO906" i="3"/>
  <c r="AD996" i="3" s="1"/>
  <c r="AA996" i="3"/>
  <c r="AD1004" i="3" l="1"/>
  <c r="T24" i="15" l="1"/>
  <c r="C104" i="4" l="1"/>
  <c r="B99" i="11"/>
  <c r="B105" i="11" s="1"/>
  <c r="B98" i="13"/>
  <c r="C98" i="13" s="1"/>
  <c r="C104" i="13" s="1"/>
  <c r="C105" i="13" s="1"/>
  <c r="C99" i="11"/>
  <c r="B98" i="4"/>
  <c r="C105" i="11" l="1"/>
  <c r="C106" i="11" s="1"/>
  <c r="D99" i="11"/>
  <c r="AA912" i="3"/>
  <c r="J108" i="4"/>
  <c r="D105" i="11"/>
  <c r="B106" i="11"/>
  <c r="B104" i="13"/>
  <c r="B104" i="4"/>
  <c r="C105" i="4"/>
  <c r="E98" i="13"/>
  <c r="F98" i="13" s="1"/>
  <c r="F104" i="13" s="1"/>
  <c r="F105" i="13" s="1"/>
  <c r="F107" i="13" s="1"/>
  <c r="T11" i="15" s="1"/>
  <c r="T23" i="15" s="1"/>
  <c r="S104" i="4"/>
  <c r="S105" i="4" l="1"/>
  <c r="E104" i="13"/>
  <c r="T26" i="15"/>
  <c r="T28" i="15" s="1"/>
  <c r="H9" i="4"/>
  <c r="B105" i="13"/>
  <c r="B105" i="4"/>
  <c r="AC442" i="3"/>
  <c r="D106" i="11"/>
  <c r="E9" i="4" l="1"/>
  <c r="H11" i="4"/>
  <c r="AC441" i="3"/>
  <c r="AB47" i="15"/>
  <c r="S107" i="4"/>
  <c r="E105" i="13"/>
  <c r="AG630" i="3"/>
  <c r="AE547" i="3"/>
  <c r="AA911" i="3" s="1"/>
  <c r="H108" i="4"/>
  <c r="H63" i="4" l="1"/>
  <c r="H96" i="4" s="1"/>
  <c r="H105" i="4" s="1"/>
  <c r="H12" i="4"/>
  <c r="E11" i="4"/>
  <c r="E12" i="4" s="1"/>
  <c r="R9" i="4"/>
  <c r="R11" i="4" s="1"/>
  <c r="R12" i="4" s="1"/>
  <c r="E107" i="13"/>
  <c r="Y11" i="15" s="1"/>
  <c r="Y23" i="15" s="1"/>
  <c r="AC443" i="3"/>
  <c r="AG632" i="3"/>
  <c r="AB48" i="15"/>
  <c r="AB49" i="15" s="1"/>
  <c r="AB54" i="15" s="1"/>
  <c r="AB55" i="15" s="1"/>
  <c r="AE548" i="3" l="1"/>
  <c r="Y26" i="15"/>
  <c r="Y28" i="15" s="1"/>
  <c r="Y38" i="15" s="1"/>
  <c r="Y40" i="15" s="1"/>
  <c r="AD38" i="15"/>
  <c r="AD40" i="15" s="1"/>
  <c r="Y41" i="15" l="1"/>
  <c r="AB56" i="15" s="1"/>
  <c r="M26" i="3" s="1"/>
  <c r="P203" i="3" s="1"/>
  <c r="Y64" i="15"/>
  <c r="Y68" i="15" s="1"/>
  <c r="T29" i="15"/>
  <c r="AB57" i="15" l="1"/>
  <c r="AB59" i="15" s="1"/>
  <c r="AB76" i="15" s="1"/>
  <c r="AB77" i="15" s="1"/>
  <c r="M27" i="3" s="1"/>
  <c r="P204" i="3" s="1"/>
  <c r="E104" i="4"/>
  <c r="F104" i="4"/>
  <c r="AB86" i="15" l="1"/>
  <c r="AB78" i="15"/>
  <c r="AB80" i="15" s="1"/>
  <c r="J81" i="15" s="1"/>
  <c r="AB87" i="15"/>
  <c r="R98" i="4"/>
  <c r="R104" i="4" s="1"/>
  <c r="F63" i="4"/>
  <c r="F96" i="4" s="1"/>
  <c r="F105" i="4" s="1"/>
  <c r="E13" i="4"/>
  <c r="E63" i="4" s="1"/>
  <c r="E96" i="4" s="1"/>
  <c r="E105" i="4" s="1"/>
  <c r="R13" i="4" l="1"/>
  <c r="R63" i="4" s="1"/>
  <c r="R96" i="4" s="1"/>
  <c r="R105" i="4" s="1"/>
  <c r="AE557" i="3" l="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<sst xmlns="http://schemas.openxmlformats.org/spreadsheetml/2006/main" count="3606" uniqueCount="1795">
  <si>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</si>
  <si>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</si>
  <si>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</si>
  <si>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</si>
  <si>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</si>
  <si>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</si>
  <si>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</si>
  <si>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</si>
  <si>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</si>
  <si>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</si>
  <si>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</si>
  <si>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</si>
  <si>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</si>
  <si>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</si>
  <si>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</si>
  <si>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</si>
  <si>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</si>
  <si>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</si>
  <si>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</si>
  <si>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</si>
  <si>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</si>
  <si>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</si>
  <si>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</si>
  <si>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</si>
  <si>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</si>
  <si>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</si>
  <si>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</si>
  <si>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</si>
  <si>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</si>
  <si>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</si>
  <si>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</si>
  <si>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</si>
  <si>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</si>
  <si>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</si>
  <si>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</si>
  <si>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</si>
  <si>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</si>
  <si>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</si>
  <si>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</si>
  <si>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</si>
  <si>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</si>
  <si>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</si>
  <si>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</si>
  <si>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</si>
  <si>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</si>
  <si>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</si>
  <si>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</si>
  <si>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</si>
  <si>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</si>
  <si>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</si>
  <si>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</si>
  <si>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</si>
  <si>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</si>
  <si>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</si>
  <si>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</si>
  <si>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</si>
  <si>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</si>
  <si>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</si>
  <si>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</si>
  <si>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</si>
  <si>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</si>
  <si>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</si>
  <si>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</si>
  <si>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</si>
  <si>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</si>
  <si>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</si>
  <si>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</si>
  <si>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</si>
  <si>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</si>
  <si>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</si>
  <si>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</si>
  <si>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</si>
  <si>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</si>
  <si>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</si>
  <si>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</si>
  <si>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</si>
  <si>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</si>
  <si>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</si>
  <si>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</si>
  <si>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</si>
  <si>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</si>
  <si>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</si>
  <si>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</si>
  <si>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</si>
  <si>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</si>
  <si>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</si>
  <si>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</si>
  <si>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</si>
  <si>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</si>
  <si>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</si>
  <si>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</si>
  <si>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</si>
  <si>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</si>
  <si>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</si>
  <si>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</si>
  <si>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</si>
  <si>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</si>
  <si>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</si>
  <si>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</si>
  <si>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</si>
  <si>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</si>
  <si>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</si>
  <si>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</si>
  <si>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</si>
  <si>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</si>
  <si>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</si>
  <si>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</si>
  <si>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</si>
  <si>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</si>
  <si>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</si>
  <si>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</si>
  <si>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</si>
  <si>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</si>
  <si>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</si>
  <si>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</si>
  <si>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</si>
  <si>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</si>
  <si>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</si>
  <si>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</si>
  <si>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</si>
  <si>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</si>
  <si>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</si>
  <si>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</si>
  <si>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</si>
  <si>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</si>
  <si>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</si>
  <si>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</si>
  <si>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</si>
  <si>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</si>
  <si>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</si>
  <si>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</si>
  <si>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</si>
  <si>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</si>
  <si>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</si>
  <si>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</si>
  <si>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</si>
  <si>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</si>
  <si>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</si>
  <si>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</si>
  <si>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</si>
  <si>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</si>
  <si>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</si>
  <si>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</si>
  <si>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</si>
  <si>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</si>
  <si>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</si>
  <si>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</si>
  <si>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</si>
  <si>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</si>
  <si>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</si>
  <si>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</si>
  <si>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</si>
  <si>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</si>
  <si>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</si>
  <si>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</si>
  <si>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</si>
  <si>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</si>
  <si>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</si>
  <si>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</si>
  <si>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</si>
  <si>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</si>
  <si>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</si>
  <si>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</si>
  <si>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</si>
  <si>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</si>
  <si>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</si>
  <si>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</si>
  <si>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</si>
  <si>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</si>
  <si>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</si>
  <si>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</si>
  <si>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</si>
  <si>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</si>
  <si>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</si>
  <si>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</si>
  <si>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</si>
  <si>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</si>
  <si>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</si>
  <si>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</si>
  <si>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</si>
  <si>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</si>
  <si>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</si>
  <si>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</si>
  <si>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</si>
  <si>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</si>
  <si>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</si>
  <si>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</si>
  <si>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</si>
  <si>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</si>
  <si>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</si>
  <si>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</si>
  <si>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</si>
  <si>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</si>
  <si>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</si>
  <si>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</si>
  <si>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</si>
  <si>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</si>
  <si>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</si>
  <si>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</si>
  <si>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</si>
  <si>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</si>
  <si>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</si>
  <si>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</si>
  <si>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</si>
  <si>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</si>
  <si>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</si>
  <si>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</si>
  <si>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</si>
  <si>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</si>
  <si>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</si>
  <si>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</si>
  <si>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</si>
  <si>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</si>
  <si>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</si>
  <si>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</si>
  <si>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</si>
  <si>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</si>
  <si>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</si>
  <si>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</si>
  <si>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</si>
  <si>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</si>
  <si>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</si>
  <si>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</si>
  <si>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</si>
  <si>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</si>
  <si>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</si>
  <si>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</si>
  <si>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</si>
  <si>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</si>
  <si>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</si>
  <si>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</si>
  <si>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</si>
  <si>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</si>
  <si>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</si>
  <si>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</si>
  <si>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</si>
  <si>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</si>
  <si>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</si>
  <si>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</si>
  <si>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</si>
  <si>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</si>
  <si>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</si>
  <si>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</si>
  <si>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</si>
  <si>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</si>
  <si>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</si>
  <si>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</si>
  <si>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</si>
  <si>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</si>
  <si>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</si>
  <si>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</si>
  <si>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</si>
  <si>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</si>
  <si>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</si>
  <si>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</si>
  <si>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</si>
  <si>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</si>
  <si>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</si>
  <si>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</si>
  <si>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</si>
  <si>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</si>
  <si>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</si>
  <si>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</si>
  <si>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</si>
  <si>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</si>
  <si>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</si>
  <si>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</si>
  <si>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</si>
  <si>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</si>
  <si>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</si>
  <si>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</si>
  <si>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</si>
  <si>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</si>
  <si>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</si>
  <si>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</si>
  <si>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</si>
  <si>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</si>
  <si>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</si>
  <si>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</si>
  <si>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</si>
  <si>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</si>
  <si>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</si>
  <si>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</si>
  <si>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</si>
  <si>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</si>
  <si>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</si>
  <si>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</si>
  <si>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</si>
  <si>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</si>
  <si>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</si>
  <si>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</si>
  <si>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</si>
  <si>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</si>
  <si>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</si>
  <si>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</si>
  <si>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</si>
  <si>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</si>
  <si>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</si>
  <si>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</si>
  <si>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</si>
  <si>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</si>
  <si>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</si>
  <si>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</si>
  <si>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</si>
  <si>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</si>
  <si>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</si>
  <si>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</si>
  <si>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</si>
  <si>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</si>
  <si>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</si>
  <si>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</si>
  <si>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</si>
  <si>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</si>
  <si>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</si>
  <si>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</si>
  <si>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</si>
  <si>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</si>
  <si>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</si>
  <si>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</si>
  <si>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</si>
  <si>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</si>
  <si>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</si>
  <si>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</si>
  <si>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</si>
  <si>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</si>
  <si>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</si>
  <si>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</si>
  <si>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</si>
  <si>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</si>
  <si>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</si>
  <si>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</si>
  <si>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</si>
  <si>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</si>
  <si>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</si>
  <si>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</si>
  <si>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</si>
  <si>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</si>
  <si>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</si>
  <si>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</si>
  <si>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</si>
  <si>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</si>
  <si>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</si>
  <si>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</si>
  <si>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</si>
  <si>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</si>
  <si>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</si>
  <si>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</si>
  <si>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</si>
  <si>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</si>
  <si>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</si>
  <si>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</si>
  <si>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</si>
  <si>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</si>
  <si>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</si>
  <si>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</si>
  <si>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</si>
  <si>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</si>
  <si>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</si>
  <si>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</si>
  <si>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</si>
  <si>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</si>
  <si>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</si>
  <si>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</si>
  <si>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</si>
  <si>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</si>
  <si>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</si>
  <si>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</si>
  <si>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</si>
  <si>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</si>
  <si>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</si>
  <si>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</si>
  <si>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</si>
  <si>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</si>
  <si>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</si>
  <si>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</si>
  <si>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</si>
  <si>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</si>
  <si>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</si>
  <si>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</si>
  <si>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</si>
  <si>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</si>
  <si>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</si>
  <si>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</si>
  <si>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</si>
  <si>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</si>
  <si>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</si>
  <si>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</si>
  <si>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</si>
  <si>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</si>
  <si>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</si>
  <si>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</si>
  <si>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</si>
  <si>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</si>
  <si>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</si>
  <si>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</si>
  <si>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</si>
  <si>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</si>
  <si>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</si>
  <si>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</si>
  <si>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</si>
  <si>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</si>
  <si>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</si>
  <si>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</si>
  <si>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</si>
  <si>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</si>
  <si>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</si>
  <si>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</si>
  <si>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</si>
  <si>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</si>
  <si>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</si>
  <si>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</si>
  <si>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</si>
  <si>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</si>
  <si>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</si>
  <si>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</si>
  <si>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</si>
  <si>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</si>
  <si>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</si>
  <si>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</si>
  <si>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</si>
  <si>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</si>
  <si>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</si>
  <si>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</si>
  <si>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</si>
  <si>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</si>
  <si>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</si>
  <si>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</si>
  <si>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</si>
  <si>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</si>
  <si>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</si>
  <si>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</si>
  <si>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</si>
  <si>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</si>
  <si>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</si>
  <si>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</si>
  <si>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</si>
  <si>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</si>
  <si>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</si>
  <si>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</si>
  <si>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</si>
  <si>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</si>
  <si>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</si>
  <si>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</si>
  <si>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</si>
  <si>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</si>
  <si>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</si>
  <si>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</si>
  <si>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</si>
  <si>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</si>
  <si>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</si>
  <si>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</si>
  <si>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</si>
  <si>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</si>
  <si>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</si>
  <si>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</si>
  <si>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</si>
  <si>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</si>
  <si>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</si>
  <si>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</si>
  <si>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</si>
  <si>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</si>
  <si>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</si>
  <si>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</si>
  <si>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</si>
  <si>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</si>
  <si>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</si>
  <si>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</si>
  <si>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</si>
  <si>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</si>
  <si>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</si>
  <si>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</si>
  <si>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</si>
  <si>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</si>
  <si>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</si>
  <si>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</si>
  <si>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</si>
  <si>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</si>
  <si>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</si>
  <si>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</si>
  <si>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</si>
  <si>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</si>
  <si>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</si>
  <si>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</si>
  <si>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</si>
  <si>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</si>
  <si>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</si>
  <si>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</si>
  <si>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</si>
  <si>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</si>
  <si>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</si>
  <si>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</si>
  <si>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</si>
  <si>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</si>
  <si>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</si>
  <si>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</si>
  <si>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</si>
  <si>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</si>
  <si>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</si>
  <si>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</si>
  <si>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</si>
  <si>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</si>
  <si>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</si>
  <si>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</si>
  <si>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</si>
  <si>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</si>
  <si>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</si>
  <si>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</si>
  <si>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</si>
  <si>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</si>
  <si>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</si>
  <si>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</si>
  <si>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</si>
  <si>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</si>
  <si>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</si>
  <si>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</si>
  <si>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</si>
  <si>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</si>
  <si>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</si>
  <si>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</si>
  <si>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</si>
  <si>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</si>
  <si>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</si>
  <si>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</si>
  <si>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</si>
  <si>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</si>
  <si>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</si>
  <si>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</si>
  <si>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</si>
  <si>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</si>
  <si>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</si>
  <si>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</si>
  <si>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</si>
  <si>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</si>
  <si>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</si>
  <si>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</si>
  <si>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</si>
  <si>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</si>
  <si>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</si>
  <si>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</si>
  <si>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</si>
  <si>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</si>
  <si>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</si>
  <si>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</si>
  <si>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</si>
  <si>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</si>
  <si>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</si>
  <si>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</si>
  <si>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</si>
  <si>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</si>
  <si>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</si>
  <si>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</si>
  <si>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</si>
  <si>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</si>
  <si>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</si>
  <si>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</si>
  <si>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</si>
  <si>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</si>
  <si>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</si>
  <si>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</si>
  <si>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</si>
  <si>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</si>
  <si>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</si>
  <si>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</si>
  <si>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</si>
  <si>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</si>
  <si>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</si>
  <si>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</si>
  <si>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</si>
  <si>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</si>
  <si>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</si>
  <si>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</si>
  <si>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</si>
  <si>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</si>
  <si>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</si>
  <si>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</si>
  <si>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</si>
  <si>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</si>
  <si>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</si>
  <si>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</si>
  <si>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</si>
  <si>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</si>
  <si>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</si>
  <si>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</si>
  <si>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</si>
  <si>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</si>
  <si>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</si>
  <si>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</si>
  <si>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</si>
  <si>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</si>
  <si>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</si>
  <si>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</si>
  <si>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</si>
  <si>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</si>
  <si>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</si>
  <si>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</si>
  <si>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</si>
  <si>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</si>
  <si>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</si>
  <si>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</si>
  <si>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</si>
  <si>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</si>
  <si>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</si>
  <si>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</si>
  <si>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</si>
  <si>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</si>
  <si>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</si>
  <si>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</si>
  <si>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</si>
  <si>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</si>
  <si>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</si>
  <si>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</si>
  <si>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</si>
  <si>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</si>
  <si>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</si>
  <si>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</si>
  <si>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</si>
  <si>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</si>
  <si>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</si>
  <si>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</si>
  <si>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</si>
  <si>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</si>
  <si>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</si>
  <si>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</si>
  <si>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</si>
  <si>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</si>
  <si>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</si>
  <si>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</si>
  <si>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</si>
  <si>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</si>
  <si>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</si>
  <si>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</si>
  <si>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</si>
  <si>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</si>
  <si>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</si>
  <si>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</si>
  <si>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</si>
  <si>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</si>
  <si>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</si>
  <si>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</si>
  <si>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</si>
  <si>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</si>
  <si>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</si>
  <si>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</si>
  <si>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</si>
  <si>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</si>
  <si>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</si>
  <si>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</si>
  <si>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</si>
  <si>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</si>
  <si>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</si>
  <si>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</si>
  <si>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</si>
  <si>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</si>
  <si>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</si>
  <si>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</si>
  <si>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</si>
  <si>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</si>
  <si>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</si>
  <si>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</si>
  <si>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</si>
  <si>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</si>
  <si>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</si>
  <si>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</si>
  <si>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</si>
  <si>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</si>
  <si>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</si>
  <si>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</si>
  <si>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</si>
  <si>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</si>
  <si>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</si>
  <si>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</si>
  <si>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</si>
  <si>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</si>
  <si>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</si>
  <si>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</si>
  <si>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</si>
  <si>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</si>
  <si>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</si>
  <si>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</si>
  <si>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</si>
  <si>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</si>
  <si>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</si>
  <si>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</si>
  <si>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</si>
  <si>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</si>
  <si>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</si>
  <si>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</si>
  <si>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</si>
  <si>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</si>
  <si>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</si>
  <si>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</si>
  <si>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</si>
  <si>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</si>
  <si>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</si>
  <si>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</si>
  <si>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</si>
  <si>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</si>
  <si>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</si>
  <si>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</si>
  <si>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</si>
  <si>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</si>
  <si>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</si>
  <si>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</si>
  <si>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</si>
  <si>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</si>
  <si>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</si>
  <si>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</si>
  <si>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</si>
  <si>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</si>
  <si>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</si>
  <si>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</si>
  <si>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</si>
  <si>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</si>
  <si>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</si>
  <si>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</si>
  <si>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</si>
  <si>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</si>
  <si>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</si>
  <si>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</si>
  <si>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</si>
  <si>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</si>
  <si>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</si>
  <si>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</si>
  <si>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</si>
  <si>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</si>
  <si>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</si>
  <si>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</si>
  <si>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</si>
  <si>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</si>
  <si>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</si>
  <si>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</si>
  <si>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</si>
  <si>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</si>
  <si>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</si>
  <si>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</si>
  <si>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</si>
  <si>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</si>
  <si>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</si>
  <si>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</si>
  <si>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</si>
  <si>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</si>
  <si>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</si>
  <si>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</si>
  <si>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</si>
  <si>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</si>
  <si>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</si>
  <si>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</si>
  <si>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</si>
  <si>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</si>
  <si>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</si>
  <si>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</si>
  <si>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</si>
  <si>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</si>
  <si>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</si>
  <si>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</si>
  <si>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</si>
  <si>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</si>
  <si>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</si>
  <si>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</si>
  <si>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</si>
  <si>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</si>
  <si>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</si>
  <si>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</si>
  <si>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</si>
  <si>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</si>
  <si>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</si>
  <si>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</si>
  <si>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</si>
  <si>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</si>
  <si>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</si>
  <si>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</si>
  <si>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</si>
  <si>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</si>
  <si>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</si>
  <si>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</si>
  <si>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</si>
  <si>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</si>
  <si>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</si>
  <si>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</si>
  <si>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</si>
  <si>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</si>
  <si>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</si>
  <si>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</si>
  <si>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</si>
  <si>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</si>
  <si>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</si>
  <si>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</si>
  <si>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</si>
  <si>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</si>
  <si>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</si>
  <si>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</si>
  <si>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</si>
  <si>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</si>
  <si>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</si>
  <si>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</si>
  <si>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</si>
  <si>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</si>
  <si>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</si>
  <si>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</si>
  <si>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</si>
  <si>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</si>
  <si>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</si>
  <si>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</si>
  <si>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</si>
  <si>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</si>
  <si>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</si>
  <si>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</si>
  <si>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</si>
  <si>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</si>
  <si>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</si>
  <si>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</si>
  <si>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</si>
  <si>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</si>
  <si>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</si>
  <si>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</si>
  <si>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</si>
  <si>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</si>
  <si>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</si>
  <si>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</si>
  <si>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</si>
  <si>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</si>
  <si>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</si>
  <si>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</si>
  <si>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</si>
  <si>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</si>
  <si>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</si>
  <si>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</si>
  <si>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</si>
  <si>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</si>
  <si>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</si>
  <si>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</si>
  <si>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</si>
  <si>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</si>
  <si>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</si>
  <si>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</si>
  <si>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</si>
  <si>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</si>
  <si>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</si>
  <si>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</si>
  <si>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</si>
  <si>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</si>
  <si>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</si>
  <si>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</si>
  <si>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</si>
  <si>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</si>
  <si>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</si>
  <si>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</si>
  <si>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</si>
  <si>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</si>
  <si>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</si>
  <si>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</si>
  <si>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</si>
  <si>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</si>
  <si>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</si>
  <si>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</si>
  <si>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</si>
  <si>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</si>
  <si>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</si>
  <si>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</si>
  <si>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</si>
  <si>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</si>
  <si>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</si>
  <si>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</si>
  <si>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</si>
  <si>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</si>
  <si>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</si>
  <si>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</si>
  <si>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</si>
  <si>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</si>
  <si>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</si>
  <si>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</si>
  <si>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</si>
  <si>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</si>
  <si>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</si>
  <si>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</si>
  <si>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</si>
  <si>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</si>
  <si>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</si>
  <si>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</si>
  <si>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</si>
  <si>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</si>
  <si>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</si>
  <si>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</si>
  <si>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</si>
  <si>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</si>
  <si>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</si>
  <si>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</si>
  <si>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</si>
  <si>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</si>
  <si>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</si>
  <si>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</si>
  <si>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</si>
  <si>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</si>
  <si>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</si>
  <si>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</si>
  <si>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</si>
  <si>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</si>
  <si>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</si>
  <si>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</si>
  <si>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</si>
  <si>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</si>
  <si>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</si>
  <si>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</si>
  <si>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</si>
  <si>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</si>
  <si>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</si>
  <si>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</si>
  <si>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</si>
  <si>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</si>
  <si>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</si>
  <si>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</si>
  <si>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</si>
  <si>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</si>
  <si>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</si>
  <si>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</si>
  <si>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</si>
  <si>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</si>
  <si>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</si>
  <si>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</si>
  <si>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</si>
  <si>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</si>
  <si>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</si>
  <si>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</si>
  <si>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</si>
  <si>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</si>
  <si>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</si>
  <si>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</si>
  <si>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</si>
  <si>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</si>
  <si>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</si>
  <si>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</si>
  <si>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</si>
  <si>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</si>
  <si>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</si>
  <si>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</si>
  <si>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</si>
  <si>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</si>
  <si>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</si>
  <si>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</si>
  <si>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</si>
  <si>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</si>
  <si>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</si>
  <si>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</si>
  <si>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</si>
  <si>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</si>
  <si>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</si>
  <si>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</si>
  <si>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</si>
  <si>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</si>
  <si>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</si>
  <si>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</si>
  <si>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</si>
  <si>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</si>
  <si>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</si>
  <si>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</si>
  <si>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</si>
  <si>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</si>
  <si>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</si>
  <si>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</si>
  <si>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</si>
  <si>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</si>
  <si>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</si>
  <si>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</si>
  <si>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</si>
  <si>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</si>
  <si>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</si>
  <si>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</si>
  <si>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</si>
  <si>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</si>
  <si>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</si>
  <si>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</si>
  <si>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</si>
  <si>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</si>
  <si>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</si>
  <si>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</si>
  <si>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</si>
  <si>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</si>
  <si>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</si>
  <si>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</si>
  <si>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</si>
  <si>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</si>
  <si>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</si>
  <si>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</si>
  <si>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</si>
  <si>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</si>
  <si>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</si>
  <si>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</si>
  <si>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</si>
  <si>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</si>
  <si>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</si>
  <si>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</si>
  <si>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</si>
  <si>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</si>
  <si>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</si>
  <si>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</si>
  <si>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</si>
  <si>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</si>
  <si>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</si>
  <si>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</si>
  <si>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</si>
  <si>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</si>
  <si>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</si>
  <si>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</si>
  <si>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</si>
  <si>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</si>
  <si>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</si>
  <si>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</si>
  <si>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</si>
  <si>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</si>
  <si>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</si>
  <si>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</si>
  <si>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</si>
  <si>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</si>
  <si>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</si>
  <si>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</si>
  <si>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</si>
  <si>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</si>
  <si>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</si>
  <si>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</si>
  <si>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</si>
  <si>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</si>
  <si>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</si>
  <si>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</si>
  <si>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</si>
  <si>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</si>
  <si>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</si>
  <si>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</si>
  <si>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</si>
  <si>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</si>
  <si>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</si>
  <si>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</si>
  <si>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</si>
  <si>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</si>
  <si>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</si>
  <si>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</si>
  <si>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</si>
  <si>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</si>
  <si>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</si>
  <si>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</si>
  <si>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</si>
  <si>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</si>
  <si>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</si>
  <si>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</si>
  <si>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</si>
  <si>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</si>
  <si>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</si>
  <si>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</si>
  <si>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</si>
  <si>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</si>
  <si>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</si>
  <si>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</si>
  <si>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</si>
  <si>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</si>
  <si>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</si>
  <si>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</si>
  <si>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</si>
  <si>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</si>
  <si>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</si>
  <si>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</si>
  <si>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</si>
  <si>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</si>
  <si>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</si>
  <si>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</si>
  <si>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</si>
  <si>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</si>
  <si>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</si>
  <si>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</si>
  <si>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</si>
  <si>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</si>
  <si>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</si>
  <si>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</si>
  <si>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</si>
  <si>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</si>
  <si>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</si>
  <si>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</si>
  <si>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</si>
  <si>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</si>
  <si>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</si>
  <si>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</si>
  <si>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</si>
  <si>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</si>
  <si>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</si>
  <si>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</si>
  <si>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</si>
  <si>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</si>
  <si>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</si>
  <si>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</si>
  <si>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</si>
  <si>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</si>
  <si>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</si>
  <si>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</si>
  <si>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</si>
  <si>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</si>
  <si>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</si>
  <si>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</si>
  <si>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</si>
  <si>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</si>
  <si>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</si>
  <si>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</si>
  <si>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</si>
  <si>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</si>
  <si>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</si>
  <si>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</si>
  <si>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</si>
  <si>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</si>
  <si>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</si>
  <si>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</si>
  <si>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</si>
  <si>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</si>
  <si>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</si>
  <si>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</si>
  <si>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</si>
  <si>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</si>
  <si>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</si>
  <si>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</si>
  <si>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</si>
  <si>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</si>
  <si>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</si>
  <si>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</si>
  <si>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</si>
  <si>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</si>
  <si>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</si>
  <si>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</si>
  <si>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</si>
  <si>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</si>
  <si>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</si>
  <si>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</si>
  <si>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</si>
  <si>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</si>
  <si>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</si>
  <si>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</si>
  <si>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</si>
  <si>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</si>
  <si>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</si>
  <si>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</si>
  <si>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</si>
  <si>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</si>
  <si>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</si>
  <si>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</si>
  <si>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</si>
  <si>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</si>
  <si>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</si>
  <si>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</si>
  <si>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</si>
  <si>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</si>
  <si>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</si>
  <si>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</si>
  <si>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</si>
  <si>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</si>
  <si>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</si>
  <si>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</si>
  <si>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</si>
  <si>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</si>
  <si>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</si>
  <si>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</si>
  <si>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</si>
  <si>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</si>
  <si>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</si>
  <si>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</si>
  <si>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</si>
  <si>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</si>
  <si>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</si>
  <si>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</si>
  <si>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</si>
  <si>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</si>
  <si>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</si>
  <si>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</si>
  <si>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</si>
  <si>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</si>
  <si>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</si>
  <si>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</si>
  <si>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</si>
  <si>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</si>
  <si>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</si>
  <si>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</si>
  <si>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</si>
  <si>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</si>
  <si>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</si>
  <si>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</si>
  <si>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</si>
  <si>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</si>
  <si>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</si>
  <si>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</si>
  <si>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</si>
  <si>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</si>
  <si>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</si>
  <si>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</si>
  <si>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</si>
  <si>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</si>
  <si>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</si>
  <si>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</si>
  <si>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</si>
  <si>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</si>
  <si>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</si>
  <si>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</si>
  <si>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</si>
  <si>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</si>
  <si>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</si>
  <si>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</si>
  <si>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</si>
  <si>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</si>
  <si>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</si>
  <si>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</si>
  <si>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</si>
  <si>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</si>
  <si>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</si>
  <si>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</si>
  <si>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</si>
  <si>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</si>
  <si>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</si>
  <si>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</si>
  <si>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</si>
  <si>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</si>
  <si>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</si>
  <si>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</si>
  <si>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</si>
  <si>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</si>
  <si>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</si>
  <si>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</si>
  <si>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</si>
  <si>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</si>
  <si>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</si>
  <si>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</si>
  <si>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</si>
  <si>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</si>
  <si>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</si>
  <si>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</si>
  <si>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</si>
  <si>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</si>
  <si>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</si>
  <si>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</si>
  <si>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</si>
  <si>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</si>
  <si>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</si>
  <si>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</si>
  <si>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</si>
  <si>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</si>
  <si>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</si>
  <si>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</si>
  <si>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</si>
  <si>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</si>
  <si>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</si>
  <si>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</si>
  <si>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</si>
  <si>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</si>
  <si>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</si>
  <si>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</si>
  <si>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</si>
  <si>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</si>
  <si>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</si>
  <si>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</si>
  <si>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</si>
  <si>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</si>
  <si>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</si>
  <si>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</si>
  <si>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</si>
  <si>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</si>
  <si>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</si>
  <si>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</si>
  <si>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</si>
  <si>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</si>
  <si>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</si>
  <si>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</si>
  <si>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</si>
  <si>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</si>
  <si>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</si>
  <si>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</si>
  <si>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</si>
  <si>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</si>
  <si>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</si>
  <si>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</si>
  <si>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</si>
  <si>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</si>
  <si>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</si>
  <si>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</si>
  <si>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</si>
  <si>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</si>
  <si>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</si>
  <si>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</si>
  <si>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</si>
  <si>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</si>
  <si>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</si>
  <si>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</si>
  <si>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</si>
  <si>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</si>
  <si>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</si>
  <si>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</si>
  <si>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</si>
  <si>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</si>
  <si>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</si>
  <si>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</si>
  <si>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</si>
  <si>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</si>
  <si>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</si>
  <si>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</si>
  <si>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</si>
  <si>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</si>
  <si>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</si>
  <si>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</si>
  <si>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</si>
  <si>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</si>
  <si>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</si>
  <si>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</si>
  <si>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</si>
  <si>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</si>
  <si>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</si>
  <si>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</si>
  <si>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</si>
  <si>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</si>
  <si>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</si>
  <si>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</si>
  <si>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</si>
  <si>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</si>
  <si>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</si>
  <si>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</si>
  <si>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</si>
  <si>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</si>
  <si>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</si>
  <si>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</si>
  <si>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</si>
  <si>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</si>
  <si>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</si>
  <si>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</si>
  <si>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</si>
  <si>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</si>
  <si>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</si>
  <si>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</si>
  <si>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</si>
  <si>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</si>
  <si>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</si>
  <si>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</si>
  <si>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</si>
  <si>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</si>
  <si>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</si>
  <si>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</si>
  <si>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</si>
  <si>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</si>
  <si>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</si>
  <si>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</si>
  <si>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</si>
  <si>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</si>
  <si>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</si>
  <si>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</si>
  <si>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</si>
  <si>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</si>
  <si>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</si>
  <si>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</si>
  <si>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</si>
  <si>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</si>
  <si>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</si>
  <si>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</si>
  <si>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</si>
  <si>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</si>
  <si>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</si>
  <si>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</si>
  <si>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</si>
  <si>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</si>
  <si>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</si>
  <si>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</si>
  <si>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</si>
  <si>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</si>
  <si>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</si>
  <si>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</si>
  <si>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</si>
  <si>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</si>
  <si>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</si>
  <si>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</si>
  <si>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</si>
  <si>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</si>
  <si>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</si>
  <si>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</si>
  <si>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</si>
  <si>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</si>
  <si>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</si>
  <si>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</si>
  <si>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</si>
  <si>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</si>
  <si>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</si>
  <si>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</si>
  <si>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</si>
  <si>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</si>
  <si>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</si>
  <si>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</si>
  <si>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</si>
  <si>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</si>
  <si>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</si>
  <si>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</si>
  <si>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</si>
  <si>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</si>
  <si>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</si>
  <si>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</si>
  <si>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</si>
  <si>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</si>
  <si>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</si>
  <si>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</si>
  <si>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</si>
  <si>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</si>
  <si>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</si>
  <si>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</si>
  <si>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</si>
  <si>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</si>
  <si>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</si>
  <si>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</si>
  <si>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</si>
  <si>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</si>
  <si>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</si>
  <si>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</si>
  <si>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</si>
  <si>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</si>
  <si>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</si>
  <si>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</si>
  <si>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</si>
  <si>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</si>
  <si>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</si>
  <si>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</si>
  <si>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</si>
  <si>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</si>
  <si>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</si>
  <si>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</si>
  <si>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</si>
  <si>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</si>
  <si>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</si>
  <si>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</si>
  <si>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</si>
  <si>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</si>
  <si>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</si>
  <si>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</si>
  <si>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</si>
  <si>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</si>
  <si>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</si>
  <si>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</si>
  <si>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</si>
  <si>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</si>
  <si>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</si>
  <si>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</si>
  <si>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</si>
  <si>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</si>
  <si>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</si>
  <si>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</si>
  <si>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</si>
  <si>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</si>
  <si>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</si>
  <si>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</si>
  <si>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</si>
  <si>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</si>
  <si>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</si>
  <si>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</si>
  <si>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</si>
  <si>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</si>
  <si>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</si>
  <si>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</si>
  <si>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</si>
  <si>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</si>
  <si>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</si>
  <si>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</si>
  <si>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</si>
  <si>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</si>
  <si>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</si>
  <si>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</si>
  <si>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</si>
  <si>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</si>
  <si>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</si>
  <si>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</si>
  <si>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</si>
  <si>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</si>
  <si>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</si>
  <si>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</si>
  <si>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</si>
  <si>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</si>
  <si>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</si>
  <si>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</si>
  <si>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</si>
  <si>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</si>
  <si>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</si>
  <si>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</si>
  <si>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</si>
  <si>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</si>
  <si>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</si>
  <si>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</si>
  <si>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</si>
  <si>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</si>
  <si>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</si>
  <si>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</si>
  <si>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</si>
  <si>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</si>
  <si>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</si>
  <si>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</si>
  <si>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</si>
  <si>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</si>
  <si>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</si>
  <si>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</si>
  <si>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</si>
  <si>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</si>
  <si>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</si>
  <si>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</si>
  <si>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</si>
  <si>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</si>
  <si>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</si>
  <si>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</si>
  <si>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</si>
  <si>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</si>
  <si>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</si>
  <si>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</si>
  <si>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</si>
  <si>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</si>
  <si>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</si>
  <si>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</si>
  <si>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</si>
  <si>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</si>
  <si>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</si>
  <si>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</si>
  <si>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</si>
  <si>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</si>
  <si>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</si>
  <si>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</si>
  <si>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</si>
  <si>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</si>
  <si>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</si>
  <si>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</si>
  <si>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</si>
  <si>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</si>
  <si>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</si>
  <si>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</si>
  <si>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</si>
  <si>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</si>
  <si>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</si>
  <si>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</si>
  <si>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</si>
  <si>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</si>
  <si>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</si>
  <si>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</si>
  <si>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</si>
  <si>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</si>
  <si>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</si>
  <si>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</si>
  <si>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</si>
  <si>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</si>
  <si>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</si>
  <si>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</si>
  <si>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</si>
  <si>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</si>
  <si>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</si>
  <si>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</si>
  <si>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</si>
  <si>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</si>
  <si>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</si>
  <si>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</si>
  <si>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</si>
  <si>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</si>
  <si>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</si>
  <si>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</si>
  <si>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</si>
  <si>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</si>
  <si>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</si>
  <si>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</si>
  <si>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</si>
  <si>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</si>
  <si>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</si>
  <si>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</si>
  <si>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</si>
  <si>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</si>
  <si>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</si>
  <si>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</si>
  <si>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</si>
  <si>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</si>
  <si>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</si>
  <si>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</si>
  <si>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</si>
  <si>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</si>
  <si>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</si>
  <si>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</si>
  <si>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</si>
  <si>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</si>
  <si>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</si>
  <si>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</si>
  <si>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</si>
  <si>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</si>
  <si>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</si>
  <si>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</si>
  <si>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</si>
  <si>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</si>
  <si>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</si>
  <si>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</si>
  <si>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</si>
  <si>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</si>
  <si>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</si>
  <si>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</si>
  <si>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</si>
  <si>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</si>
  <si>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</si>
  <si>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</si>
  <si>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</si>
  <si>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</si>
  <si>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</si>
  <si>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</si>
  <si>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</si>
  <si>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</si>
  <si>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</si>
  <si>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</si>
  <si>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</si>
  <si>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</si>
  <si>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</si>
  <si>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</si>
  <si>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</si>
  <si>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</si>
  <si>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</si>
  <si>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</si>
  <si>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</si>
  <si>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</si>
  <si>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</si>
  <si>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</si>
  <si>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</si>
  <si>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</si>
  <si>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</si>
  <si>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</si>
  <si>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</si>
  <si>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</si>
  <si>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</si>
  <si>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</si>
  <si>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</si>
  <si>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</si>
  <si>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</si>
  <si>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</si>
  <si>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</si>
  <si>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</si>
  <si>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</si>
  <si>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</si>
  <si>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</si>
  <si>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</si>
  <si>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</si>
  <si>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</si>
  <si>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</si>
  <si>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</si>
  <si>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</si>
  <si>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</si>
  <si>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</si>
  <si>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</si>
  <si>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</si>
  <si>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</si>
  <si>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</si>
  <si>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</si>
  <si>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</si>
  <si>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</si>
  <si>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</si>
  <si>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</si>
  <si>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The Residency at the Mayer, LP</t>
  </si>
  <si>
    <t xml:space="preserve">Residency at the Mayer Hollywood </t>
  </si>
  <si>
    <t>CDLAC-TCAC Joint Application (submitting concurrently)</t>
  </si>
  <si>
    <t>5500 Hollywood Blvd.</t>
  </si>
  <si>
    <t>5524-025-032</t>
  </si>
  <si>
    <t xml:space="preserve">1200 W 7th Street </t>
  </si>
  <si>
    <t xml:space="preserve">Los Angeles </t>
  </si>
  <si>
    <t>213 808 8596</t>
  </si>
  <si>
    <t>213 808 8910</t>
  </si>
  <si>
    <t>Timothy Elliott</t>
  </si>
  <si>
    <t>timothy.elliott@lacity.org</t>
  </si>
  <si>
    <t>40%/60% Average Income</t>
  </si>
  <si>
    <t>CA</t>
  </si>
  <si>
    <t>Samir Srivastava</t>
  </si>
  <si>
    <t>213 268 2723</t>
  </si>
  <si>
    <t>323 464 7854</t>
  </si>
  <si>
    <t>samir@absllc.org</t>
  </si>
  <si>
    <t>ABS Properties, Inc.</t>
  </si>
  <si>
    <t>Administrative GP</t>
  </si>
  <si>
    <t>Kingdom Development, Inc.</t>
  </si>
  <si>
    <t>Managing GP</t>
  </si>
  <si>
    <t>6451 Box Springs Blvd</t>
  </si>
  <si>
    <t>William Leach</t>
  </si>
  <si>
    <t>951 538 6244</t>
  </si>
  <si>
    <t>william@kingdomdevelopment.net</t>
  </si>
  <si>
    <t>714 357 1637</t>
  </si>
  <si>
    <t>ABS Properties, Inc</t>
  </si>
  <si>
    <t>5500 Hollywood Blvd., 4th Floor/West Wing</t>
  </si>
  <si>
    <t>5500 Hollywood Blvd., 4th Flr</t>
  </si>
  <si>
    <t>Los Angeles, CA 90028</t>
  </si>
  <si>
    <t xml:space="preserve">Samir Srivastava </t>
  </si>
  <si>
    <t>Urban Architecture Lab</t>
  </si>
  <si>
    <t>1657 Alvira Street</t>
  </si>
  <si>
    <t>Los Angeles, CA 90035</t>
  </si>
  <si>
    <t>Richard Solares</t>
  </si>
  <si>
    <t>323 954 9996</t>
  </si>
  <si>
    <t>rsolares@u-a-lab.com</t>
  </si>
  <si>
    <t>Elkins Kalt Weintraub Gartside</t>
  </si>
  <si>
    <t>10345 Olympic Blvd</t>
  </si>
  <si>
    <t>Los Angeles, CA 90064</t>
  </si>
  <si>
    <t>Fred Gartside</t>
  </si>
  <si>
    <t>310 746 4405</t>
  </si>
  <si>
    <t>fgartside@elkinskalt.com</t>
  </si>
  <si>
    <t xml:space="preserve">Partner Energy </t>
  </si>
  <si>
    <t>680 Knox St, Ste 150</t>
  </si>
  <si>
    <t>Los Angeles, CA 90502</t>
  </si>
  <si>
    <t>Kelsey Shaw</t>
  </si>
  <si>
    <t>310 356 2199</t>
  </si>
  <si>
    <t>kshaw@ptrenergy.com</t>
  </si>
  <si>
    <t>Novogradac</t>
  </si>
  <si>
    <t>Boston Financial Investment Mgmt</t>
  </si>
  <si>
    <t>CBRE</t>
  </si>
  <si>
    <t>Partner Energy</t>
  </si>
  <si>
    <t>CalHFA</t>
  </si>
  <si>
    <t>Genessy Property Management</t>
  </si>
  <si>
    <t>Appraisal</t>
  </si>
  <si>
    <t>90+years</t>
  </si>
  <si>
    <t>Underutilized Office/Commercial Bldg</t>
  </si>
  <si>
    <t>ABS Mayer Bricker, LLC</t>
  </si>
  <si>
    <t>Managing Member</t>
  </si>
  <si>
    <t>Inner City Infill Site</t>
  </si>
  <si>
    <t>Ground Floor Retail and Basement Storage</t>
  </si>
  <si>
    <t>R5-2</t>
  </si>
  <si>
    <t>High Density Residential</t>
  </si>
  <si>
    <t>Existing Bldg Height 55'. Max Allowable Ht 108'</t>
  </si>
  <si>
    <t>Residual Receipt Seller Financing</t>
  </si>
  <si>
    <t>Deferred Developer Fees</t>
  </si>
  <si>
    <t xml:space="preserve">Deferred Developer Fee </t>
  </si>
  <si>
    <t>Fixed</t>
  </si>
  <si>
    <t>Deferred Construction Costs/Reserves</t>
  </si>
  <si>
    <t xml:space="preserve">Boston Financial (Tax Cr. Equity) </t>
  </si>
  <si>
    <t>Owner Paid</t>
  </si>
  <si>
    <t>Los Angeles Housing Authority</t>
  </si>
  <si>
    <t>Payroll Taxes/Fringe</t>
  </si>
  <si>
    <t>HVAC Contacts</t>
  </si>
  <si>
    <t>RE Taxes</t>
  </si>
  <si>
    <t>Supportive Services</t>
  </si>
  <si>
    <t>Office Admin</t>
  </si>
  <si>
    <t>Lead Service Provider</t>
  </si>
  <si>
    <t>Project-based contract (PBC)</t>
  </si>
  <si>
    <t>SB35 Project Triggers Prevailing Wage</t>
  </si>
  <si>
    <t>Seismic Upgrading</t>
  </si>
  <si>
    <t xml:space="preserve">General Partner </t>
  </si>
  <si>
    <t>1300 114th Aveenue SE, Ste 240</t>
  </si>
  <si>
    <t>Bellevue, WA 98004</t>
  </si>
  <si>
    <t xml:space="preserve">Thomas Stagg </t>
  </si>
  <si>
    <t xml:space="preserve">425 453 5783 </t>
  </si>
  <si>
    <t>thomas.stagg@novoco.com</t>
  </si>
  <si>
    <t>211 East Ocean Blvd., Ste 600</t>
  </si>
  <si>
    <t>Long Beach, CA 90802</t>
  </si>
  <si>
    <t>Craig Staswick</t>
  </si>
  <si>
    <t>562 256 3555</t>
  </si>
  <si>
    <t>craig.staswick@novoco.com</t>
  </si>
  <si>
    <t>8721 Sunset Blvd, PH1</t>
  </si>
  <si>
    <t>Los Angeles, CA 90069</t>
  </si>
  <si>
    <t>Roy Faerber</t>
  </si>
  <si>
    <t>310 860 4550</t>
  </si>
  <si>
    <t>roy.faerber@bfim.com</t>
  </si>
  <si>
    <t>6060 N. Central Expressway, 5thFlr</t>
  </si>
  <si>
    <t>Dallas, TX 75206</t>
  </si>
  <si>
    <t>Rebecca Arthur</t>
  </si>
  <si>
    <t>214 236 0750</t>
  </si>
  <si>
    <t>rebecca.arthur@novoco.com</t>
  </si>
  <si>
    <t>400 S Hope Street, 25th Floor</t>
  </si>
  <si>
    <t>Los Angeles, CA 90071</t>
  </si>
  <si>
    <t>213 613 3711</t>
  </si>
  <si>
    <t>andrew.power@cbre.com</t>
  </si>
  <si>
    <t>Andrew G. Power</t>
  </si>
  <si>
    <t>334 N. Normandie Ave, Ste 104</t>
  </si>
  <si>
    <t>Los Angeles, CA, 90004</t>
  </si>
  <si>
    <t>Genny R. Alberts</t>
  </si>
  <si>
    <t>323 913 2905</t>
  </si>
  <si>
    <t>galberts@genessy.com</t>
  </si>
  <si>
    <t>500 Capitol Mall, Suite 400</t>
  </si>
  <si>
    <t>Sacramento, CA 95814</t>
  </si>
  <si>
    <t xml:space="preserve">Kevin Brown </t>
  </si>
  <si>
    <t>916 326 8808</t>
  </si>
  <si>
    <t>kbrown@calhfa.ca.gov</t>
  </si>
  <si>
    <t>R5-2 (Projecy will be using SB35 &amp; AB 1763) for Density</t>
  </si>
  <si>
    <t>John Gilmore</t>
  </si>
  <si>
    <t>646 438 7716</t>
  </si>
  <si>
    <t>Tax Exempt Debt</t>
  </si>
  <si>
    <t>NY, NY</t>
  </si>
  <si>
    <t>Const Financing (Taxable)</t>
  </si>
  <si>
    <t>5500 Hollywood Blvd, 4th Floor</t>
  </si>
  <si>
    <t>Residual Receipt Seller Carryback</t>
  </si>
  <si>
    <t>Taxable Perm Loan (Commercial)</t>
  </si>
  <si>
    <t>NY. NY</t>
  </si>
  <si>
    <t>Madison Ave</t>
  </si>
  <si>
    <t>Seller Carry Back Financing</t>
  </si>
  <si>
    <t>Deferred Developer Fee</t>
  </si>
  <si>
    <t>5500 Hollywood Blvd.,Los Angeles,CA</t>
  </si>
  <si>
    <t>Deferred Costs During Construction</t>
  </si>
  <si>
    <t xml:space="preserve">Tax Credit Equity </t>
  </si>
  <si>
    <t>Const. Financing (TaxExempt)</t>
  </si>
  <si>
    <t>Sponsor, Admin GP/ABS Properties, Inc.</t>
  </si>
  <si>
    <t>ABS Mayer, LLC</t>
  </si>
  <si>
    <t>Kingdom Mayer, LLC</t>
  </si>
  <si>
    <t>8422 Bellona Lane, Ste 301</t>
  </si>
  <si>
    <t>Baltimore, MD 21204</t>
  </si>
  <si>
    <t xml:space="preserve">JR Lephew </t>
  </si>
  <si>
    <t>443 937 1111</t>
  </si>
  <si>
    <t>jlephew@partneresi.com</t>
  </si>
  <si>
    <t>NONE</t>
  </si>
  <si>
    <t>NOT REQD</t>
  </si>
  <si>
    <t>Walker &amp; Dunlop (Tax-Exempt Bonds)</t>
  </si>
  <si>
    <t>Walker &amp; Dunlop (Taxable Const. Bridge)</t>
  </si>
  <si>
    <t>Walker &amp; Dunlop (Taxable Tail)</t>
  </si>
  <si>
    <t>ABS Mayer Bricker (RR Seller CarryBackLoan)</t>
  </si>
  <si>
    <t>Other: Performance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</si>
</sst>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8" fontId="6" fillId="5" borderId="11" xfId="0" applyNumberFormat="1" applyFont="1" applyFill="1" applyBorder="1" applyAlignment="1" applyProtection="1">
      <alignment horizontal="center"/>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25"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68" fontId="6" fillId="5" borderId="11"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1432</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1440</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1427</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1546</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B8" sqref="B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v>32</v>
      </c>
      <c r="C4" s="682">
        <f>Application!K709</f>
        <v>592</v>
      </c>
      <c r="D4" s="683"/>
      <c r="E4" s="493">
        <v>1450</v>
      </c>
      <c r="F4" s="684">
        <f>E4*B4</f>
        <v>46400</v>
      </c>
      <c r="G4" s="685"/>
      <c r="H4" s="682">
        <f>IF(E4=0," ",(E4-C4))</f>
        <v>858</v>
      </c>
      <c r="I4" s="684">
        <f>IF(E4=0," ",(H4*B4))</f>
        <v>27456</v>
      </c>
      <c r="J4" s="335"/>
      <c r="K4" s="490"/>
    </row>
    <row r="5" spans="1:11">
      <c r="A5" s="682" t="str">
        <f>Application!B710</f>
        <v>SRO/Studio</v>
      </c>
      <c r="B5" s="691">
        <v>7</v>
      </c>
      <c r="C5" s="682">
        <f>Application!K710</f>
        <v>986</v>
      </c>
      <c r="D5" s="683"/>
      <c r="E5" s="493">
        <f>E4</f>
        <v>1450</v>
      </c>
      <c r="F5" s="684">
        <f t="shared" ref="F5:F28" si="0">E5*B5</f>
        <v>10150</v>
      </c>
      <c r="G5" s="685"/>
      <c r="H5" s="682">
        <f t="shared" ref="H5:H28" si="1">IF(E5=0," ",(E5-C5))</f>
        <v>464</v>
      </c>
      <c r="I5" s="684">
        <f t="shared" ref="I5:I28" si="2">IF(E5=0," ",(H5*B5))</f>
        <v>3248</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t="str">
        <f>Application!B712</f>
        <v>SRO/Studio</v>
      </c>
      <c r="B7" s="691">
        <f>78-B4-B5</f>
        <v>39</v>
      </c>
      <c r="C7" s="682">
        <f>Application!K712</f>
        <v>1145</v>
      </c>
      <c r="D7" s="683"/>
      <c r="E7" s="493">
        <f>E5</f>
        <v>1450</v>
      </c>
      <c r="F7" s="684">
        <f t="shared" si="0"/>
        <v>56550</v>
      </c>
      <c r="G7" s="685"/>
      <c r="H7" s="682">
        <f t="shared" si="1"/>
        <v>305</v>
      </c>
      <c r="I7" s="684">
        <f t="shared" si="2"/>
        <v>11895</v>
      </c>
      <c r="J7" s="335"/>
      <c r="K7" s="490"/>
    </row>
    <row r="8" spans="1:11">
      <c r="A8" s="682">
        <f>Application!B713</f>
        <v>0</v>
      </c>
      <c r="B8" s="691">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70501</v>
      </c>
      <c r="D30" s="683"/>
      <c r="E30" s="683"/>
      <c r="F30" s="688">
        <f>SUM(F4:F28)*12</f>
        <v>1357200</v>
      </c>
      <c r="G30" s="689"/>
      <c r="H30" s="687"/>
      <c r="I30" s="688">
        <f>SUM(I4:I28)*12</f>
        <v>511188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198529</v>
      </c>
      <c r="C5" s="438">
        <f>'Sources and Uses Budget'!$C4</f>
        <v>198529</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198529</v>
      </c>
      <c r="C9" s="442">
        <f>SUM(C5:C8)</f>
        <v>198529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25759333</v>
      </c>
      <c r="C10" s="438">
        <f>'Sources and Uses Budget'!$C9</f>
        <v>25759333</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25759333</v>
      </c>
      <c r="C12" s="442">
        <f>SUM(C10:C11)</f>
        <v>25759333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25957862</v>
      </c>
      <c r="C13" s="442">
        <f>SUM(C9+C12)</f>
        <v>25957862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3057352</v>
      </c>
      <c r="C14" s="438">
        <f>'Sources and Uses Budget'!$C13</f>
        <v>3057352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7500000</v>
      </c>
      <c r="C30" s="438">
        <f>'Sources and Uses Budget'!$C29</f>
        <v>7500000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598680</v>
      </c>
      <c r="C31" s="438">
        <f>'Sources and Uses Budget'!$C30</f>
        <v>598680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299340</v>
      </c>
      <c r="C32" s="438">
        <f>'Sources and Uses Budget'!$C31</f>
        <v>299340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498900</v>
      </c>
      <c r="C33" s="438">
        <f>'Sources and Uses Budget'!$C32</f>
        <v>498900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2478000</v>
      </c>
      <c r="C34" s="438">
        <f>'Sources and Uses Budget'!$C33</f>
        <v>2478000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182722</v>
      </c>
      <c r="C35" s="438">
        <f>'Sources and Uses Budget'!$C34</f>
        <v>182722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124725</v>
      </c>
      <c r="C36" s="438">
        <f>'Sources and Uses Budget'!$C35</f>
        <v>124725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11682367</v>
      </c>
      <c r="C37" s="442">
        <f>SUM(C29:C36)</f>
        <v>11682367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545000</v>
      </c>
      <c r="C39" s="438">
        <f>'Sources and Uses Budget'!$C38</f>
        <v>545000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105000</v>
      </c>
      <c r="C40" s="438">
        <f>'Sources and Uses Budget'!$C39</f>
        <v>105000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650000</v>
      </c>
      <c r="C41" s="442">
        <f>SUM(C39:C40)</f>
        <v>650000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145000</v>
      </c>
      <c r="C42" s="438">
        <f>'Sources and Uses Budget'!$C41</f>
        <v>145000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3800000</v>
      </c>
      <c r="C44" s="438">
        <f>'Sources and Uses Budget'!$C43</f>
        <v>3800000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482501</v>
      </c>
      <c r="C45" s="438">
        <f>'Sources and Uses Budget'!$C44</f>
        <v>482501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50000</v>
      </c>
      <c r="C47" s="438">
        <f>'Sources and Uses Budget'!$C46</f>
        <v>50000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146000</v>
      </c>
      <c r="C48" s="438">
        <f>'Sources and Uses Budget'!$C47</f>
        <v>146000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90926</v>
      </c>
      <c r="C50" s="438">
        <f>'Sources and Uses Budget'!$C49</f>
        <v>90926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86000</v>
      </c>
      <c r="C51" s="438">
        <f>'Sources and Uses Budget'!$C50</f>
        <v>86000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4760427</v>
      </c>
      <c r="C54" s="445">
        <f>SUM(C44:C53)</f>
        <v>4760427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155646</v>
      </c>
      <c r="C56" s="438">
        <f>'Sources and Uses Budget'!$C55</f>
        <v>155646</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130586</v>
      </c>
      <c r="C57" s="438">
        <f>'Sources and Uses Budget'!$C56</f>
        <v>130586</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22178</v>
      </c>
      <c r="C58" s="438">
        <f>'Sources and Uses Budget'!$C57</f>
        <v>22178</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308410</v>
      </c>
      <c r="C63" s="442">
        <f>SUM(C56:C62)</f>
        <v>308410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46561418</v>
      </c>
      <c r="C64" s="442">
        <f>SUM(C9+C12+C14+C15+C17+C26+C27+C37+C41+C42+C54+C63)</f>
        <v>46561418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182647</v>
      </c>
      <c r="C66" s="438">
        <f>'Sources and Uses Budget'!$C65</f>
        <v>182647</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182647</v>
      </c>
      <c r="C68" s="442">
        <f>SUM(C66:C67)</f>
        <v>182647</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315654</v>
      </c>
      <c r="C73" s="438">
        <f>'Sources and Uses Budget'!$C72</f>
        <v>315654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315654</v>
      </c>
      <c r="C75" s="442">
        <f>SUM(C70:C74)</f>
        <v>315654</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1168000</v>
      </c>
      <c r="C77" s="438">
        <f>'Sources and Uses Budget'!$C76</f>
        <v>1168000</v>
      </c>
      <c r="D77" s="442">
        <f t="shared" si="1"/>
        <v>0</v>
      </c>
      <c r="E77" s="440"/>
      <c r="F77" s="439"/>
      <c r="G77" s="577"/>
    </row>
    <row r="78" spans="1:253" s="571" customFormat="1">
      <c r="A78" s="893" t="s">
        <v>63</v>
      </c>
      <c r="B78" s="438">
        <f>'Sources and Uses Budget'!$C77</f>
        <v>332000</v>
      </c>
      <c r="C78" s="438">
        <f>'Sources and Uses Budget'!$C77</f>
        <v>332000</v>
      </c>
      <c r="D78" s="442">
        <f t="shared" ref="D78" si="2">C78-B78</f>
        <v>0</v>
      </c>
      <c r="E78" s="440"/>
      <c r="F78" s="439"/>
      <c r="G78" s="577"/>
    </row>
    <row r="79" spans="1:253" s="571" customFormat="1">
      <c r="A79" s="443" t="s">
        <v>1468</v>
      </c>
      <c r="B79" s="442">
        <f>SUM(B77:B78)</f>
        <v>1500000</v>
      </c>
      <c r="C79" s="442">
        <f>SUM(C77:C78)</f>
        <v>1500000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54915</v>
      </c>
      <c r="C81" s="438">
        <f>'Sources and Uses Budget'!$C80</f>
        <v>54915</v>
      </c>
      <c r="D81" s="442">
        <f t="shared" si="1"/>
        <v>0</v>
      </c>
      <c r="E81" s="440"/>
      <c r="F81" s="439"/>
      <c r="G81" s="577"/>
    </row>
    <row r="82" spans="1:7" s="571" customFormat="1">
      <c r="A82" s="441" t="s">
        <v>846</v>
      </c>
      <c r="B82" s="438">
        <f>'Sources and Uses Budget'!$C81</f>
        <v>82516</v>
      </c>
      <c r="C82" s="438">
        <f>'Sources and Uses Budget'!$C81</f>
        <v>82516</v>
      </c>
      <c r="D82" s="442">
        <f t="shared" si="1"/>
        <v>0</v>
      </c>
      <c r="E82" s="440"/>
      <c r="F82" s="439"/>
      <c r="G82" s="577"/>
    </row>
    <row r="83" spans="1:7" s="571" customFormat="1">
      <c r="A83" s="441" t="s">
        <v>847</v>
      </c>
      <c r="B83" s="438">
        <f>'Sources and Uses Budget'!$C82</f>
        <v>165000</v>
      </c>
      <c r="C83" s="438">
        <f>'Sources and Uses Budget'!$C82</f>
        <v>165000</v>
      </c>
      <c r="D83" s="442">
        <f t="shared" si="1"/>
        <v>0</v>
      </c>
      <c r="E83" s="440"/>
      <c r="F83" s="439"/>
      <c r="G83" s="577"/>
    </row>
    <row r="84" spans="1:7" s="571" customFormat="1">
      <c r="A84" s="441" t="s">
        <v>848</v>
      </c>
      <c r="B84" s="438">
        <f>'Sources and Uses Budget'!$C83</f>
        <v>585000</v>
      </c>
      <c r="C84" s="438">
        <f>'Sources and Uses Budget'!$C83</f>
        <v>585000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92222</v>
      </c>
      <c r="C86" s="438">
        <f>'Sources and Uses Budget'!$C85</f>
        <v>92222</v>
      </c>
      <c r="D86" s="442">
        <f t="shared" si="1"/>
        <v>0</v>
      </c>
      <c r="E86" s="440"/>
      <c r="F86" s="439"/>
      <c r="G86" s="577"/>
    </row>
    <row r="87" spans="1:7" s="571" customFormat="1">
      <c r="A87" s="441" t="s">
        <v>851</v>
      </c>
      <c r="B87" s="438">
        <f>'Sources and Uses Budget'!$C86</f>
        <v>960000</v>
      </c>
      <c r="C87" s="438">
        <f>'Sources and Uses Budget'!$C86</f>
        <v>960000</v>
      </c>
      <c r="D87" s="442">
        <f t="shared" si="1"/>
        <v>0</v>
      </c>
      <c r="E87" s="440"/>
      <c r="F87" s="439"/>
      <c r="G87" s="577"/>
    </row>
    <row r="88" spans="1:7" s="571" customFormat="1">
      <c r="A88" s="441" t="s">
        <v>852</v>
      </c>
      <c r="B88" s="438">
        <f>'Sources and Uses Budget'!$C87</f>
        <v>18000</v>
      </c>
      <c r="C88" s="438">
        <f>'Sources and Uses Budget'!$C87</f>
        <v>18000</v>
      </c>
      <c r="D88" s="442">
        <f t="shared" si="1"/>
        <v>0</v>
      </c>
      <c r="E88" s="440"/>
      <c r="F88" s="439"/>
      <c r="G88" s="577"/>
    </row>
    <row r="89" spans="1:7" s="571" customFormat="1">
      <c r="A89" s="447" t="s">
        <v>404</v>
      </c>
      <c r="B89" s="438">
        <f>'Sources and Uses Budget'!$C88</f>
        <v>65000</v>
      </c>
      <c r="C89" s="438">
        <f>'Sources and Uses Budget'!$C88</f>
        <v>65000</v>
      </c>
      <c r="D89" s="442">
        <f t="shared" si="1"/>
        <v>0</v>
      </c>
      <c r="E89" s="440"/>
      <c r="F89" s="439"/>
      <c r="G89" s="577"/>
    </row>
    <row r="90" spans="1:7" s="571" customFormat="1">
      <c r="A90" s="892" t="s">
        <v>1470</v>
      </c>
      <c r="B90" s="438">
        <f>'Sources and Uses Budget'!$C89</f>
        <v>29779</v>
      </c>
      <c r="C90" s="438">
        <f>'Sources and Uses Budget'!$C89</f>
        <v>29779</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2052432</v>
      </c>
      <c r="C96" s="442">
        <f>SUM(C81:C95)</f>
        <v>2052432</v>
      </c>
      <c r="D96" s="442">
        <f t="shared" si="1"/>
        <v>0</v>
      </c>
      <c r="E96" s="440"/>
      <c r="F96" s="439"/>
      <c r="G96" s="577"/>
    </row>
    <row r="97" spans="1:7" s="571" customFormat="1">
      <c r="A97" s="443" t="s">
        <v>854</v>
      </c>
      <c r="B97" s="442">
        <f>SUM(B64+B68+B75+B79+B96)</f>
        <v>50612151</v>
      </c>
      <c r="C97" s="442">
        <f>SUM(C64+C68+C75+C79+C96)</f>
        <v>50612151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6701726.834999999</v>
      </c>
      <c r="C99" s="438">
        <f>'Sources and Uses Budget'!$C98</f>
        <v>6701726.834999999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6701726.834999999</v>
      </c>
      <c r="C105" s="442">
        <f>SUM(C99:C104)</f>
        <v>6701726.834999999</v>
      </c>
      <c r="D105" s="442">
        <f t="shared" si="1"/>
        <v>0</v>
      </c>
      <c r="E105" s="440"/>
      <c r="F105" s="439"/>
      <c r="G105" s="575"/>
    </row>
    <row r="106" spans="1:7" s="570" customFormat="1">
      <c r="A106" s="443" t="s">
        <v>862</v>
      </c>
      <c r="B106" s="445">
        <f>SUM(B97+B105)</f>
        <v>57313877.835000001</v>
      </c>
      <c r="C106" s="445">
        <f>SUM(C97+C105)</f>
        <v>57313877.835000001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7" t="s">
        <v>1133</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260" zoomScaleNormal="100" zoomScaleSheetLayoutView="100" workbookViewId="0">
      <selection activeCell="B774" sqref="B77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1560</v>
      </c>
      <c r="B2" s="1056"/>
      <c r="C2" s="1057"/>
      <c r="D2" s="1057"/>
      <c r="E2" s="1057"/>
      <c r="F2" s="1057"/>
      <c r="G2" s="1057"/>
    </row>
    <row r="3" spans="1:9">
      <c r="A3" s="1064" t="s">
        <v>1563</v>
      </c>
      <c r="B3" s="1064"/>
      <c r="C3" s="1065"/>
      <c r="D3" s="1065"/>
      <c r="E3" s="1065"/>
      <c r="F3" s="1065"/>
      <c r="G3" s="1065"/>
      <c r="I3" s="717" t="s">
        <v>1200</v>
      </c>
    </row>
    <row r="4" spans="1:9">
      <c r="A4" s="1060" t="s">
        <v>1562</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1200</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1200</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1200</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1200</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1200</v>
      </c>
      <c r="D33" s="1000" t="s">
        <v>1474</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1200</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1200</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1200</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1200</v>
      </c>
      <c r="D63" s="1000" t="s">
        <v>1294</v>
      </c>
      <c r="E63" s="1000"/>
      <c r="F63" s="1000"/>
    </row>
    <row r="64" spans="1:7">
      <c r="D64" s="1000"/>
      <c r="E64" s="1000"/>
      <c r="F64" s="1000"/>
    </row>
    <row r="65" spans="1:7">
      <c r="D65" s="1000"/>
      <c r="E65" s="1000"/>
      <c r="F65" s="1000"/>
    </row>
    <row r="66" spans="1:7">
      <c r="D66" s="815"/>
    </row>
    <row r="67" spans="1:7" ht="14.25">
      <c r="A67" s="822"/>
      <c r="B67" s="823" t="s">
        <v>1200</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1200</v>
      </c>
      <c r="D75" s="999" t="s">
        <v>1527</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1446</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1200</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1200</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1200</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1456</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1200</v>
      </c>
      <c r="C151" s="839"/>
      <c r="D151" s="973" t="s">
        <v>1488</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1200</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1200</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1447</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1476</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1200</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1200</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1200</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1200</v>
      </c>
      <c r="D221" s="1073" t="s">
        <v>1448</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1200</v>
      </c>
      <c r="D243" s="999" t="s">
        <v>1342</v>
      </c>
      <c r="E243" s="999"/>
      <c r="F243" s="999"/>
    </row>
    <row r="244" spans="1:7" ht="14.25">
      <c r="A244" s="822"/>
      <c r="B244" s="822"/>
      <c r="D244" s="999"/>
      <c r="E244" s="999"/>
      <c r="F244" s="999"/>
    </row>
    <row r="245" spans="1:7">
      <c r="D245" s="825"/>
      <c r="E245" s="825"/>
      <c r="F245" s="825"/>
    </row>
    <row r="246" spans="1:7" ht="14.25">
      <c r="A246" s="822"/>
      <c r="B246" s="823" t="s">
        <v>1200</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1200</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1481</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1200</v>
      </c>
      <c r="D269" s="1001" t="s">
        <v>1349</v>
      </c>
      <c r="E269" s="1001"/>
      <c r="F269" s="1001"/>
    </row>
    <row r="270" spans="1:7">
      <c r="E270" s="825"/>
      <c r="F270" s="825"/>
    </row>
    <row r="271" spans="1:7" ht="14.25">
      <c r="A271" s="822"/>
      <c r="B271" s="823" t="s">
        <v>1200</v>
      </c>
      <c r="D271" s="1071" t="s">
        <v>1511</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1200</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1485</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1486</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1604</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1512</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1450</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1200</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1200</v>
      </c>
      <c r="D450" s="980" t="s">
        <v>1583</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973" t="s">
        <v>1452</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1200</v>
      </c>
      <c r="C471" s="824"/>
      <c r="D471" s="973" t="s">
        <v>1628</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1200</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1200</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1200</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1200</v>
      </c>
      <c r="C518" s="854"/>
      <c r="D518" s="1001" t="s">
        <v>979</v>
      </c>
      <c r="E518" s="1001"/>
      <c r="F518" s="1001"/>
      <c r="G518" s="815"/>
    </row>
    <row r="519" spans="1:7" ht="13.7" customHeight="1">
      <c r="A519" s="854"/>
      <c r="B519" s="854"/>
      <c r="C519" s="854"/>
      <c r="D519" s="810"/>
      <c r="E519" s="642"/>
      <c r="F519" s="642"/>
      <c r="G519" s="815"/>
    </row>
    <row r="520" spans="1:7" ht="14.25">
      <c r="A520" s="822"/>
      <c r="B520" s="823" t="s">
        <v>1200</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1200</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1200</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1200</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1200</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1200</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1200</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1200</v>
      </c>
      <c r="D558" s="1004" t="s">
        <v>985</v>
      </c>
      <c r="E558" s="1004"/>
      <c r="F558" s="1004"/>
      <c r="G558" s="844"/>
    </row>
    <row r="559" spans="1:7">
      <c r="A559" s="841"/>
      <c r="B559" s="841"/>
      <c r="D559" s="839"/>
    </row>
    <row r="560" spans="1:7">
      <c r="A560" s="841"/>
      <c r="B560" s="823" t="s">
        <v>1200</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1200</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1200</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1200</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1200</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1200</v>
      </c>
      <c r="D592" s="1037" t="s">
        <v>467</v>
      </c>
      <c r="E592" s="1037"/>
      <c r="F592" s="1037"/>
      <c r="G592" s="844"/>
    </row>
    <row r="593" spans="1:7">
      <c r="C593" s="866"/>
      <c r="E593" s="815"/>
      <c r="G593" s="844"/>
    </row>
    <row r="594" spans="1:7">
      <c r="A594" s="841"/>
      <c r="B594" s="823" t="s">
        <v>1200</v>
      </c>
      <c r="D594" s="997" t="s">
        <v>1319</v>
      </c>
      <c r="E594" s="997"/>
      <c r="F594" s="997"/>
      <c r="G594" s="844"/>
    </row>
    <row r="595" spans="1:7">
      <c r="D595" s="997"/>
      <c r="E595" s="997"/>
      <c r="F595" s="997"/>
      <c r="G595" s="844"/>
    </row>
    <row r="596" spans="1:7">
      <c r="D596" s="815"/>
      <c r="G596" s="844"/>
    </row>
    <row r="597" spans="1:7">
      <c r="B597" s="823" t="s">
        <v>1200</v>
      </c>
      <c r="D597" s="997" t="s">
        <v>1320</v>
      </c>
      <c r="E597" s="997"/>
      <c r="F597" s="997"/>
      <c r="G597" s="844"/>
    </row>
    <row r="598" spans="1:7">
      <c r="C598" s="866"/>
      <c r="D598" s="997"/>
      <c r="E598" s="997"/>
      <c r="F598" s="997"/>
      <c r="G598" s="844"/>
    </row>
    <row r="599" spans="1:7">
      <c r="C599" s="866"/>
      <c r="G599" s="844"/>
    </row>
    <row r="600" spans="1:7">
      <c r="B600" s="823" t="s">
        <v>1200</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1200</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1493</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1200</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1565</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1455</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1200</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1200</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1200</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1200</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1200</v>
      </c>
      <c r="C744" s="878"/>
      <c r="D744" s="1000" t="s">
        <v>1513</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1200</v>
      </c>
      <c r="C753" s="826"/>
      <c r="D753" s="1000" t="s">
        <v>1451</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1475</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1571</v>
      </c>
      <c r="B760" s="1033"/>
      <c r="C760" s="1033"/>
      <c r="D760" s="1033"/>
      <c r="E760" s="1033"/>
      <c r="F760" s="1033"/>
      <c r="G760" s="1033"/>
    </row>
    <row r="761" spans="1:11">
      <c r="A761" s="820"/>
      <c r="B761" s="820"/>
      <c r="C761" s="820"/>
      <c r="D761" s="881"/>
      <c r="F761" s="868"/>
      <c r="G761" s="874"/>
    </row>
    <row r="762" spans="1:11">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c r="A765" s="826"/>
      <c r="C765" s="831"/>
      <c r="D765" s="1034" t="s">
        <v>1564</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1580</v>
      </c>
      <c r="E770" s="1034"/>
      <c r="F770" s="1034"/>
      <c r="G770" s="874"/>
    </row>
    <row r="771" spans="1:7" ht="14.25">
      <c r="A771" s="822"/>
      <c r="B771" s="823" t="s">
        <v>1200</v>
      </c>
      <c r="C771" s="831"/>
      <c r="D771" s="1052" t="s">
        <v>1576</v>
      </c>
      <c r="E771" s="1052"/>
      <c r="F771" s="1052"/>
      <c r="G771" s="815"/>
    </row>
    <row r="772" spans="1:7" ht="14.25">
      <c r="A772" s="822"/>
      <c r="B772" s="815"/>
      <c r="C772" s="831"/>
      <c r="D772" s="1052" t="s">
        <v>1577</v>
      </c>
      <c r="E772" s="1052"/>
      <c r="F772" s="1052"/>
      <c r="G772" s="815"/>
    </row>
    <row r="773" spans="1:7" ht="14.25">
      <c r="A773" s="822"/>
      <c r="C773" s="831"/>
      <c r="D773" s="935"/>
      <c r="E773" s="928"/>
      <c r="F773" s="928"/>
      <c r="G773" s="874"/>
    </row>
    <row r="774" spans="1:7" ht="14.25">
      <c r="A774" s="822"/>
      <c r="B774" s="823" t="s">
        <v>1200</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21" zoomScale="110" zoomScaleNormal="110" zoomScaleSheetLayoutView="100" workbookViewId="0">
      <selection activeCell="C550" sqref="C550:O55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7" t="s">
        <v>1569</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9" t="s">
        <v>1643</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57" t="s">
        <v>1428</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1645</v>
      </c>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row>
    <row r="17" spans="1:39" ht="12.75" customHeight="1"/>
    <row r="18" spans="1:39" ht="12.75" customHeight="1">
      <c r="A18" s="137" t="s">
        <v>108</v>
      </c>
      <c r="C18" s="7"/>
      <c r="D18" s="7"/>
      <c r="E18" s="7"/>
      <c r="F18" s="7"/>
      <c r="G18" s="7"/>
      <c r="H18" s="1094" t="s">
        <v>1646</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2" t="s">
        <v>1155</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2089034</v>
      </c>
      <c r="N26" s="1511"/>
      <c r="O26" s="1511"/>
      <c r="P26" s="1511"/>
      <c r="Q26" s="15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723</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c r="D124" s="1508"/>
      <c r="E124" s="1508"/>
      <c r="F124" s="1508"/>
      <c r="G124" s="1508"/>
      <c r="H124" s="1508"/>
      <c r="I124" s="1508"/>
      <c r="J124" s="1508"/>
      <c r="K124" s="15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t="s">
        <v>1658</v>
      </c>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t="s">
        <v>1780</v>
      </c>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541</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121" t="s">
        <v>1654</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478</v>
      </c>
      <c r="F155" s="13"/>
      <c r="G155" s="13"/>
      <c r="H155" s="13"/>
      <c r="I155" s="13"/>
      <c r="J155" s="13"/>
      <c r="K155" s="13"/>
      <c r="L155" s="13"/>
      <c r="M155" s="13"/>
      <c r="N155" s="13"/>
      <c r="O155" s="1500" t="s">
        <v>477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335</v>
      </c>
      <c r="F156" s="32"/>
      <c r="G156" s="32"/>
      <c r="H156" s="32"/>
      <c r="I156" s="32"/>
      <c r="J156" s="32"/>
      <c r="K156" s="32"/>
      <c r="L156" s="32"/>
      <c r="M156" s="32"/>
      <c r="N156" s="32"/>
      <c r="O156" s="1094" t="s">
        <v>1650</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1651</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2">
        <v>90017</v>
      </c>
      <c r="P158" s="1312"/>
      <c r="Q158" s="1312"/>
      <c r="R158" s="131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19" t="s">
        <v>1652</v>
      </c>
      <c r="P159" s="1311"/>
      <c r="Q159" s="1311"/>
      <c r="R159" s="1311"/>
      <c r="S159" s="1311"/>
      <c r="T159" s="1311"/>
      <c r="V159" s="149" t="s">
        <v>287</v>
      </c>
      <c r="W159" s="1313"/>
      <c r="X159" s="131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19" t="s">
        <v>1653</v>
      </c>
      <c r="P160" s="1311"/>
      <c r="Q160" s="1311"/>
      <c r="R160" s="1311"/>
      <c r="S160" s="1311"/>
      <c r="T160" s="131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5" t="s">
        <v>1655</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6" t="s">
        <v>1510</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9" t="s">
        <v>586</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727</v>
      </c>
      <c r="BG169" s="12" t="s">
        <v>535</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6" t="s">
        <v>1647</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9"/>
      <c r="Y176" s="149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 xml:space="preserve">Residency at the Mayer Hollywood </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18" t="s">
        <v>1648</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6"/>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329</v>
      </c>
      <c r="BA189" s="36" t="s">
        <v>251</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1194</v>
      </c>
      <c r="BA190" s="36" t="s">
        <v>686</v>
      </c>
      <c r="BG190" s="12" t="s">
        <v>73</v>
      </c>
    </row>
    <row r="191" spans="1:59" ht="12.75">
      <c r="A191" s="25"/>
      <c r="C191" s="45"/>
      <c r="D191" s="25" t="s">
        <v>631</v>
      </c>
      <c r="E191" s="25"/>
      <c r="I191" s="1096" t="s">
        <v>541</v>
      </c>
      <c r="J191" s="1096"/>
      <c r="K191" s="1096"/>
      <c r="L191" s="1096"/>
      <c r="M191" s="1096"/>
      <c r="N191" s="1096"/>
      <c r="O191" s="1096"/>
      <c r="P191" s="1096"/>
      <c r="Q191" s="25" t="s">
        <v>633</v>
      </c>
      <c r="T191" s="1096" t="s">
        <v>541</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8">
        <v>90028</v>
      </c>
      <c r="J192" s="1118"/>
      <c r="K192" s="1118"/>
      <c r="L192" s="1118"/>
      <c r="M192" s="1118"/>
      <c r="N192" s="1118"/>
      <c r="O192" s="25" t="s">
        <v>636</v>
      </c>
      <c r="P192" s="25"/>
      <c r="Q192" s="25"/>
      <c r="R192" s="25"/>
      <c r="S192" s="25"/>
      <c r="T192" s="1493">
        <v>1905.1</v>
      </c>
      <c r="U192" s="1493"/>
      <c r="V192" s="1493"/>
      <c r="W192" s="1493"/>
      <c r="X192" s="1493"/>
      <c r="Y192" s="1493"/>
      <c r="Z192" s="1493"/>
      <c r="AA192" s="1493"/>
      <c r="AB192" s="1493"/>
      <c r="AC192" s="1493"/>
      <c r="AD192" s="1493"/>
      <c r="AE192" s="149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6" t="s">
        <v>1649</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592</v>
      </c>
      <c r="U195" s="1097"/>
      <c r="W195" s="25" t="s">
        <v>739</v>
      </c>
      <c r="X195" s="25"/>
      <c r="Y195" s="25"/>
      <c r="Z195" s="25"/>
      <c r="AA195" s="25"/>
      <c r="AB195" s="25"/>
      <c r="AC195" s="25"/>
      <c r="AD195" s="25"/>
      <c r="AE195" s="25"/>
      <c r="AF195" s="25"/>
      <c r="AG195" s="25"/>
      <c r="AH195" s="1097">
        <v>28</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592</v>
      </c>
      <c r="U196" s="1224"/>
      <c r="W196" s="25" t="s">
        <v>740</v>
      </c>
      <c r="X196" s="25"/>
      <c r="Y196" s="25"/>
      <c r="Z196" s="25"/>
      <c r="AA196" s="25"/>
      <c r="AB196" s="25"/>
      <c r="AC196" s="25"/>
      <c r="AD196" s="25"/>
      <c r="AE196" s="25"/>
      <c r="AF196" s="25"/>
      <c r="AG196" s="25"/>
      <c r="AH196" s="1097">
        <v>43</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723</v>
      </c>
      <c r="U197" s="1224"/>
      <c r="V197" s="12"/>
      <c r="W197" s="25" t="s">
        <v>741</v>
      </c>
      <c r="X197" s="25"/>
      <c r="Y197" s="25"/>
      <c r="Z197" s="25"/>
      <c r="AA197" s="25"/>
      <c r="AB197" s="25"/>
      <c r="AC197" s="25"/>
      <c r="AD197" s="25"/>
      <c r="AE197" s="25"/>
      <c r="AF197" s="25"/>
      <c r="AG197" s="25"/>
      <c r="AH197" s="1097">
        <v>24</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4" t="s">
        <v>723</v>
      </c>
      <c r="Z198" s="12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8">
        <f>M26</f>
        <v>2089034</v>
      </c>
      <c r="Q203" s="1314"/>
      <c r="R203" s="1314"/>
      <c r="S203" s="1314"/>
      <c r="T203" s="1314"/>
      <c r="U203" s="131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5" t="s">
        <v>1532</v>
      </c>
      <c r="E204" s="1098"/>
      <c r="F204" s="1098"/>
      <c r="G204" s="1098"/>
      <c r="H204" s="1098"/>
      <c r="I204" s="1098"/>
      <c r="J204" s="1098"/>
      <c r="K204" s="1098"/>
      <c r="L204" s="1098"/>
      <c r="M204" s="1098"/>
      <c r="P204" s="1314">
        <f>M27</f>
        <v>0</v>
      </c>
      <c r="Q204" s="1314"/>
      <c r="R204" s="1314"/>
      <c r="S204" s="1314"/>
      <c r="T204" s="1314"/>
      <c r="U204" s="1314"/>
      <c r="V204" s="47"/>
      <c r="W204" s="25" t="s">
        <v>1533</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9" t="s">
        <v>1656</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9" t="s">
        <v>1194</v>
      </c>
      <c r="E210" s="1219"/>
      <c r="F210" s="1219"/>
      <c r="G210" s="1219"/>
      <c r="H210" s="1219"/>
      <c r="I210" s="1219"/>
      <c r="J210" s="1219"/>
      <c r="K210" s="1219"/>
      <c r="L210" s="1219"/>
      <c r="M210" s="1219"/>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9" t="s">
        <v>970</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9" t="s">
        <v>587</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409</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592</v>
      </c>
      <c r="AJ223" s="1097"/>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1" t="str">
        <f>H16</f>
        <v>The Residency at the Mayer, LP</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585</v>
      </c>
      <c r="AT227" s="406">
        <f>IF(AND(AND($M$244="nonprofit",$M$252="for profit",$M$260="nonprofit")),2,0)</f>
        <v>0</v>
      </c>
    </row>
    <row r="228" spans="1:59" ht="12.75">
      <c r="D228" s="57" t="s">
        <v>92</v>
      </c>
      <c r="E228" s="57"/>
      <c r="F228" s="57"/>
      <c r="G228" s="57"/>
      <c r="H228" s="57"/>
      <c r="I228" s="57"/>
      <c r="J228" s="57"/>
      <c r="K228" s="7"/>
      <c r="M228" s="1094" t="s">
        <v>1672</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585</v>
      </c>
      <c r="AT228" s="405">
        <f>IF(AND(AND($M$244="for profit",$M$252="nonprofit",$M$260="nonprofit")),2,0)</f>
        <v>0</v>
      </c>
      <c r="BB228" s="61"/>
    </row>
    <row r="229" spans="1:59" ht="12.75">
      <c r="D229" s="57" t="s">
        <v>631</v>
      </c>
      <c r="E229" s="57"/>
      <c r="M229" s="1094" t="s">
        <v>541</v>
      </c>
      <c r="N229" s="1219"/>
      <c r="O229" s="1219"/>
      <c r="P229" s="1219"/>
      <c r="Q229" s="1219"/>
      <c r="R229" s="1219"/>
      <c r="S229" s="1219"/>
      <c r="T229" s="1219"/>
      <c r="V229" s="59" t="s">
        <v>93</v>
      </c>
      <c r="W229" s="1121" t="s">
        <v>1657</v>
      </c>
      <c r="X229" s="1101"/>
      <c r="Y229" s="57" t="s">
        <v>634</v>
      </c>
      <c r="AC229" s="1219">
        <v>90028</v>
      </c>
      <c r="AD229" s="1219"/>
      <c r="AE229" s="1219"/>
      <c r="AO229" s="402"/>
      <c r="AT229" s="403"/>
    </row>
    <row r="230" spans="1:59" ht="12.75">
      <c r="D230" s="60" t="s">
        <v>94</v>
      </c>
      <c r="E230" s="7"/>
      <c r="F230" s="7"/>
      <c r="G230" s="7"/>
      <c r="H230" s="7"/>
      <c r="I230" s="7"/>
      <c r="J230" s="7"/>
      <c r="K230" s="29"/>
      <c r="M230" s="1094" t="s">
        <v>1658</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584</v>
      </c>
      <c r="AT230" s="406">
        <f>IF(AND(AND($M$244="nonprofit",$M$252="nonprofit",$M$260="(select one)")),1,0)</f>
        <v>0</v>
      </c>
    </row>
    <row r="231" spans="1:59" ht="12.75">
      <c r="D231" s="60" t="s">
        <v>95</v>
      </c>
      <c r="E231" s="7"/>
      <c r="F231" s="7"/>
      <c r="M231" s="1099" t="s">
        <v>1659</v>
      </c>
      <c r="N231" s="1100"/>
      <c r="O231" s="1100"/>
      <c r="P231" s="1100"/>
      <c r="Q231" s="1100"/>
      <c r="R231" s="1100"/>
      <c r="S231" s="7" t="s">
        <v>220</v>
      </c>
      <c r="T231" s="7"/>
      <c r="U231" s="1101"/>
      <c r="V231" s="1101"/>
      <c r="W231" s="1101"/>
      <c r="X231" s="7" t="s">
        <v>96</v>
      </c>
      <c r="Z231" s="1099" t="s">
        <v>1660</v>
      </c>
      <c r="AA231" s="1100"/>
      <c r="AB231" s="1100"/>
      <c r="AC231" s="1100"/>
      <c r="AD231" s="1100"/>
      <c r="AE231" s="1100"/>
      <c r="AO231" s="400" t="s">
        <v>584</v>
      </c>
      <c r="AT231" s="406">
        <f>IF(AND(AND($M$244="nonprofit",$M$252="nonprofit",$M$260="nonprofit")),1,0)</f>
        <v>0</v>
      </c>
    </row>
    <row r="232" spans="1:59" ht="12.75">
      <c r="D232" s="60" t="s">
        <v>97</v>
      </c>
      <c r="E232" s="7"/>
      <c r="F232" s="7"/>
      <c r="M232" s="1495" t="s">
        <v>1661</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8" t="s">
        <v>575</v>
      </c>
      <c r="N233" s="1118"/>
      <c r="O233" s="1118"/>
      <c r="P233" s="1118"/>
      <c r="Q233" s="1118"/>
      <c r="R233" s="1118"/>
      <c r="S233" s="1118"/>
      <c r="T233" s="1118"/>
      <c r="U233" s="404" t="s">
        <v>1005</v>
      </c>
      <c r="V233" s="335"/>
      <c r="W233" s="335"/>
      <c r="X233" s="335"/>
      <c r="Y233" s="335"/>
      <c r="Z233" s="335"/>
      <c r="AA233" s="1261" t="s">
        <v>1662</v>
      </c>
      <c r="AB233" s="1262"/>
      <c r="AC233" s="1262"/>
      <c r="AD233" s="1262"/>
      <c r="AE233" s="1262"/>
      <c r="AF233" s="1262"/>
      <c r="AG233" s="1262"/>
      <c r="AH233" s="1262"/>
      <c r="AI233" s="1262"/>
      <c r="AJ233" s="1262"/>
      <c r="AK233" s="1262"/>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1781</v>
      </c>
      <c r="N238" s="1254"/>
      <c r="O238" s="1254"/>
      <c r="P238" s="1254"/>
      <c r="Q238" s="1254"/>
      <c r="R238" s="1254"/>
      <c r="S238" s="1254"/>
      <c r="T238" s="1254"/>
      <c r="U238" s="1254"/>
      <c r="V238" s="1254"/>
      <c r="W238" s="1254"/>
      <c r="X238" s="1254"/>
      <c r="Y238" s="1254"/>
      <c r="Z238" s="1254"/>
      <c r="AA238" s="1254"/>
      <c r="AB238" s="1254"/>
      <c r="AC238" s="1254"/>
      <c r="AD238" s="1254"/>
      <c r="AE238" s="1254"/>
      <c r="AF238" s="1254" t="s">
        <v>1663</v>
      </c>
      <c r="AG238" s="1254"/>
      <c r="AH238" s="1254"/>
      <c r="AI238" s="1254"/>
      <c r="AJ238" s="1254"/>
      <c r="AK238" s="1254"/>
      <c r="AT238" s="12">
        <v>1</v>
      </c>
      <c r="AU238" s="12" t="s">
        <v>581</v>
      </c>
      <c r="AZ238" s="25"/>
      <c r="BA238" s="3"/>
      <c r="BB238" s="3"/>
    </row>
    <row r="239" spans="1:59" ht="12.75">
      <c r="A239" s="29"/>
      <c r="B239" s="7"/>
      <c r="C239" s="7"/>
      <c r="D239" s="57" t="s">
        <v>92</v>
      </c>
      <c r="E239" s="57"/>
      <c r="F239" s="57"/>
      <c r="G239" s="57"/>
      <c r="H239" s="57"/>
      <c r="I239" s="57"/>
      <c r="J239" s="57"/>
      <c r="K239" s="57"/>
      <c r="L239" s="7"/>
      <c r="M239" s="1219" t="str">
        <f>M228</f>
        <v>5500 Hollywood Blvd., 4th Floor/West Wing</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219" t="str">
        <f>M229</f>
        <v>Los Angeles</v>
      </c>
      <c r="N240" s="1219"/>
      <c r="O240" s="1219"/>
      <c r="P240" s="1219"/>
      <c r="Q240" s="1219"/>
      <c r="R240" s="1219"/>
      <c r="S240" s="1219"/>
      <c r="T240" s="1219"/>
      <c r="V240" s="59" t="s">
        <v>93</v>
      </c>
      <c r="W240" s="1101" t="str">
        <f>W229</f>
        <v>CA</v>
      </c>
      <c r="X240" s="1101"/>
      <c r="Y240" s="57" t="s">
        <v>634</v>
      </c>
      <c r="AC240" s="1219">
        <f>AC229</f>
        <v>90028</v>
      </c>
      <c r="AD240" s="1219"/>
      <c r="AE240" s="121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19" t="str">
        <f>M230</f>
        <v>Samir Srivastava</v>
      </c>
      <c r="N241" s="1219"/>
      <c r="O241" s="1219"/>
      <c r="P241" s="1219"/>
      <c r="Q241" s="1219"/>
      <c r="R241" s="1219"/>
      <c r="S241" s="1219"/>
      <c r="T241" s="1219"/>
      <c r="U241" s="1219"/>
      <c r="V241" s="1219"/>
      <c r="W241" s="1219"/>
      <c r="X241" s="1219"/>
      <c r="Y241" s="1219"/>
      <c r="Z241" s="1219"/>
      <c r="AA241" s="1219"/>
      <c r="AB241" s="1219"/>
      <c r="AC241" s="1219"/>
      <c r="AD241" s="1219"/>
      <c r="AE241" s="1219"/>
      <c r="AH241" s="1584">
        <v>49</v>
      </c>
      <c r="AI241" s="1584"/>
      <c r="AJ241" s="1584"/>
      <c r="AK241" s="1584"/>
      <c r="AL241" s="7"/>
      <c r="AN241" s="7" t="s">
        <v>296</v>
      </c>
      <c r="BA241" s="61"/>
    </row>
    <row r="242" spans="1:53" ht="12.75">
      <c r="A242" s="29"/>
      <c r="B242" s="7"/>
      <c r="C242" s="7"/>
      <c r="D242" s="60" t="s">
        <v>95</v>
      </c>
      <c r="E242" s="7"/>
      <c r="F242" s="7"/>
      <c r="M242" s="1100" t="str">
        <f>M231</f>
        <v>213 268 2723</v>
      </c>
      <c r="N242" s="1100"/>
      <c r="O242" s="1100"/>
      <c r="P242" s="1100"/>
      <c r="Q242" s="1100"/>
      <c r="R242" s="1100"/>
      <c r="S242" s="7" t="s">
        <v>220</v>
      </c>
      <c r="T242" s="7"/>
      <c r="U242" s="1101"/>
      <c r="V242" s="1101"/>
      <c r="W242" s="1101"/>
      <c r="X242" s="7" t="s">
        <v>96</v>
      </c>
      <c r="Z242" s="1100" t="str">
        <f>Z231</f>
        <v>323 464 7854</v>
      </c>
      <c r="AA242" s="1100"/>
      <c r="AB242" s="1100"/>
      <c r="AC242" s="1100"/>
      <c r="AD242" s="1100"/>
      <c r="AE242" s="1100"/>
      <c r="AN242" s="7" t="s">
        <v>186</v>
      </c>
      <c r="BA242" s="61"/>
    </row>
    <row r="243" spans="1:53" ht="12.75">
      <c r="A243" s="29"/>
      <c r="B243" s="7"/>
      <c r="C243" s="7"/>
      <c r="D243" s="60" t="s">
        <v>97</v>
      </c>
      <c r="E243" s="7"/>
      <c r="F243" s="7"/>
      <c r="M243" s="1495" t="str">
        <f>M232</f>
        <v>samir@absllc.org</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582</v>
      </c>
      <c r="E244" s="7"/>
      <c r="F244" s="7"/>
      <c r="G244" s="7"/>
      <c r="H244" s="7"/>
      <c r="I244" s="7"/>
      <c r="J244" s="7"/>
      <c r="K244" s="7"/>
      <c r="L244" s="7"/>
      <c r="M244" s="1118" t="s">
        <v>583</v>
      </c>
      <c r="N244" s="1118"/>
      <c r="O244" s="1118"/>
      <c r="P244" s="1118"/>
      <c r="Q244" s="1118"/>
      <c r="R244" s="1118"/>
      <c r="S244" s="1118"/>
      <c r="T244" s="1118"/>
      <c r="U244" s="404" t="s">
        <v>1005</v>
      </c>
      <c r="V244" s="335"/>
      <c r="W244" s="335"/>
      <c r="X244" s="335"/>
      <c r="Y244" s="335"/>
      <c r="Z244" s="335"/>
      <c r="AA244" s="1261" t="s">
        <v>1662</v>
      </c>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1782</v>
      </c>
      <c r="N246" s="1254"/>
      <c r="O246" s="1254"/>
      <c r="P246" s="1254"/>
      <c r="Q246" s="1254"/>
      <c r="R246" s="1254"/>
      <c r="S246" s="1254"/>
      <c r="T246" s="1254"/>
      <c r="U246" s="1254"/>
      <c r="V246" s="1254"/>
      <c r="W246" s="1254"/>
      <c r="X246" s="1254"/>
      <c r="Y246" s="1254"/>
      <c r="Z246" s="1254"/>
      <c r="AA246" s="1254"/>
      <c r="AB246" s="1254"/>
      <c r="AC246" s="1254"/>
      <c r="AD246" s="1254"/>
      <c r="AE246" s="1254"/>
      <c r="AF246" s="1254" t="s">
        <v>1665</v>
      </c>
      <c r="AG246" s="1254"/>
      <c r="AH246" s="1254"/>
      <c r="AI246" s="1254"/>
      <c r="AJ246" s="1254"/>
      <c r="AK246" s="1254"/>
      <c r="BA246" s="61"/>
    </row>
    <row r="247" spans="1:53" ht="12.75">
      <c r="A247" s="29"/>
      <c r="B247" s="7"/>
      <c r="C247" s="7"/>
      <c r="D247" s="57" t="s">
        <v>92</v>
      </c>
      <c r="E247" s="57"/>
      <c r="F247" s="57"/>
      <c r="G247" s="57"/>
      <c r="H247" s="57"/>
      <c r="I247" s="57"/>
      <c r="J247" s="57"/>
      <c r="K247" s="57"/>
      <c r="L247" s="7"/>
      <c r="M247" s="1094" t="s">
        <v>1666</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1420</v>
      </c>
      <c r="AG247" s="743"/>
      <c r="AH247" s="743"/>
      <c r="AI247" s="743"/>
      <c r="AJ247" s="743"/>
      <c r="AK247" s="743"/>
      <c r="AL247" s="7"/>
      <c r="BA247" s="61"/>
    </row>
    <row r="248" spans="1:53" ht="12.75">
      <c r="A248" s="29"/>
      <c r="B248" s="7"/>
      <c r="C248" s="7"/>
      <c r="D248" s="57" t="s">
        <v>631</v>
      </c>
      <c r="E248" s="57"/>
      <c r="M248" s="1094" t="s">
        <v>72</v>
      </c>
      <c r="N248" s="1219"/>
      <c r="O248" s="1219"/>
      <c r="P248" s="1219"/>
      <c r="Q248" s="1219"/>
      <c r="R248" s="1219"/>
      <c r="S248" s="1219"/>
      <c r="T248" s="1219"/>
      <c r="V248" s="59" t="s">
        <v>93</v>
      </c>
      <c r="W248" s="1121" t="s">
        <v>1657</v>
      </c>
      <c r="X248" s="1101"/>
      <c r="Y248" s="57" t="s">
        <v>634</v>
      </c>
      <c r="AC248" s="1219">
        <v>92507</v>
      </c>
      <c r="AD248" s="1219"/>
      <c r="AE248" s="121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1667</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4">
        <v>51</v>
      </c>
      <c r="AI249" s="1584"/>
      <c r="AJ249" s="1584"/>
      <c r="AK249" s="1584"/>
      <c r="AL249" s="7"/>
      <c r="BA249" s="61"/>
    </row>
    <row r="250" spans="1:53" ht="12.75">
      <c r="A250" s="29"/>
      <c r="B250" s="7"/>
      <c r="C250" s="7"/>
      <c r="D250" s="60" t="s">
        <v>95</v>
      </c>
      <c r="E250" s="7"/>
      <c r="F250" s="7"/>
      <c r="M250" s="1099" t="s">
        <v>1668</v>
      </c>
      <c r="N250" s="1100"/>
      <c r="O250" s="1100"/>
      <c r="P250" s="1100"/>
      <c r="Q250" s="1100"/>
      <c r="R250" s="1100"/>
      <c r="S250" s="7" t="s">
        <v>220</v>
      </c>
      <c r="T250" s="7"/>
      <c r="U250" s="1101"/>
      <c r="V250" s="1101"/>
      <c r="W250" s="1101"/>
      <c r="X250" s="7" t="s">
        <v>96</v>
      </c>
      <c r="Z250" s="1099" t="s">
        <v>1670</v>
      </c>
      <c r="AA250" s="1100"/>
      <c r="AB250" s="1100"/>
      <c r="AC250" s="1100"/>
      <c r="AD250" s="1100"/>
      <c r="AE250" s="1100"/>
      <c r="BA250" s="61"/>
    </row>
    <row r="251" spans="1:53" ht="12.75" customHeight="1">
      <c r="A251" s="29"/>
      <c r="B251" s="7"/>
      <c r="C251" s="7"/>
      <c r="D251" s="60" t="s">
        <v>97</v>
      </c>
      <c r="E251" s="7"/>
      <c r="F251" s="7"/>
      <c r="M251" s="1495" t="s">
        <v>1669</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8" t="s">
        <v>581</v>
      </c>
      <c r="N252" s="1118"/>
      <c r="O252" s="1118"/>
      <c r="P252" s="1118"/>
      <c r="Q252" s="1118"/>
      <c r="R252" s="1118"/>
      <c r="S252" s="1118"/>
      <c r="T252" s="1118"/>
      <c r="U252" s="404" t="s">
        <v>1005</v>
      </c>
      <c r="V252" s="335"/>
      <c r="W252" s="335"/>
      <c r="X252" s="335"/>
      <c r="Y252" s="335"/>
      <c r="Z252" s="335"/>
      <c r="AA252" s="1261" t="s">
        <v>1664</v>
      </c>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4"/>
      <c r="N254" s="1254"/>
      <c r="O254" s="1254"/>
      <c r="P254" s="1254"/>
      <c r="Q254" s="1254"/>
      <c r="R254" s="1254"/>
      <c r="S254" s="1254"/>
      <c r="T254" s="1254"/>
      <c r="U254" s="1254"/>
      <c r="V254" s="1254"/>
      <c r="W254" s="1254"/>
      <c r="X254" s="1254"/>
      <c r="Y254" s="1254"/>
      <c r="Z254" s="1254"/>
      <c r="AA254" s="1254"/>
      <c r="AB254" s="1254"/>
      <c r="AC254" s="1254"/>
      <c r="AD254" s="1254"/>
      <c r="AE254" s="1254"/>
      <c r="AF254" s="1254" t="s">
        <v>329</v>
      </c>
      <c r="AG254" s="1254"/>
      <c r="AH254" s="1254"/>
      <c r="AI254" s="1254"/>
      <c r="AJ254" s="1254"/>
      <c r="AK254" s="1254"/>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1420</v>
      </c>
      <c r="AG255" s="743"/>
      <c r="AH255" s="743"/>
      <c r="AI255" s="743"/>
      <c r="AJ255" s="743"/>
      <c r="AK255" s="743"/>
      <c r="AL255" s="58"/>
      <c r="BA255" s="61"/>
    </row>
    <row r="256" spans="1:53" ht="12.75">
      <c r="A256" s="23"/>
      <c r="B256" s="7"/>
      <c r="C256" s="7"/>
      <c r="D256" s="57" t="s">
        <v>631</v>
      </c>
      <c r="E256" s="57"/>
      <c r="M256" s="1219"/>
      <c r="N256" s="1219"/>
      <c r="O256" s="1219"/>
      <c r="P256" s="1219"/>
      <c r="Q256" s="1219"/>
      <c r="R256" s="1219"/>
      <c r="S256" s="1219"/>
      <c r="T256" s="1219"/>
      <c r="V256" s="59" t="s">
        <v>93</v>
      </c>
      <c r="W256" s="1101"/>
      <c r="X256" s="1101"/>
      <c r="Y256" s="57" t="s">
        <v>634</v>
      </c>
      <c r="AC256" s="1219"/>
      <c r="AD256" s="1219"/>
      <c r="AE256" s="121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4"/>
      <c r="AI257" s="1584"/>
      <c r="AJ257" s="1584"/>
      <c r="AK257" s="1584"/>
      <c r="AL257" s="58"/>
      <c r="BA257" s="61"/>
    </row>
    <row r="258" spans="1:53" ht="12.75">
      <c r="A258" s="23"/>
      <c r="B258" s="7"/>
      <c r="C258" s="7"/>
      <c r="D258" s="60" t="s">
        <v>95</v>
      </c>
      <c r="E258" s="7"/>
      <c r="F258" s="7"/>
      <c r="M258" s="1100"/>
      <c r="N258" s="1100"/>
      <c r="O258" s="1100"/>
      <c r="P258" s="1100"/>
      <c r="Q258" s="1100"/>
      <c r="R258" s="1100"/>
      <c r="S258" s="7" t="s">
        <v>220</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495"/>
      <c r="N259" s="1495"/>
      <c r="O259" s="1495"/>
      <c r="P259" s="1495"/>
      <c r="Q259" s="1495"/>
      <c r="R259" s="1495"/>
      <c r="S259" s="1495"/>
      <c r="T259" s="1495"/>
      <c r="U259" s="1495"/>
      <c r="V259" s="1495"/>
      <c r="W259" s="1495"/>
      <c r="X259" s="1495"/>
      <c r="Y259" s="1495"/>
      <c r="Z259" s="1495"/>
      <c r="AA259" s="1502"/>
      <c r="AB259" s="1502"/>
      <c r="AC259" s="1502"/>
      <c r="AD259" s="1502"/>
      <c r="AE259" s="1502"/>
      <c r="AG259" s="7"/>
      <c r="AH259" s="7"/>
      <c r="AI259" s="7"/>
      <c r="AJ259" s="7"/>
      <c r="AK259" s="7"/>
      <c r="AL259" s="58"/>
      <c r="BA259" s="61"/>
    </row>
    <row r="260" spans="1:53" ht="12.75">
      <c r="A260" s="23"/>
      <c r="B260" s="7"/>
      <c r="C260" s="139"/>
      <c r="D260" s="60" t="s">
        <v>582</v>
      </c>
      <c r="E260" s="7"/>
      <c r="F260" s="7"/>
      <c r="G260" s="7"/>
      <c r="H260" s="7"/>
      <c r="I260" s="7"/>
      <c r="J260" s="7"/>
      <c r="K260" s="7"/>
      <c r="L260" s="7"/>
      <c r="M260" s="1118" t="s">
        <v>329</v>
      </c>
      <c r="N260" s="1118"/>
      <c r="O260" s="1118"/>
      <c r="P260" s="1118"/>
      <c r="Q260" s="1118"/>
      <c r="R260" s="1118"/>
      <c r="S260" s="1118"/>
      <c r="T260" s="1118"/>
      <c r="U260" s="404" t="s">
        <v>1005</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8" t="str">
        <f>BB239</f>
        <v>Joint Venture</v>
      </c>
      <c r="U262" s="1498"/>
      <c r="V262" s="1498"/>
      <c r="W262" s="1498"/>
      <c r="X262" s="149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1671</v>
      </c>
      <c r="M269" s="1254"/>
      <c r="N269" s="1254"/>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58"/>
      <c r="AL269" s="58"/>
      <c r="BA269" s="61"/>
    </row>
    <row r="270" spans="1:53" ht="12.75" customHeight="1">
      <c r="D270" s="57" t="s">
        <v>92</v>
      </c>
      <c r="E270" s="57"/>
      <c r="F270" s="57"/>
      <c r="G270" s="57"/>
      <c r="H270" s="57"/>
      <c r="I270" s="57"/>
      <c r="J270" s="57"/>
      <c r="K270" s="7"/>
      <c r="L270" s="1219" t="str">
        <f>M239</f>
        <v>5500 Hollywood Blvd., 4th Floor/West Wing</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631</v>
      </c>
      <c r="E271" s="57"/>
      <c r="L271" s="1219" t="str">
        <f>M240</f>
        <v>Los Angeles</v>
      </c>
      <c r="M271" s="1219"/>
      <c r="N271" s="1219"/>
      <c r="O271" s="1219"/>
      <c r="P271" s="1219"/>
      <c r="Q271" s="1219"/>
      <c r="R271" s="1219"/>
      <c r="S271" s="1219"/>
      <c r="U271" s="59" t="s">
        <v>93</v>
      </c>
      <c r="V271" s="1101" t="str">
        <f>W240</f>
        <v>CA</v>
      </c>
      <c r="W271" s="1101"/>
      <c r="X271" s="57" t="s">
        <v>634</v>
      </c>
      <c r="AB271" s="1219">
        <f>AC240</f>
        <v>90028</v>
      </c>
      <c r="AC271" s="1219"/>
      <c r="AD271" s="1219"/>
      <c r="AK271" s="58"/>
      <c r="AL271" s="58"/>
      <c r="BA271" s="61"/>
    </row>
    <row r="272" spans="1:53" ht="12.75">
      <c r="D272" s="60" t="s">
        <v>94</v>
      </c>
      <c r="E272" s="7"/>
      <c r="F272" s="7"/>
      <c r="G272" s="7"/>
      <c r="H272" s="7"/>
      <c r="I272" s="7"/>
      <c r="J272" s="7"/>
      <c r="K272" s="29"/>
      <c r="L272" s="1219" t="str">
        <f>M241</f>
        <v>Samir Srivastava</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0" t="str">
        <f>M242</f>
        <v>213 268 2723</v>
      </c>
      <c r="M273" s="1100"/>
      <c r="N273" s="1100"/>
      <c r="O273" s="1100"/>
      <c r="P273" s="1100"/>
      <c r="Q273" s="1100"/>
      <c r="R273" s="7" t="s">
        <v>220</v>
      </c>
      <c r="S273" s="7"/>
      <c r="T273" s="1101"/>
      <c r="U273" s="1101"/>
      <c r="V273" s="1101"/>
      <c r="W273" s="7" t="s">
        <v>96</v>
      </c>
      <c r="Y273" s="1100" t="str">
        <f>Z242</f>
        <v>323 464 7854</v>
      </c>
      <c r="Z273" s="1100"/>
      <c r="AA273" s="1100"/>
      <c r="AB273" s="1100"/>
      <c r="AC273" s="1100"/>
      <c r="AD273" s="1100"/>
      <c r="BA273" s="61"/>
    </row>
    <row r="274" spans="1:53" ht="12.75">
      <c r="D274" s="60" t="s">
        <v>97</v>
      </c>
      <c r="E274" s="7"/>
      <c r="F274" s="7"/>
      <c r="L274" s="1495" t="str">
        <f>M243</f>
        <v>samir@absllc.org</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674</v>
      </c>
      <c r="E275" s="58"/>
      <c r="F275" s="58"/>
      <c r="G275" s="58"/>
      <c r="H275" s="58"/>
      <c r="I275" s="58"/>
      <c r="L275" s="1121" t="s">
        <v>1727</v>
      </c>
      <c r="M275" s="1121"/>
      <c r="N275" s="1121"/>
      <c r="O275" s="1121"/>
      <c r="P275" s="1121"/>
      <c r="Q275" s="1121"/>
      <c r="R275" s="1121"/>
      <c r="S275" s="1121"/>
      <c r="T275" s="1121"/>
      <c r="U275" s="1121"/>
      <c r="V275" s="1121"/>
      <c r="W275" s="1121"/>
      <c r="X275" s="1121"/>
      <c r="Y275" s="1121"/>
      <c r="Z275" s="1121"/>
      <c r="AA275" s="1121"/>
      <c r="AB275" s="1121"/>
      <c r="AC275" s="1121"/>
      <c r="AD275" s="1121"/>
      <c r="AK275" s="58"/>
      <c r="AL275" s="58"/>
      <c r="BA275" s="61"/>
    </row>
    <row r="276" spans="1:53" ht="12.75">
      <c r="L276" s="35" t="s">
        <v>675</v>
      </c>
      <c r="BA276" s="61"/>
    </row>
    <row r="277" spans="1:53" ht="12.75">
      <c r="A277" s="1259" t="s">
        <v>588</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t="s">
        <v>1662</v>
      </c>
      <c r="I282" s="1096"/>
      <c r="J282" s="1096"/>
      <c r="K282" s="1096"/>
      <c r="L282" s="1096"/>
      <c r="M282" s="1096"/>
      <c r="N282" s="1096"/>
      <c r="O282" s="1096"/>
      <c r="P282" s="1096"/>
      <c r="Q282" s="1096"/>
      <c r="R282" s="1096"/>
      <c r="T282" s="58" t="s">
        <v>616</v>
      </c>
      <c r="V282" s="58"/>
      <c r="W282" s="58"/>
      <c r="X282" s="58"/>
      <c r="Y282" s="58"/>
      <c r="AA282" s="1094" t="s">
        <v>1676</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21" t="s">
        <v>1673</v>
      </c>
      <c r="I283" s="1118"/>
      <c r="J283" s="1118"/>
      <c r="K283" s="1118"/>
      <c r="L283" s="1118"/>
      <c r="M283" s="1118"/>
      <c r="N283" s="1118"/>
      <c r="O283" s="1118"/>
      <c r="P283" s="1118"/>
      <c r="Q283" s="1118"/>
      <c r="R283" s="1118"/>
      <c r="T283" s="58" t="s">
        <v>518</v>
      </c>
      <c r="V283" s="58"/>
      <c r="W283" s="58"/>
      <c r="X283" s="58"/>
      <c r="Y283" s="58"/>
      <c r="AA283" s="1121" t="s">
        <v>1677</v>
      </c>
      <c r="AB283" s="1118"/>
      <c r="AC283" s="1118"/>
      <c r="AD283" s="1118"/>
      <c r="AE283" s="1118"/>
      <c r="AF283" s="1118"/>
      <c r="AG283" s="1118"/>
      <c r="AH283" s="1118"/>
      <c r="AI283" s="1118"/>
      <c r="AJ283" s="1118"/>
      <c r="AK283" s="1118"/>
      <c r="BA283" s="61"/>
    </row>
    <row r="284" spans="1:53" ht="12.75" customHeight="1">
      <c r="B284" s="58" t="s">
        <v>519</v>
      </c>
      <c r="C284" s="58"/>
      <c r="D284" s="58"/>
      <c r="E284" s="58"/>
      <c r="F284" s="58"/>
      <c r="H284" s="1121" t="s">
        <v>1674</v>
      </c>
      <c r="I284" s="1118"/>
      <c r="J284" s="1118"/>
      <c r="K284" s="1118"/>
      <c r="L284" s="1118"/>
      <c r="M284" s="1118"/>
      <c r="N284" s="1118"/>
      <c r="O284" s="1118"/>
      <c r="P284" s="1118"/>
      <c r="Q284" s="1118"/>
      <c r="R284" s="1118"/>
      <c r="T284" s="58" t="s">
        <v>81</v>
      </c>
      <c r="V284" s="58"/>
      <c r="W284" s="58"/>
      <c r="X284" s="58"/>
      <c r="Y284" s="58"/>
      <c r="AA284" s="1121" t="s">
        <v>1678</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21" t="s">
        <v>1675</v>
      </c>
      <c r="I285" s="1118"/>
      <c r="J285" s="1118"/>
      <c r="K285" s="1118"/>
      <c r="L285" s="1118"/>
      <c r="M285" s="1118"/>
      <c r="N285" s="1118"/>
      <c r="O285" s="1118"/>
      <c r="P285" s="1118"/>
      <c r="Q285" s="1118"/>
      <c r="R285" s="1118"/>
      <c r="T285" s="58" t="s">
        <v>94</v>
      </c>
      <c r="V285" s="58"/>
      <c r="W285" s="58"/>
      <c r="X285" s="58"/>
      <c r="Y285" s="58"/>
      <c r="AA285" s="1121" t="s">
        <v>1679</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1659</v>
      </c>
      <c r="I286" s="1120"/>
      <c r="J286" s="1120"/>
      <c r="K286" s="1120"/>
      <c r="L286" s="1120"/>
      <c r="M286" s="1120"/>
      <c r="N286" s="7" t="s">
        <v>220</v>
      </c>
      <c r="O286" s="7"/>
      <c r="P286" s="1219"/>
      <c r="Q286" s="1219"/>
      <c r="R286" s="1219"/>
      <c r="S286" s="58"/>
      <c r="T286" s="58" t="s">
        <v>95</v>
      </c>
      <c r="V286" s="58"/>
      <c r="W286" s="58"/>
      <c r="X286" s="58"/>
      <c r="Y286" s="58"/>
      <c r="AA286" s="1119" t="s">
        <v>1680</v>
      </c>
      <c r="AB286" s="1120"/>
      <c r="AC286" s="1120"/>
      <c r="AD286" s="1120"/>
      <c r="AE286" s="1120"/>
      <c r="AF286" s="1120"/>
      <c r="AG286" s="7" t="s">
        <v>220</v>
      </c>
      <c r="AH286" s="7"/>
      <c r="AI286" s="1219"/>
      <c r="AJ286" s="1219"/>
      <c r="AK286" s="1219"/>
      <c r="BA286" s="61"/>
    </row>
    <row r="287" spans="1:53" ht="12.75">
      <c r="B287" s="58" t="s">
        <v>96</v>
      </c>
      <c r="C287" s="58"/>
      <c r="D287" s="58"/>
      <c r="E287" s="58"/>
      <c r="F287" s="58"/>
      <c r="G287" s="58"/>
      <c r="H287" s="1099" t="s">
        <v>1660</v>
      </c>
      <c r="I287" s="1100"/>
      <c r="J287" s="1100"/>
      <c r="K287" s="1100"/>
      <c r="L287" s="1100"/>
      <c r="M287" s="1100"/>
      <c r="N287" s="60"/>
      <c r="O287" s="60"/>
      <c r="P287" s="62"/>
      <c r="Q287" s="62"/>
      <c r="R287" s="62"/>
      <c r="S287" s="58"/>
      <c r="T287" s="58" t="s">
        <v>96</v>
      </c>
      <c r="V287" s="58"/>
      <c r="W287" s="58"/>
      <c r="X287" s="58"/>
      <c r="Y287" s="58"/>
      <c r="AA287" s="1100"/>
      <c r="AB287" s="1100"/>
      <c r="AC287" s="1100"/>
      <c r="AD287" s="1100"/>
      <c r="AE287" s="1100"/>
      <c r="AF287" s="1100"/>
      <c r="AG287" s="60"/>
      <c r="AH287" s="60"/>
      <c r="AI287" s="62"/>
      <c r="AJ287" s="62"/>
      <c r="AK287" s="62"/>
      <c r="BA287" s="61"/>
    </row>
    <row r="288" spans="1:53" ht="12.75">
      <c r="B288" s="58" t="s">
        <v>82</v>
      </c>
      <c r="C288" s="58"/>
      <c r="D288" s="58"/>
      <c r="E288" s="58"/>
      <c r="F288" s="58"/>
      <c r="G288" s="58"/>
      <c r="H288" s="1121" t="s">
        <v>1661</v>
      </c>
      <c r="I288" s="1118"/>
      <c r="J288" s="1118"/>
      <c r="K288" s="1118"/>
      <c r="L288" s="1118"/>
      <c r="M288" s="1118"/>
      <c r="N288" s="1096"/>
      <c r="O288" s="1096"/>
      <c r="P288" s="1096"/>
      <c r="Q288" s="1096"/>
      <c r="R288" s="1096"/>
      <c r="S288" s="58"/>
      <c r="T288" s="58" t="s">
        <v>82</v>
      </c>
      <c r="V288" s="58"/>
      <c r="W288" s="58"/>
      <c r="X288" s="58"/>
      <c r="Y288" s="58"/>
      <c r="AA288" s="1121" t="s">
        <v>1681</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1682</v>
      </c>
      <c r="I290" s="1096"/>
      <c r="J290" s="1096"/>
      <c r="K290" s="1096"/>
      <c r="L290" s="1096"/>
      <c r="M290" s="1096"/>
      <c r="N290" s="1096"/>
      <c r="O290" s="1096"/>
      <c r="P290" s="1096"/>
      <c r="Q290" s="1096"/>
      <c r="R290" s="1096"/>
      <c r="T290" s="58" t="s">
        <v>388</v>
      </c>
      <c r="V290" s="58"/>
      <c r="W290" s="58"/>
      <c r="X290" s="58"/>
      <c r="Y290" s="58"/>
      <c r="AA290" s="1096"/>
      <c r="AB290" s="1096"/>
      <c r="AC290" s="1096"/>
      <c r="AD290" s="1096"/>
      <c r="AE290" s="1096"/>
      <c r="AF290" s="1096"/>
      <c r="AG290" s="1096"/>
      <c r="AH290" s="1096"/>
      <c r="AI290" s="1096"/>
      <c r="AJ290" s="1096"/>
      <c r="AK290" s="1096"/>
      <c r="BA290" s="61"/>
    </row>
    <row r="291" spans="2:53" ht="12.75">
      <c r="B291" s="58" t="s">
        <v>518</v>
      </c>
      <c r="C291" s="58"/>
      <c r="D291" s="58"/>
      <c r="E291" s="58"/>
      <c r="F291" s="58"/>
      <c r="H291" s="1121" t="s">
        <v>1683</v>
      </c>
      <c r="I291" s="1118"/>
      <c r="J291" s="1118"/>
      <c r="K291" s="1118"/>
      <c r="L291" s="1118"/>
      <c r="M291" s="1118"/>
      <c r="N291" s="1118"/>
      <c r="O291" s="1118"/>
      <c r="P291" s="1118"/>
      <c r="Q291" s="1118"/>
      <c r="R291" s="1118"/>
      <c r="T291" s="58" t="s">
        <v>518</v>
      </c>
      <c r="V291" s="58"/>
      <c r="W291" s="58"/>
      <c r="X291" s="58"/>
      <c r="Y291" s="58"/>
      <c r="AA291" s="1118"/>
      <c r="AB291" s="1118"/>
      <c r="AC291" s="1118"/>
      <c r="AD291" s="1118"/>
      <c r="AE291" s="1118"/>
      <c r="AF291" s="1118"/>
      <c r="AG291" s="1118"/>
      <c r="AH291" s="1118"/>
      <c r="AI291" s="1118"/>
      <c r="AJ291" s="1118"/>
      <c r="AK291" s="1118"/>
      <c r="BA291" s="61"/>
    </row>
    <row r="292" spans="2:53" ht="12.75">
      <c r="B292" s="58" t="s">
        <v>519</v>
      </c>
      <c r="C292" s="58"/>
      <c r="D292" s="58"/>
      <c r="E292" s="58"/>
      <c r="F292" s="58"/>
      <c r="H292" s="1121" t="s">
        <v>1684</v>
      </c>
      <c r="I292" s="1118"/>
      <c r="J292" s="1118"/>
      <c r="K292" s="1118"/>
      <c r="L292" s="1118"/>
      <c r="M292" s="1118"/>
      <c r="N292" s="1118"/>
      <c r="O292" s="1118"/>
      <c r="P292" s="1118"/>
      <c r="Q292" s="1118"/>
      <c r="R292" s="1118"/>
      <c r="T292" s="58" t="s">
        <v>81</v>
      </c>
      <c r="V292" s="58"/>
      <c r="W292" s="58"/>
      <c r="X292" s="58"/>
      <c r="Y292" s="58"/>
      <c r="AA292" s="1118"/>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21" t="s">
        <v>1685</v>
      </c>
      <c r="I293" s="1118"/>
      <c r="J293" s="1118"/>
      <c r="K293" s="1118"/>
      <c r="L293" s="1118"/>
      <c r="M293" s="1118"/>
      <c r="N293" s="1118"/>
      <c r="O293" s="1118"/>
      <c r="P293" s="1118"/>
      <c r="Q293" s="1118"/>
      <c r="R293" s="1118"/>
      <c r="T293" s="58" t="s">
        <v>94</v>
      </c>
      <c r="V293" s="58"/>
      <c r="W293" s="58"/>
      <c r="X293" s="58"/>
      <c r="Y293" s="58"/>
      <c r="AA293" s="1118"/>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1686</v>
      </c>
      <c r="I294" s="1120"/>
      <c r="J294" s="1120"/>
      <c r="K294" s="1120"/>
      <c r="L294" s="1120"/>
      <c r="M294" s="1120"/>
      <c r="N294" s="7" t="s">
        <v>220</v>
      </c>
      <c r="O294" s="7"/>
      <c r="P294" s="1219"/>
      <c r="Q294" s="1219"/>
      <c r="R294" s="1219"/>
      <c r="S294" s="58"/>
      <c r="T294" s="58" t="s">
        <v>95</v>
      </c>
      <c r="V294" s="58"/>
      <c r="W294" s="58"/>
      <c r="X294" s="58"/>
      <c r="Y294" s="58"/>
      <c r="AA294" s="1120"/>
      <c r="AB294" s="1120"/>
      <c r="AC294" s="1120"/>
      <c r="AD294" s="1120"/>
      <c r="AE294" s="1120"/>
      <c r="AF294" s="1120"/>
      <c r="AG294" s="7" t="s">
        <v>220</v>
      </c>
      <c r="AH294" s="7"/>
      <c r="AI294" s="1219"/>
      <c r="AJ294" s="1219"/>
      <c r="AK294" s="1219"/>
      <c r="BA294" s="61"/>
    </row>
    <row r="295" spans="2:53" ht="12.75" customHeight="1">
      <c r="B295" s="58" t="s">
        <v>96</v>
      </c>
      <c r="C295" s="58"/>
      <c r="D295" s="58"/>
      <c r="E295" s="58"/>
      <c r="F295" s="58"/>
      <c r="G295" s="58"/>
      <c r="H295" s="1100"/>
      <c r="I295" s="1100"/>
      <c r="J295" s="1100"/>
      <c r="K295" s="1100"/>
      <c r="L295" s="1100"/>
      <c r="M295" s="1100"/>
      <c r="N295" s="60"/>
      <c r="O295" s="60"/>
      <c r="P295" s="62"/>
      <c r="Q295" s="62"/>
      <c r="R295" s="62"/>
      <c r="S295" s="58"/>
      <c r="T295" s="58" t="s">
        <v>96</v>
      </c>
      <c r="V295" s="58"/>
      <c r="W295" s="58"/>
      <c r="X295" s="58"/>
      <c r="Y295" s="58"/>
      <c r="AA295" s="1100"/>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21" t="s">
        <v>1687</v>
      </c>
      <c r="I296" s="1118"/>
      <c r="J296" s="1118"/>
      <c r="K296" s="1118"/>
      <c r="L296" s="1118"/>
      <c r="M296" s="1118"/>
      <c r="N296" s="1096"/>
      <c r="O296" s="1096"/>
      <c r="P296" s="1096"/>
      <c r="Q296" s="1096"/>
      <c r="R296" s="1096"/>
      <c r="S296" s="58"/>
      <c r="T296" s="58" t="s">
        <v>82</v>
      </c>
      <c r="V296" s="58"/>
      <c r="W296" s="58"/>
      <c r="X296" s="58"/>
      <c r="Y296" s="58"/>
      <c r="AA296" s="1118"/>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4" t="s">
        <v>1694</v>
      </c>
      <c r="I298" s="1096"/>
      <c r="J298" s="1096"/>
      <c r="K298" s="1096"/>
      <c r="L298" s="1096"/>
      <c r="M298" s="1096"/>
      <c r="N298" s="1096"/>
      <c r="O298" s="1096"/>
      <c r="P298" s="1096"/>
      <c r="Q298" s="1096"/>
      <c r="R298" s="1096"/>
      <c r="T298" s="7" t="s">
        <v>973</v>
      </c>
      <c r="V298" s="58"/>
      <c r="W298" s="58"/>
      <c r="X298" s="58"/>
      <c r="Y298" s="58"/>
      <c r="AA298" s="1094" t="s">
        <v>1688</v>
      </c>
      <c r="AB298" s="1096"/>
      <c r="AC298" s="1096"/>
      <c r="AD298" s="1096"/>
      <c r="AE298" s="1096"/>
      <c r="AF298" s="1096"/>
      <c r="AG298" s="1096"/>
      <c r="AH298" s="1096"/>
      <c r="AI298" s="1096"/>
      <c r="AJ298" s="1096"/>
      <c r="AK298" s="1096"/>
      <c r="BA298" s="61"/>
    </row>
    <row r="299" spans="2:53" ht="12.75">
      <c r="B299" s="58" t="s">
        <v>518</v>
      </c>
      <c r="C299" s="58"/>
      <c r="D299" s="58"/>
      <c r="E299" s="58"/>
      <c r="F299" s="58"/>
      <c r="H299" s="1121" t="s">
        <v>1728</v>
      </c>
      <c r="I299" s="1118"/>
      <c r="J299" s="1118"/>
      <c r="K299" s="1118"/>
      <c r="L299" s="1118"/>
      <c r="M299" s="1118"/>
      <c r="N299" s="1118"/>
      <c r="O299" s="1118"/>
      <c r="P299" s="1118"/>
      <c r="Q299" s="1118"/>
      <c r="R299" s="1118"/>
      <c r="T299" s="58" t="s">
        <v>518</v>
      </c>
      <c r="V299" s="58"/>
      <c r="W299" s="58"/>
      <c r="X299" s="58"/>
      <c r="Y299" s="58"/>
      <c r="AA299" s="1121" t="s">
        <v>1689</v>
      </c>
      <c r="AB299" s="1118"/>
      <c r="AC299" s="1118"/>
      <c r="AD299" s="1118"/>
      <c r="AE299" s="1118"/>
      <c r="AF299" s="1118"/>
      <c r="AG299" s="1118"/>
      <c r="AH299" s="1118"/>
      <c r="AI299" s="1118"/>
      <c r="AJ299" s="1118"/>
      <c r="AK299" s="1118"/>
      <c r="BA299" s="61"/>
    </row>
    <row r="300" spans="2:53" ht="12.75">
      <c r="B300" s="58" t="s">
        <v>519</v>
      </c>
      <c r="C300" s="58"/>
      <c r="D300" s="58"/>
      <c r="E300" s="58"/>
      <c r="F300" s="58"/>
      <c r="H300" s="1121" t="s">
        <v>1729</v>
      </c>
      <c r="I300" s="1118"/>
      <c r="J300" s="1118"/>
      <c r="K300" s="1118"/>
      <c r="L300" s="1118"/>
      <c r="M300" s="1118"/>
      <c r="N300" s="1118"/>
      <c r="O300" s="1118"/>
      <c r="P300" s="1118"/>
      <c r="Q300" s="1118"/>
      <c r="R300" s="1118"/>
      <c r="T300" s="58" t="s">
        <v>81</v>
      </c>
      <c r="V300" s="58"/>
      <c r="W300" s="58"/>
      <c r="X300" s="58"/>
      <c r="Y300" s="58"/>
      <c r="AA300" s="1121" t="s">
        <v>1690</v>
      </c>
      <c r="AB300" s="1118"/>
      <c r="AC300" s="1118"/>
      <c r="AD300" s="1118"/>
      <c r="AE300" s="1118"/>
      <c r="AF300" s="1118"/>
      <c r="AG300" s="1118"/>
      <c r="AH300" s="1118"/>
      <c r="AI300" s="1118"/>
      <c r="AJ300" s="1118"/>
      <c r="AK300" s="1118"/>
      <c r="BA300" s="61"/>
    </row>
    <row r="301" spans="2:53" ht="12.75">
      <c r="B301" s="58" t="s">
        <v>94</v>
      </c>
      <c r="C301" s="58"/>
      <c r="D301" s="58"/>
      <c r="E301" s="58"/>
      <c r="F301" s="58"/>
      <c r="H301" s="1121" t="s">
        <v>1730</v>
      </c>
      <c r="I301" s="1118"/>
      <c r="J301" s="1118"/>
      <c r="K301" s="1118"/>
      <c r="L301" s="1118"/>
      <c r="M301" s="1118"/>
      <c r="N301" s="1118"/>
      <c r="O301" s="1118"/>
      <c r="P301" s="1118"/>
      <c r="Q301" s="1118"/>
      <c r="R301" s="1118"/>
      <c r="T301" s="58" t="s">
        <v>94</v>
      </c>
      <c r="V301" s="58"/>
      <c r="W301" s="58"/>
      <c r="X301" s="58"/>
      <c r="Y301" s="58"/>
      <c r="AA301" s="1121" t="s">
        <v>1691</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1731</v>
      </c>
      <c r="I302" s="1120"/>
      <c r="J302" s="1120"/>
      <c r="K302" s="1120"/>
      <c r="L302" s="1120"/>
      <c r="M302" s="1120"/>
      <c r="N302" s="7" t="s">
        <v>220</v>
      </c>
      <c r="O302" s="7"/>
      <c r="P302" s="1219">
        <v>2401</v>
      </c>
      <c r="Q302" s="1219"/>
      <c r="R302" s="1219"/>
      <c r="S302" s="58"/>
      <c r="T302" s="58" t="s">
        <v>95</v>
      </c>
      <c r="V302" s="58"/>
      <c r="W302" s="58"/>
      <c r="X302" s="58"/>
      <c r="Y302" s="58"/>
      <c r="AA302" s="1119" t="s">
        <v>1692</v>
      </c>
      <c r="AB302" s="1120"/>
      <c r="AC302" s="1120"/>
      <c r="AD302" s="1120"/>
      <c r="AE302" s="1120"/>
      <c r="AF302" s="1120"/>
      <c r="AG302" s="7" t="s">
        <v>220</v>
      </c>
      <c r="AH302" s="7"/>
      <c r="AI302" s="1219"/>
      <c r="AJ302" s="1219"/>
      <c r="AK302" s="1219"/>
      <c r="BA302" s="61"/>
    </row>
    <row r="303" spans="2:53" ht="12.75">
      <c r="B303" s="58" t="s">
        <v>96</v>
      </c>
      <c r="C303" s="58"/>
      <c r="D303" s="58"/>
      <c r="E303" s="58"/>
      <c r="F303" s="58"/>
      <c r="G303" s="58"/>
      <c r="H303" s="1100"/>
      <c r="I303" s="1100"/>
      <c r="J303" s="1100"/>
      <c r="K303" s="1100"/>
      <c r="L303" s="1100"/>
      <c r="M303" s="1100"/>
      <c r="N303" s="60"/>
      <c r="O303" s="60"/>
      <c r="P303" s="62"/>
      <c r="Q303" s="62"/>
      <c r="R303" s="62"/>
      <c r="S303" s="58"/>
      <c r="T303" s="58" t="s">
        <v>96</v>
      </c>
      <c r="V303" s="58"/>
      <c r="W303" s="58"/>
      <c r="X303" s="58"/>
      <c r="Y303" s="58"/>
      <c r="AA303" s="1100"/>
      <c r="AB303" s="1100"/>
      <c r="AC303" s="1100"/>
      <c r="AD303" s="1100"/>
      <c r="AE303" s="1100"/>
      <c r="AF303" s="1100"/>
      <c r="AG303" s="60"/>
      <c r="AH303" s="60"/>
      <c r="AI303" s="62"/>
      <c r="AJ303" s="62"/>
      <c r="AK303" s="62"/>
      <c r="BA303" s="61"/>
    </row>
    <row r="304" spans="2:53" ht="12.75">
      <c r="B304" s="58" t="s">
        <v>82</v>
      </c>
      <c r="C304" s="58"/>
      <c r="D304" s="58"/>
      <c r="E304" s="58"/>
      <c r="F304" s="58"/>
      <c r="G304" s="58"/>
      <c r="H304" s="1121" t="s">
        <v>1732</v>
      </c>
      <c r="I304" s="1118"/>
      <c r="J304" s="1118"/>
      <c r="K304" s="1118"/>
      <c r="L304" s="1118"/>
      <c r="M304" s="1118"/>
      <c r="N304" s="1096"/>
      <c r="O304" s="1096"/>
      <c r="P304" s="1096"/>
      <c r="Q304" s="1096"/>
      <c r="R304" s="1096"/>
      <c r="S304" s="58"/>
      <c r="T304" s="58" t="s">
        <v>82</v>
      </c>
      <c r="V304" s="58"/>
      <c r="W304" s="58"/>
      <c r="X304" s="58"/>
      <c r="Y304" s="58"/>
      <c r="AA304" s="1121" t="s">
        <v>1693</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tr">
        <f>H298</f>
        <v>Novogradac</v>
      </c>
      <c r="I306" s="1096"/>
      <c r="J306" s="1096"/>
      <c r="K306" s="1096"/>
      <c r="L306" s="1096"/>
      <c r="M306" s="1096"/>
      <c r="N306" s="1096"/>
      <c r="O306" s="1096"/>
      <c r="P306" s="1096"/>
      <c r="Q306" s="1096"/>
      <c r="R306" s="1096"/>
      <c r="S306" s="58"/>
      <c r="T306" s="58" t="s">
        <v>389</v>
      </c>
      <c r="V306" s="58"/>
      <c r="W306" s="58"/>
      <c r="X306" s="58"/>
      <c r="Y306" s="58"/>
      <c r="AA306" s="1094" t="s">
        <v>1695</v>
      </c>
      <c r="AB306" s="1096"/>
      <c r="AC306" s="1096"/>
      <c r="AD306" s="1096"/>
      <c r="AE306" s="1096"/>
      <c r="AF306" s="1096"/>
      <c r="AG306" s="1096"/>
      <c r="AH306" s="1096"/>
      <c r="AI306" s="1096"/>
      <c r="AJ306" s="1096"/>
      <c r="AK306" s="1096"/>
      <c r="BA306" s="61"/>
    </row>
    <row r="307" spans="1:53" ht="12.75">
      <c r="B307" s="58" t="s">
        <v>518</v>
      </c>
      <c r="C307" s="58"/>
      <c r="D307" s="58"/>
      <c r="E307" s="58"/>
      <c r="F307" s="58"/>
      <c r="H307" s="1121" t="s">
        <v>1733</v>
      </c>
      <c r="I307" s="1118"/>
      <c r="J307" s="1118"/>
      <c r="K307" s="1118"/>
      <c r="L307" s="1118"/>
      <c r="M307" s="1118"/>
      <c r="N307" s="1118"/>
      <c r="O307" s="1118"/>
      <c r="P307" s="1118"/>
      <c r="Q307" s="1118"/>
      <c r="R307" s="1118"/>
      <c r="S307" s="58"/>
      <c r="T307" s="58" t="s">
        <v>518</v>
      </c>
      <c r="V307" s="58"/>
      <c r="W307" s="58"/>
      <c r="X307" s="58"/>
      <c r="Y307" s="58"/>
      <c r="AA307" s="1121" t="s">
        <v>1738</v>
      </c>
      <c r="AB307" s="1118"/>
      <c r="AC307" s="1118"/>
      <c r="AD307" s="1118"/>
      <c r="AE307" s="1118"/>
      <c r="AF307" s="1118"/>
      <c r="AG307" s="1118"/>
      <c r="AH307" s="1118"/>
      <c r="AI307" s="1118"/>
      <c r="AJ307" s="1118"/>
      <c r="AK307" s="1118"/>
      <c r="BA307" s="61"/>
    </row>
    <row r="308" spans="1:53" ht="12.75">
      <c r="B308" s="58" t="s">
        <v>519</v>
      </c>
      <c r="C308" s="58"/>
      <c r="D308" s="58"/>
      <c r="E308" s="58"/>
      <c r="F308" s="58"/>
      <c r="H308" s="1121" t="s">
        <v>1734</v>
      </c>
      <c r="I308" s="1118"/>
      <c r="J308" s="1118"/>
      <c r="K308" s="1118"/>
      <c r="L308" s="1118"/>
      <c r="M308" s="1118"/>
      <c r="N308" s="1118"/>
      <c r="O308" s="1118"/>
      <c r="P308" s="1118"/>
      <c r="Q308" s="1118"/>
      <c r="R308" s="1118"/>
      <c r="S308" s="58"/>
      <c r="T308" s="58" t="s">
        <v>81</v>
      </c>
      <c r="V308" s="58"/>
      <c r="W308" s="58"/>
      <c r="X308" s="58"/>
      <c r="Y308" s="58"/>
      <c r="AA308" s="1121" t="s">
        <v>1739</v>
      </c>
      <c r="AB308" s="1118"/>
      <c r="AC308" s="1118"/>
      <c r="AD308" s="1118"/>
      <c r="AE308" s="1118"/>
      <c r="AF308" s="1118"/>
      <c r="AG308" s="1118"/>
      <c r="AH308" s="1118"/>
      <c r="AI308" s="1118"/>
      <c r="AJ308" s="1118"/>
      <c r="AK308" s="1118"/>
      <c r="BA308" s="61"/>
    </row>
    <row r="309" spans="1:53" ht="12.75">
      <c r="B309" s="58" t="s">
        <v>94</v>
      </c>
      <c r="C309" s="58"/>
      <c r="D309" s="58"/>
      <c r="E309" s="58"/>
      <c r="F309" s="58"/>
      <c r="H309" s="1121" t="s">
        <v>1735</v>
      </c>
      <c r="I309" s="1118"/>
      <c r="J309" s="1118"/>
      <c r="K309" s="1118"/>
      <c r="L309" s="1118"/>
      <c r="M309" s="1118"/>
      <c r="N309" s="1118"/>
      <c r="O309" s="1118"/>
      <c r="P309" s="1118"/>
      <c r="Q309" s="1118"/>
      <c r="R309" s="1118"/>
      <c r="S309" s="58"/>
      <c r="T309" s="58" t="s">
        <v>94</v>
      </c>
      <c r="V309" s="58"/>
      <c r="W309" s="58"/>
      <c r="X309" s="58"/>
      <c r="Y309" s="58"/>
      <c r="AA309" s="1121" t="s">
        <v>1740</v>
      </c>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1736</v>
      </c>
      <c r="I310" s="1120"/>
      <c r="J310" s="1120"/>
      <c r="K310" s="1120"/>
      <c r="L310" s="1120"/>
      <c r="M310" s="1120"/>
      <c r="N310" s="7" t="s">
        <v>220</v>
      </c>
      <c r="O310" s="7"/>
      <c r="P310" s="1219"/>
      <c r="Q310" s="1219"/>
      <c r="R310" s="1219"/>
      <c r="S310" s="58"/>
      <c r="T310" s="58" t="s">
        <v>95</v>
      </c>
      <c r="V310" s="58"/>
      <c r="W310" s="58"/>
      <c r="X310" s="58"/>
      <c r="Y310" s="58"/>
      <c r="AA310" s="1119" t="s">
        <v>1741</v>
      </c>
      <c r="AB310" s="1120"/>
      <c r="AC310" s="1120"/>
      <c r="AD310" s="1120"/>
      <c r="AE310" s="1120"/>
      <c r="AF310" s="1120"/>
      <c r="AG310" s="7" t="s">
        <v>220</v>
      </c>
      <c r="AH310" s="7"/>
      <c r="AI310" s="1219"/>
      <c r="AJ310" s="1219"/>
      <c r="AK310" s="1219"/>
      <c r="BA310" s="61"/>
    </row>
    <row r="311" spans="1:53" ht="12.75">
      <c r="B311" s="58" t="s">
        <v>96</v>
      </c>
      <c r="C311" s="58"/>
      <c r="D311" s="58"/>
      <c r="E311" s="58"/>
      <c r="F311" s="58"/>
      <c r="G311" s="58"/>
      <c r="H311" s="1100"/>
      <c r="I311" s="1100"/>
      <c r="J311" s="1100"/>
      <c r="K311" s="1100"/>
      <c r="L311" s="1100"/>
      <c r="M311" s="1100"/>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21" t="s">
        <v>1737</v>
      </c>
      <c r="I312" s="1118"/>
      <c r="J312" s="1118"/>
      <c r="K312" s="1118"/>
      <c r="L312" s="1118"/>
      <c r="M312" s="1118"/>
      <c r="N312" s="1096"/>
      <c r="O312" s="1096"/>
      <c r="P312" s="1096"/>
      <c r="Q312" s="1096"/>
      <c r="R312" s="1096"/>
      <c r="S312" s="58"/>
      <c r="T312" s="58" t="s">
        <v>82</v>
      </c>
      <c r="V312" s="58"/>
      <c r="W312" s="58"/>
      <c r="X312" s="58"/>
      <c r="Y312" s="58"/>
      <c r="AA312" s="1121" t="s">
        <v>1742</v>
      </c>
      <c r="AB312" s="1118"/>
      <c r="AC312" s="1118"/>
      <c r="AD312" s="1118"/>
      <c r="AE312" s="1118"/>
      <c r="AF312" s="1118"/>
      <c r="AG312" s="1096"/>
      <c r="AH312" s="1096"/>
      <c r="AI312" s="1096"/>
      <c r="AJ312" s="1096"/>
      <c r="AK312" s="1096"/>
      <c r="BA312" s="61"/>
    </row>
    <row r="313" spans="1:53" ht="12.75">
      <c r="BA313" s="61"/>
    </row>
    <row r="314" spans="1:53" ht="12.75">
      <c r="B314" s="7" t="s">
        <v>1007</v>
      </c>
      <c r="C314" s="58"/>
      <c r="D314" s="58"/>
      <c r="E314" s="58"/>
      <c r="F314" s="58"/>
      <c r="H314" s="1094"/>
      <c r="I314" s="1096"/>
      <c r="J314" s="1096"/>
      <c r="K314" s="1096"/>
      <c r="L314" s="1096"/>
      <c r="M314" s="1096"/>
      <c r="N314" s="1096"/>
      <c r="O314" s="1096"/>
      <c r="P314" s="1096"/>
      <c r="Q314" s="1096"/>
      <c r="R314" s="1096"/>
      <c r="T314" s="58" t="s">
        <v>390</v>
      </c>
      <c r="V314" s="58"/>
      <c r="W314" s="58"/>
      <c r="X314" s="58"/>
      <c r="Y314" s="58"/>
      <c r="AA314" s="1094" t="s">
        <v>1694</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18"/>
      <c r="I315" s="1118"/>
      <c r="J315" s="1118"/>
      <c r="K315" s="1118"/>
      <c r="L315" s="1118"/>
      <c r="M315" s="1118"/>
      <c r="N315" s="1118"/>
      <c r="O315" s="1118"/>
      <c r="P315" s="1118"/>
      <c r="Q315" s="1118"/>
      <c r="R315" s="1118"/>
      <c r="T315" s="58" t="s">
        <v>518</v>
      </c>
      <c r="V315" s="58"/>
      <c r="W315" s="58"/>
      <c r="X315" s="58"/>
      <c r="Y315" s="58"/>
      <c r="AA315" s="1121" t="s">
        <v>1743</v>
      </c>
      <c r="AB315" s="1118"/>
      <c r="AC315" s="1118"/>
      <c r="AD315" s="1118"/>
      <c r="AE315" s="1118"/>
      <c r="AF315" s="1118"/>
      <c r="AG315" s="1118"/>
      <c r="AH315" s="1118"/>
      <c r="AI315" s="1118"/>
      <c r="AJ315" s="1118"/>
      <c r="AK315" s="1118"/>
      <c r="BA315" s="61"/>
    </row>
    <row r="316" spans="1:53" ht="12.75">
      <c r="B316" s="58" t="s">
        <v>519</v>
      </c>
      <c r="C316" s="58"/>
      <c r="D316" s="58"/>
      <c r="E316" s="58"/>
      <c r="F316" s="58"/>
      <c r="H316" s="1118"/>
      <c r="I316" s="1118"/>
      <c r="J316" s="1118"/>
      <c r="K316" s="1118"/>
      <c r="L316" s="1118"/>
      <c r="M316" s="1118"/>
      <c r="N316" s="1118"/>
      <c r="O316" s="1118"/>
      <c r="P316" s="1118"/>
      <c r="Q316" s="1118"/>
      <c r="R316" s="1118"/>
      <c r="T316" s="58" t="s">
        <v>81</v>
      </c>
      <c r="V316" s="58"/>
      <c r="W316" s="58"/>
      <c r="X316" s="58"/>
      <c r="Y316" s="58"/>
      <c r="AA316" s="1121" t="s">
        <v>1744</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c r="I317" s="1118"/>
      <c r="J317" s="1118"/>
      <c r="K317" s="1118"/>
      <c r="L317" s="1118"/>
      <c r="M317" s="1118"/>
      <c r="N317" s="1118"/>
      <c r="O317" s="1118"/>
      <c r="P317" s="1118"/>
      <c r="Q317" s="1118"/>
      <c r="R317" s="1118"/>
      <c r="T317" s="58" t="s">
        <v>94</v>
      </c>
      <c r="V317" s="58"/>
      <c r="W317" s="58"/>
      <c r="X317" s="58"/>
      <c r="Y317" s="58"/>
      <c r="AA317" s="1121" t="s">
        <v>1745</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20"/>
      <c r="I318" s="1120"/>
      <c r="J318" s="1120"/>
      <c r="K318" s="1120"/>
      <c r="L318" s="1120"/>
      <c r="M318" s="1120"/>
      <c r="N318" s="7" t="s">
        <v>220</v>
      </c>
      <c r="O318" s="7"/>
      <c r="P318" s="1219"/>
      <c r="Q318" s="1219"/>
      <c r="R318" s="1219"/>
      <c r="S318" s="58"/>
      <c r="T318" s="58" t="s">
        <v>95</v>
      </c>
      <c r="V318" s="58"/>
      <c r="W318" s="58"/>
      <c r="X318" s="58"/>
      <c r="Y318" s="58"/>
      <c r="AA318" s="1119" t="s">
        <v>1746</v>
      </c>
      <c r="AB318" s="1120"/>
      <c r="AC318" s="1120"/>
      <c r="AD318" s="1120"/>
      <c r="AE318" s="1120"/>
      <c r="AF318" s="1120"/>
      <c r="AG318" s="7" t="s">
        <v>220</v>
      </c>
      <c r="AH318" s="7"/>
      <c r="AI318" s="1219"/>
      <c r="AJ318" s="1219"/>
      <c r="AK318" s="1219"/>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100"/>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18"/>
      <c r="I320" s="1118"/>
      <c r="J320" s="1118"/>
      <c r="K320" s="1118"/>
      <c r="L320" s="1118"/>
      <c r="M320" s="1118"/>
      <c r="N320" s="1096"/>
      <c r="O320" s="1096"/>
      <c r="P320" s="1096"/>
      <c r="Q320" s="1096"/>
      <c r="R320" s="1096"/>
      <c r="S320" s="58"/>
      <c r="T320" s="58" t="s">
        <v>82</v>
      </c>
      <c r="V320" s="58"/>
      <c r="W320" s="58"/>
      <c r="X320" s="58"/>
      <c r="Y320" s="58"/>
      <c r="AA320" s="1121" t="s">
        <v>1747</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1696</v>
      </c>
      <c r="I322" s="1096"/>
      <c r="J322" s="1096"/>
      <c r="K322" s="1096"/>
      <c r="L322" s="1096"/>
      <c r="M322" s="1096"/>
      <c r="N322" s="1096"/>
      <c r="O322" s="1096"/>
      <c r="P322" s="1096"/>
      <c r="Q322" s="1096"/>
      <c r="R322" s="1096"/>
      <c r="T322" s="58" t="s">
        <v>392</v>
      </c>
      <c r="V322" s="58"/>
      <c r="W322" s="58"/>
      <c r="X322" s="58"/>
      <c r="Y322" s="58"/>
      <c r="AA322" s="1094" t="s">
        <v>1697</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21" t="s">
        <v>1748</v>
      </c>
      <c r="I323" s="1118"/>
      <c r="J323" s="1118"/>
      <c r="K323" s="1118"/>
      <c r="L323" s="1118"/>
      <c r="M323" s="1118"/>
      <c r="N323" s="1118"/>
      <c r="O323" s="1118"/>
      <c r="P323" s="1118"/>
      <c r="Q323" s="1118"/>
      <c r="R323" s="1118"/>
      <c r="T323" s="58" t="s">
        <v>518</v>
      </c>
      <c r="V323" s="58"/>
      <c r="W323" s="58"/>
      <c r="X323" s="58"/>
      <c r="Y323" s="58"/>
      <c r="AA323" s="1121" t="s">
        <v>1783</v>
      </c>
      <c r="AB323" s="1118"/>
      <c r="AC323" s="1118"/>
      <c r="AD323" s="1118"/>
      <c r="AE323" s="1118"/>
      <c r="AF323" s="1118"/>
      <c r="AG323" s="1118"/>
      <c r="AH323" s="1118"/>
      <c r="AI323" s="1118"/>
      <c r="AJ323" s="1118"/>
      <c r="AK323" s="1118"/>
      <c r="AL323" s="39"/>
    </row>
    <row r="324" spans="1:53" ht="12.75" customHeight="1">
      <c r="A324" s="39"/>
      <c r="B324" s="58" t="s">
        <v>519</v>
      </c>
      <c r="C324" s="58"/>
      <c r="D324" s="58"/>
      <c r="E324" s="58"/>
      <c r="F324" s="58"/>
      <c r="H324" s="1121" t="s">
        <v>1749</v>
      </c>
      <c r="I324" s="1118"/>
      <c r="J324" s="1118"/>
      <c r="K324" s="1118"/>
      <c r="L324" s="1118"/>
      <c r="M324" s="1118"/>
      <c r="N324" s="1118"/>
      <c r="O324" s="1118"/>
      <c r="P324" s="1118"/>
      <c r="Q324" s="1118"/>
      <c r="R324" s="1118"/>
      <c r="T324" s="58" t="s">
        <v>81</v>
      </c>
      <c r="V324" s="58"/>
      <c r="W324" s="58"/>
      <c r="X324" s="58"/>
      <c r="Y324" s="58"/>
      <c r="AA324" s="1121" t="s">
        <v>1784</v>
      </c>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21" t="s">
        <v>1752</v>
      </c>
      <c r="I325" s="1118"/>
      <c r="J325" s="1118"/>
      <c r="K325" s="1118"/>
      <c r="L325" s="1118"/>
      <c r="M325" s="1118"/>
      <c r="N325" s="1118"/>
      <c r="O325" s="1118"/>
      <c r="P325" s="1118"/>
      <c r="Q325" s="1118"/>
      <c r="R325" s="1118"/>
      <c r="T325" s="58" t="s">
        <v>94</v>
      </c>
      <c r="V325" s="58"/>
      <c r="W325" s="58"/>
      <c r="X325" s="58"/>
      <c r="Y325" s="58"/>
      <c r="AA325" s="1121" t="s">
        <v>1785</v>
      </c>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1750</v>
      </c>
      <c r="I326" s="1120"/>
      <c r="J326" s="1120"/>
      <c r="K326" s="1120"/>
      <c r="L326" s="1120"/>
      <c r="M326" s="1120"/>
      <c r="N326" s="7" t="s">
        <v>220</v>
      </c>
      <c r="O326" s="7"/>
      <c r="P326" s="1219"/>
      <c r="Q326" s="1219"/>
      <c r="R326" s="1219"/>
      <c r="S326" s="58"/>
      <c r="T326" s="58" t="s">
        <v>95</v>
      </c>
      <c r="V326" s="58"/>
      <c r="W326" s="58"/>
      <c r="X326" s="58"/>
      <c r="Y326" s="58"/>
      <c r="AA326" s="1119" t="s">
        <v>1786</v>
      </c>
      <c r="AB326" s="1119"/>
      <c r="AC326" s="1119"/>
      <c r="AD326" s="1119"/>
      <c r="AE326" s="1119"/>
      <c r="AF326" s="1119"/>
      <c r="AG326" s="7" t="s">
        <v>220</v>
      </c>
      <c r="AH326" s="7"/>
      <c r="AI326" s="1219"/>
      <c r="AJ326" s="1219"/>
      <c r="AK326" s="1219"/>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21" t="s">
        <v>1751</v>
      </c>
      <c r="I328" s="1118"/>
      <c r="J328" s="1118"/>
      <c r="K328" s="1118"/>
      <c r="L328" s="1118"/>
      <c r="M328" s="1118"/>
      <c r="N328" s="1096"/>
      <c r="O328" s="1096"/>
      <c r="P328" s="1096"/>
      <c r="Q328" s="1096"/>
      <c r="R328" s="1096"/>
      <c r="S328" s="58"/>
      <c r="T328" s="58" t="s">
        <v>82</v>
      </c>
      <c r="V328" s="58"/>
      <c r="W328" s="58"/>
      <c r="X328" s="58"/>
      <c r="Y328" s="58"/>
      <c r="AA328" s="1121" t="s">
        <v>1787</v>
      </c>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1698</v>
      </c>
      <c r="I330" s="1096"/>
      <c r="J330" s="1096"/>
      <c r="K330" s="1096"/>
      <c r="L330" s="1096"/>
      <c r="M330" s="1096"/>
      <c r="N330" s="1096"/>
      <c r="O330" s="1096"/>
      <c r="P330" s="1096"/>
      <c r="Q330" s="1096"/>
      <c r="R330" s="1096"/>
      <c r="T330" s="422" t="s">
        <v>982</v>
      </c>
      <c r="V330" s="58"/>
      <c r="W330" s="58"/>
      <c r="X330" s="58"/>
      <c r="Y330" s="58"/>
      <c r="AA330" s="1094" t="s">
        <v>1699</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21" t="s">
        <v>1758</v>
      </c>
      <c r="I331" s="1118"/>
      <c r="J331" s="1118"/>
      <c r="K331" s="1118"/>
      <c r="L331" s="1118"/>
      <c r="M331" s="1118"/>
      <c r="N331" s="1118"/>
      <c r="O331" s="1118"/>
      <c r="P331" s="1118"/>
      <c r="Q331" s="1118"/>
      <c r="R331" s="1118"/>
      <c r="T331" s="58" t="s">
        <v>518</v>
      </c>
      <c r="V331" s="58"/>
      <c r="W331" s="58"/>
      <c r="X331" s="58"/>
      <c r="Y331" s="58"/>
      <c r="AA331" s="1121" t="s">
        <v>1753</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21" t="s">
        <v>1759</v>
      </c>
      <c r="I332" s="1118"/>
      <c r="J332" s="1118"/>
      <c r="K332" s="1118"/>
      <c r="L332" s="1118"/>
      <c r="M332" s="1118"/>
      <c r="N332" s="1118"/>
      <c r="O332" s="1118"/>
      <c r="P332" s="1118"/>
      <c r="Q332" s="1118"/>
      <c r="R332" s="1118"/>
      <c r="T332" s="58" t="s">
        <v>81</v>
      </c>
      <c r="V332" s="58"/>
      <c r="W332" s="58"/>
      <c r="X332" s="58"/>
      <c r="Y332" s="58"/>
      <c r="AA332" s="1121" t="s">
        <v>1754</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21" t="s">
        <v>1760</v>
      </c>
      <c r="I333" s="1118"/>
      <c r="J333" s="1118"/>
      <c r="K333" s="1118"/>
      <c r="L333" s="1118"/>
      <c r="M333" s="1118"/>
      <c r="N333" s="1118"/>
      <c r="O333" s="1118"/>
      <c r="P333" s="1118"/>
      <c r="Q333" s="1118"/>
      <c r="R333" s="1118"/>
      <c r="T333" s="58" t="s">
        <v>94</v>
      </c>
      <c r="V333" s="58"/>
      <c r="W333" s="58"/>
      <c r="X333" s="58"/>
      <c r="Y333" s="58"/>
      <c r="AA333" s="1121" t="s">
        <v>1755</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1761</v>
      </c>
      <c r="I334" s="1120"/>
      <c r="J334" s="1120"/>
      <c r="K334" s="1120"/>
      <c r="L334" s="1120"/>
      <c r="M334" s="1120"/>
      <c r="N334" s="7" t="s">
        <v>220</v>
      </c>
      <c r="O334" s="7"/>
      <c r="P334" s="1219"/>
      <c r="Q334" s="1219"/>
      <c r="R334" s="1219"/>
      <c r="S334" s="58"/>
      <c r="T334" s="58" t="s">
        <v>95</v>
      </c>
      <c r="V334" s="58"/>
      <c r="W334" s="58"/>
      <c r="X334" s="58"/>
      <c r="Y334" s="58"/>
      <c r="AA334" s="1119" t="s">
        <v>1756</v>
      </c>
      <c r="AB334" s="1120"/>
      <c r="AC334" s="1120"/>
      <c r="AD334" s="1120"/>
      <c r="AE334" s="1120"/>
      <c r="AF334" s="1120"/>
      <c r="AG334" s="7" t="s">
        <v>220</v>
      </c>
      <c r="AH334" s="7"/>
      <c r="AI334" s="1219"/>
      <c r="AJ334" s="1219"/>
      <c r="AK334" s="1219"/>
      <c r="AL334" s="39"/>
    </row>
    <row r="335" spans="1:53" ht="12.75" customHeight="1">
      <c r="A335" s="39"/>
      <c r="B335" s="58" t="s">
        <v>96</v>
      </c>
      <c r="C335" s="248"/>
      <c r="D335" s="248"/>
      <c r="E335" s="248"/>
      <c r="F335" s="248"/>
      <c r="G335" s="248"/>
      <c r="H335" s="1100"/>
      <c r="I335" s="1100"/>
      <c r="J335" s="1100"/>
      <c r="K335" s="1100"/>
      <c r="L335" s="1100"/>
      <c r="M335" s="1100"/>
      <c r="N335" s="60"/>
      <c r="O335" s="60"/>
      <c r="P335" s="62"/>
      <c r="Q335" s="62"/>
      <c r="R335" s="62"/>
      <c r="S335" s="58"/>
      <c r="T335" s="58" t="s">
        <v>96</v>
      </c>
      <c r="V335" s="58"/>
      <c r="W335" s="58"/>
      <c r="X335" s="58"/>
      <c r="Y335" s="58"/>
      <c r="AA335" s="1100"/>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1" t="s">
        <v>1762</v>
      </c>
      <c r="I336" s="1118"/>
      <c r="J336" s="1118"/>
      <c r="K336" s="1118"/>
      <c r="L336" s="1118"/>
      <c r="M336" s="1118"/>
      <c r="N336" s="1096"/>
      <c r="O336" s="1096"/>
      <c r="P336" s="1096"/>
      <c r="Q336" s="1096"/>
      <c r="R336" s="1096"/>
      <c r="S336" s="58"/>
      <c r="T336" s="58" t="s">
        <v>82</v>
      </c>
      <c r="V336" s="58"/>
      <c r="W336" s="58"/>
      <c r="X336" s="58"/>
      <c r="Y336" s="58"/>
      <c r="AA336" s="1121" t="s">
        <v>1757</v>
      </c>
      <c r="AB336" s="1118"/>
      <c r="AC336" s="1118"/>
      <c r="AD336" s="1118"/>
      <c r="AE336" s="1118"/>
      <c r="AF336" s="1118"/>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589</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723</v>
      </c>
      <c r="AK350" s="1097"/>
    </row>
    <row r="351" spans="1:53" ht="12.75" customHeight="1">
      <c r="D351" s="7" t="s">
        <v>956</v>
      </c>
      <c r="R351" s="12" t="s">
        <v>600</v>
      </c>
      <c r="AJ351" s="1097" t="s">
        <v>723</v>
      </c>
      <c r="AK351" s="1097"/>
    </row>
    <row r="352" spans="1:53" ht="12.75" customHeight="1">
      <c r="D352" s="12" t="s">
        <v>766</v>
      </c>
      <c r="M352" s="1097" t="s">
        <v>642</v>
      </c>
      <c r="N352" s="1097"/>
      <c r="P352" s="7" t="s">
        <v>953</v>
      </c>
      <c r="AJ352" s="1097" t="s">
        <v>592</v>
      </c>
      <c r="AK352" s="1097"/>
    </row>
    <row r="353" spans="1:34" ht="12.75" customHeight="1">
      <c r="D353" s="12" t="s">
        <v>767</v>
      </c>
      <c r="M353" s="1097" t="s">
        <v>592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592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1700</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723</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768</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493</v>
      </c>
      <c r="F365" s="7"/>
      <c r="G365" s="7"/>
      <c r="H365" s="7"/>
      <c r="I365" s="7"/>
      <c r="J365" s="7"/>
      <c r="K365" s="7"/>
      <c r="L365" s="7"/>
      <c r="N365" s="1515" t="s">
        <v>1701</v>
      </c>
      <c r="O365" s="1416"/>
      <c r="P365" s="1416"/>
      <c r="Q365" s="1416"/>
      <c r="R365" s="7"/>
      <c r="U365" s="7" t="s">
        <v>494</v>
      </c>
      <c r="V365" s="7"/>
      <c r="W365" s="7"/>
      <c r="X365" s="7"/>
      <c r="Y365" s="7"/>
      <c r="Z365" s="7"/>
      <c r="AA365" s="7"/>
      <c r="AB365" s="7"/>
      <c r="AC365" s="1416">
        <v>1</v>
      </c>
      <c r="AD365" s="1416"/>
      <c r="AE365" s="1416"/>
      <c r="AF365" s="1416"/>
    </row>
    <row r="366" spans="1:34" ht="12.75" customHeight="1">
      <c r="E366" s="7" t="s">
        <v>495</v>
      </c>
      <c r="F366" s="7"/>
      <c r="G366" s="7"/>
      <c r="H366" s="7"/>
      <c r="I366" s="7"/>
      <c r="J366" s="7"/>
      <c r="K366" s="7"/>
      <c r="L366" s="7"/>
      <c r="N366" s="1416">
        <v>1</v>
      </c>
      <c r="O366" s="1416"/>
      <c r="P366" s="1416"/>
      <c r="Q366" s="1416"/>
      <c r="R366" s="7"/>
      <c r="U366" s="7" t="s">
        <v>0</v>
      </c>
      <c r="V366" s="7"/>
      <c r="W366" s="7"/>
      <c r="X366" s="7"/>
      <c r="Y366" s="7"/>
      <c r="Z366" s="7"/>
      <c r="AA366" s="7"/>
      <c r="AB366" s="7"/>
      <c r="AC366" s="1416">
        <v>0</v>
      </c>
      <c r="AD366" s="1416"/>
      <c r="AE366" s="1416"/>
      <c r="AF366" s="1416"/>
    </row>
    <row r="367" spans="1:34" ht="12.75" customHeight="1">
      <c r="E367" s="7" t="s">
        <v>1</v>
      </c>
      <c r="F367" s="7"/>
      <c r="G367" s="7"/>
      <c r="H367" s="7"/>
      <c r="I367" s="7"/>
      <c r="J367" s="7"/>
      <c r="K367" s="7"/>
      <c r="L367" s="7"/>
      <c r="N367" s="1416">
        <v>4</v>
      </c>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51" t="s">
        <v>1702</v>
      </c>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1128</v>
      </c>
      <c r="F373" s="7"/>
      <c r="G373" s="7"/>
      <c r="H373" s="7"/>
      <c r="I373" s="7"/>
      <c r="J373" s="7"/>
      <c r="K373" s="7"/>
      <c r="L373" s="7"/>
      <c r="N373" s="1122"/>
      <c r="O373" s="1122"/>
      <c r="P373" s="1122"/>
    </row>
    <row r="374" spans="1:38" ht="12.75" customHeight="1">
      <c r="E374" s="399" t="s">
        <v>1130</v>
      </c>
      <c r="F374" s="7"/>
      <c r="G374" s="7"/>
      <c r="H374" s="7"/>
      <c r="I374" s="7"/>
      <c r="J374" s="7"/>
      <c r="K374" s="7"/>
      <c r="L374" s="7"/>
      <c r="AG374" s="1116" t="s">
        <v>642</v>
      </c>
      <c r="AH374" s="1116"/>
    </row>
    <row r="375" spans="1:38" ht="12.75" customHeight="1">
      <c r="E375" s="7"/>
      <c r="F375" s="7"/>
      <c r="G375" s="7" t="s">
        <v>1151</v>
      </c>
      <c r="H375" s="7"/>
      <c r="I375" s="7"/>
      <c r="J375" s="7"/>
      <c r="K375" s="7"/>
      <c r="L375" s="7"/>
      <c r="AG375" s="1116" t="s">
        <v>723</v>
      </c>
      <c r="AH375" s="1116"/>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4" t="s">
        <v>1703</v>
      </c>
      <c r="K380" s="1096"/>
      <c r="L380" s="1096"/>
      <c r="M380" s="1096"/>
      <c r="N380" s="1096"/>
      <c r="O380" s="1096"/>
      <c r="P380" s="1096"/>
      <c r="Q380" s="1096"/>
      <c r="R380" s="1096"/>
      <c r="S380" s="1096"/>
      <c r="T380" s="1096"/>
      <c r="U380" s="1096"/>
      <c r="V380" s="14" t="s">
        <v>90</v>
      </c>
      <c r="W380" s="14"/>
      <c r="X380" s="14"/>
      <c r="Y380" s="14"/>
      <c r="Z380" s="14"/>
      <c r="AA380" s="14"/>
      <c r="AB380" s="14"/>
      <c r="AC380" s="1094" t="s">
        <v>1658</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21" t="s">
        <v>1658</v>
      </c>
      <c r="K381" s="1118"/>
      <c r="L381" s="1118"/>
      <c r="M381" s="1118"/>
      <c r="N381" s="1118"/>
      <c r="O381" s="1118"/>
      <c r="P381" s="1118"/>
      <c r="Q381" s="1118"/>
      <c r="R381" s="1118"/>
      <c r="S381" s="1118"/>
      <c r="T381" s="1118"/>
      <c r="U381" s="1118"/>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21" t="s">
        <v>1704</v>
      </c>
      <c r="K382" s="1118"/>
      <c r="L382" s="1118"/>
      <c r="M382" s="1118"/>
      <c r="N382" s="1118"/>
      <c r="O382" s="1118"/>
      <c r="P382" s="1118"/>
      <c r="Q382" s="1118"/>
      <c r="R382" s="1118"/>
      <c r="S382" s="1118"/>
      <c r="T382" s="1118"/>
      <c r="U382" s="1118"/>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585" t="s">
        <v>1776</v>
      </c>
      <c r="K383" s="1224"/>
      <c r="L383" s="1224"/>
      <c r="M383" s="1224"/>
      <c r="N383" s="1224"/>
      <c r="O383" s="1224"/>
      <c r="P383" s="1224"/>
      <c r="Q383" s="1224"/>
      <c r="R383" s="1224"/>
      <c r="S383" s="1224"/>
      <c r="T383" s="1224"/>
      <c r="U383" s="1224"/>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47">
        <v>43983</v>
      </c>
      <c r="R384" s="1547"/>
      <c r="S384" s="1547"/>
      <c r="T384" s="1547"/>
      <c r="U384" s="1547"/>
      <c r="V384" s="12" t="s">
        <v>331</v>
      </c>
      <c r="AI384" s="1097" t="s">
        <v>592</v>
      </c>
      <c r="AJ384" s="1097"/>
    </row>
    <row r="385" spans="1:38" ht="12.75" customHeight="1">
      <c r="D385" s="12" t="s">
        <v>5</v>
      </c>
      <c r="Q385" s="1213">
        <v>44348</v>
      </c>
      <c r="R385" s="1214"/>
      <c r="S385" s="1214"/>
      <c r="T385" s="1214"/>
      <c r="U385" s="1214"/>
      <c r="W385" s="33" t="s">
        <v>80</v>
      </c>
      <c r="AG385" s="1573" t="s">
        <v>723</v>
      </c>
      <c r="AH385" s="1545"/>
      <c r="AI385" s="1545"/>
      <c r="AJ385" s="1545"/>
    </row>
    <row r="386" spans="1:38" ht="12.75" customHeight="1">
      <c r="D386" s="12" t="s">
        <v>462</v>
      </c>
      <c r="Q386" s="1577">
        <v>35000000</v>
      </c>
      <c r="R386" s="1577"/>
      <c r="S386" s="1577"/>
      <c r="T386" s="1577"/>
      <c r="U386" s="1577"/>
      <c r="V386" s="58" t="s">
        <v>1422</v>
      </c>
      <c r="AG386" s="1546">
        <v>44206</v>
      </c>
      <c r="AH386" s="1546"/>
      <c r="AI386" s="1546"/>
      <c r="AJ386" s="1546"/>
    </row>
    <row r="387" spans="1:38" ht="12.75" customHeight="1">
      <c r="D387" s="12" t="s">
        <v>95</v>
      </c>
      <c r="I387" s="1119" t="s">
        <v>1659</v>
      </c>
      <c r="J387" s="1120"/>
      <c r="K387" s="1120"/>
      <c r="L387" s="1120"/>
      <c r="M387" s="1120"/>
      <c r="N387" s="1120"/>
      <c r="Q387" s="57" t="s">
        <v>220</v>
      </c>
      <c r="S387" s="1574"/>
      <c r="T387" s="1574"/>
      <c r="U387" s="1574"/>
      <c r="V387" s="12" t="s">
        <v>79</v>
      </c>
      <c r="AI387" s="1097" t="s">
        <v>592</v>
      </c>
      <c r="AJ387" s="1097"/>
    </row>
    <row r="388" spans="1:38" ht="12.75">
      <c r="D388" s="12" t="s">
        <v>332</v>
      </c>
      <c r="Q388" s="1188">
        <v>380000</v>
      </c>
      <c r="R388" s="1188"/>
      <c r="S388" s="1188"/>
      <c r="T388" s="1188"/>
      <c r="U388" s="1188"/>
      <c r="V388" s="12" t="s">
        <v>333</v>
      </c>
      <c r="AG388" s="1545">
        <f>'Sources and Uses Budget'!C13</f>
        <v>3057352</v>
      </c>
      <c r="AH388" s="1545"/>
      <c r="AI388" s="1545"/>
      <c r="AJ388" s="1545"/>
    </row>
    <row r="389" spans="1:38" ht="12.75">
      <c r="D389" s="12" t="s">
        <v>334</v>
      </c>
      <c r="Q389" s="1544">
        <v>1.2999999999999999E-3</v>
      </c>
      <c r="R389" s="1544"/>
      <c r="S389" s="1544"/>
      <c r="T389" s="1544"/>
      <c r="U389" s="1544"/>
      <c r="V389" s="743" t="s">
        <v>1399</v>
      </c>
      <c r="AG389" s="1545">
        <v>0</v>
      </c>
      <c r="AH389" s="1545"/>
      <c r="AI389" s="1545"/>
      <c r="AJ389" s="1545"/>
    </row>
    <row r="390" spans="1:38" ht="12.75">
      <c r="D390" s="743" t="s">
        <v>1398</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4" t="s">
        <v>1705</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416">
        <v>4</v>
      </c>
      <c r="AE394" s="1416"/>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6">
        <v>0</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71" t="s">
        <v>357</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2"/>
      <c r="F406" s="1122"/>
      <c r="G406" s="1122"/>
      <c r="H406" s="23" t="s">
        <v>122</v>
      </c>
      <c r="I406" s="1122"/>
      <c r="J406" s="1122"/>
      <c r="K406" s="1122"/>
      <c r="L406" s="12" t="s">
        <v>123</v>
      </c>
      <c r="N406" s="144" t="s">
        <v>626</v>
      </c>
      <c r="P406" s="1117">
        <v>0.28999999999999998</v>
      </c>
      <c r="Q406" s="1117"/>
      <c r="R406" s="1117"/>
      <c r="S406" s="12" t="s">
        <v>124</v>
      </c>
      <c r="W406" s="1576">
        <f>IF(E406&gt;0,(E406*I406),(P406*43560))</f>
        <v>12632.4</v>
      </c>
      <c r="X406" s="1576"/>
      <c r="Y406" s="1576"/>
      <c r="Z406" s="12" t="s">
        <v>125</v>
      </c>
      <c r="AF406" s="1117">
        <f>AG424/P406</f>
        <v>272.41379310344831</v>
      </c>
      <c r="AG406" s="1117"/>
      <c r="AH406" s="1117"/>
    </row>
    <row r="407" spans="1:36" ht="12.75">
      <c r="E407" s="12" t="s">
        <v>56</v>
      </c>
    </row>
    <row r="408" spans="1:36" ht="12.75">
      <c r="E408" s="158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2.75"/>
    <row r="410" spans="1:36" ht="12.75">
      <c r="A410" s="50" t="s">
        <v>643</v>
      </c>
      <c r="B410" s="50"/>
      <c r="C410" s="50"/>
      <c r="D410" s="50" t="s">
        <v>127</v>
      </c>
    </row>
    <row r="411" spans="1:36" ht="12.75">
      <c r="E411" s="12" t="s">
        <v>128</v>
      </c>
      <c r="P411" s="1097">
        <v>1</v>
      </c>
      <c r="Q411" s="1097"/>
      <c r="S411" s="12" t="s">
        <v>203</v>
      </c>
      <c r="AE411" s="1097">
        <v>0</v>
      </c>
      <c r="AF411" s="1097"/>
    </row>
    <row r="412" spans="1:36" ht="12.75">
      <c r="E412" s="12" t="s">
        <v>204</v>
      </c>
      <c r="P412" s="1097">
        <v>0</v>
      </c>
      <c r="Q412" s="1097"/>
      <c r="S412" s="12" t="s">
        <v>138</v>
      </c>
      <c r="AE412" s="1097" t="s">
        <v>592</v>
      </c>
      <c r="AF412" s="1097"/>
    </row>
    <row r="413" spans="1:36" ht="12.75" customHeight="1">
      <c r="F413" s="67" t="s">
        <v>139</v>
      </c>
    </row>
    <row r="414" spans="1:36" ht="12.75" customHeight="1">
      <c r="F414" s="1551" t="s">
        <v>1706</v>
      </c>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86"/>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30"/>
      <c r="AG424" s="1527">
        <v>79</v>
      </c>
      <c r="AH424" s="1527"/>
      <c r="AI424" s="1527"/>
      <c r="AJ424" s="1527"/>
    </row>
    <row r="425" spans="1:96" ht="12.75" customHeight="1">
      <c r="D425" s="1505" t="s">
        <v>1490</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4">
        <v>0</v>
      </c>
      <c r="AH425" s="1172"/>
      <c r="AI425" s="1172"/>
      <c r="AJ425" s="1172"/>
    </row>
    <row r="426" spans="1:96" ht="12.75" customHeight="1">
      <c r="D426" s="1505" t="s">
        <v>1185</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7">
        <v>78</v>
      </c>
      <c r="AH426" s="1527"/>
      <c r="AI426" s="1527"/>
      <c r="AJ426" s="1527"/>
    </row>
    <row r="427" spans="1:96" ht="12.75" customHeight="1">
      <c r="D427" s="1505" t="s">
        <v>1186</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7">
        <v>78</v>
      </c>
      <c r="AH427" s="1527"/>
      <c r="AI427" s="1527"/>
      <c r="AJ427" s="1527"/>
    </row>
    <row r="428" spans="1:96" ht="12.75" customHeight="1">
      <c r="D428" s="1505" t="s">
        <v>1188</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75">
        <f>IF(ISERROR(AG427/AG426),"",AG427/AG426)</f>
        <v>1</v>
      </c>
      <c r="AH428" s="1575"/>
      <c r="AI428" s="1575"/>
      <c r="AJ428" s="1575"/>
    </row>
    <row r="429" spans="1:96" ht="12.75" customHeight="1">
      <c r="D429" s="1505" t="s">
        <v>1187</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49">
        <f>24174+5107</f>
        <v>29281</v>
      </c>
      <c r="AH429" s="1449"/>
      <c r="AI429" s="1449"/>
      <c r="AJ429" s="1449"/>
    </row>
    <row r="430" spans="1:96" ht="12.75" customHeight="1">
      <c r="D430" s="1505" t="s">
        <v>1189</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49">
        <v>29281</v>
      </c>
      <c r="AH430" s="1449"/>
      <c r="AI430" s="1449"/>
      <c r="AJ430" s="1449"/>
    </row>
    <row r="431" spans="1:96" ht="12.75" customHeight="1">
      <c r="D431" s="1505" t="s">
        <v>1190</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75">
        <f>IF(ISERROR(AG430/AG429),"",AG430/AG429)</f>
        <v>1</v>
      </c>
      <c r="AH431" s="1575"/>
      <c r="AI431" s="1575"/>
      <c r="AJ431" s="1575"/>
    </row>
    <row r="432" spans="1:96" ht="12.75" customHeight="1">
      <c r="D432" s="1505" t="s">
        <v>1191</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75">
        <f>MIN(IF(AG428&gt;AG431,AG431,AG428),1)</f>
        <v>1</v>
      </c>
      <c r="AH432" s="1575"/>
      <c r="AI432" s="1575"/>
      <c r="AJ432" s="157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5" t="s">
        <v>1461</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30"/>
      <c r="AG433" s="1449">
        <v>4500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30"/>
      <c r="AG434" s="1449">
        <v>10000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1462</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30"/>
      <c r="AG435" s="1449">
        <f>6100</f>
        <v>6100</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1192</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30"/>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1193</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8">
        <f>AG429+AG433+AG435+AG436</f>
        <v>39881</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1463</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847649.7194303798</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725492.12449367088</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713217.06120253156</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453" t="s">
        <v>642</v>
      </c>
      <c r="X452" s="1256"/>
      <c r="Y452" s="125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55" t="s">
        <v>642</v>
      </c>
      <c r="X453" s="1256"/>
      <c r="Y453" s="125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55" t="s">
        <v>642</v>
      </c>
      <c r="X454" s="1256"/>
      <c r="Y454" s="125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55" t="s">
        <v>642</v>
      </c>
      <c r="X455" s="1256"/>
      <c r="Y455" s="125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55" t="s">
        <v>642</v>
      </c>
      <c r="X456" s="1256"/>
      <c r="Y456" s="125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55" t="s">
        <v>642</v>
      </c>
      <c r="X457" s="1256"/>
      <c r="Y457" s="125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1158</v>
      </c>
      <c r="E458" s="1451"/>
      <c r="F458" s="1451"/>
      <c r="G458" s="1451"/>
      <c r="H458" s="1451"/>
      <c r="I458" s="1451"/>
      <c r="J458" s="1451"/>
      <c r="K458" s="1451"/>
      <c r="L458" s="1451"/>
      <c r="M458" s="1451"/>
      <c r="N458" s="1451"/>
      <c r="O458" s="1451"/>
      <c r="P458" s="1451"/>
      <c r="Q458" s="1451"/>
      <c r="R458" s="1451"/>
      <c r="S458" s="1451"/>
      <c r="T458" s="1451"/>
      <c r="U458" s="1451"/>
      <c r="V458" s="1452"/>
      <c r="W458" s="1255" t="s">
        <v>642</v>
      </c>
      <c r="X458" s="1256"/>
      <c r="Y458" s="125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5" t="s">
        <v>642</v>
      </c>
      <c r="X459" s="1256"/>
      <c r="Y459" s="125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755</v>
      </c>
      <c r="E463" s="1456"/>
      <c r="F463" s="1456"/>
      <c r="G463" s="1456"/>
      <c r="H463" s="1456"/>
      <c r="I463" s="1456"/>
      <c r="J463" s="1456"/>
      <c r="K463" s="1456"/>
      <c r="L463" s="1456"/>
      <c r="M463" s="1456"/>
      <c r="N463" s="1456"/>
      <c r="O463" s="1456"/>
      <c r="P463" s="1456"/>
      <c r="Q463" s="1456"/>
      <c r="R463" s="1456"/>
      <c r="S463" s="1456"/>
      <c r="T463" s="1456"/>
      <c r="U463" s="1456"/>
      <c r="V463" s="1456"/>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255" t="s">
        <v>642</v>
      </c>
      <c r="X464" s="1256"/>
      <c r="Y464" s="125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893</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894</v>
      </c>
      <c r="U471" s="1463"/>
      <c r="V471" s="1463"/>
      <c r="W471" s="1463"/>
      <c r="X471" s="1463"/>
      <c r="Y471" s="1463"/>
      <c r="Z471" s="1463"/>
      <c r="AA471" s="1463"/>
      <c r="AB471" s="1463"/>
      <c r="AC471" s="1463"/>
      <c r="AD471" s="1463"/>
      <c r="AE471" s="1463"/>
      <c r="AF471" s="1463"/>
      <c r="AG471" s="1463"/>
      <c r="AH471" s="151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4"/>
      <c r="U474" s="1454"/>
      <c r="V474" s="1454"/>
      <c r="W474" s="1454"/>
      <c r="X474" s="1454"/>
      <c r="Y474" s="1454">
        <v>0</v>
      </c>
      <c r="Z474" s="1454"/>
      <c r="AA474" s="1454"/>
      <c r="AB474" s="1454"/>
      <c r="AC474" s="1454"/>
      <c r="AD474" s="1454">
        <v>44013</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4">
        <v>0</v>
      </c>
      <c r="U475" s="1454"/>
      <c r="V475" s="1454"/>
      <c r="W475" s="1454"/>
      <c r="X475" s="1454"/>
      <c r="Y475" s="1454">
        <v>0</v>
      </c>
      <c r="Z475" s="1454"/>
      <c r="AA475" s="1454"/>
      <c r="AB475" s="1454"/>
      <c r="AC475" s="1454"/>
      <c r="AD475" s="1486"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4">
        <v>0</v>
      </c>
      <c r="U476" s="1454"/>
      <c r="V476" s="1454"/>
      <c r="W476" s="1454"/>
      <c r="X476" s="1454"/>
      <c r="Y476" s="1454">
        <v>0</v>
      </c>
      <c r="Z476" s="1454"/>
      <c r="AA476" s="1454"/>
      <c r="AB476" s="1454"/>
      <c r="AC476" s="1454"/>
      <c r="AD476" s="1454">
        <v>44075</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4">
        <v>0</v>
      </c>
      <c r="U477" s="1454"/>
      <c r="V477" s="1454"/>
      <c r="W477" s="1454"/>
      <c r="X477" s="1454"/>
      <c r="Y477" s="1454">
        <v>0</v>
      </c>
      <c r="Z477" s="1454"/>
      <c r="AA477" s="1454"/>
      <c r="AB477" s="1454"/>
      <c r="AC477" s="1454"/>
      <c r="AD477" s="1454">
        <v>43891</v>
      </c>
      <c r="AE477" s="1454"/>
      <c r="AF477" s="1454"/>
      <c r="AG477" s="1454"/>
      <c r="AH477" s="145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4">
        <v>0</v>
      </c>
      <c r="U478" s="1454"/>
      <c r="V478" s="1454"/>
      <c r="W478" s="1454"/>
      <c r="X478" s="1454"/>
      <c r="Y478" s="1454">
        <v>0</v>
      </c>
      <c r="Z478" s="1454"/>
      <c r="AA478" s="1454"/>
      <c r="AB478" s="1454"/>
      <c r="AC478" s="1454"/>
      <c r="AD478" s="1486"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4">
        <v>0</v>
      </c>
      <c r="U479" s="1454"/>
      <c r="V479" s="1454"/>
      <c r="W479" s="1454"/>
      <c r="X479" s="1454"/>
      <c r="Y479" s="1454">
        <v>0</v>
      </c>
      <c r="Z479" s="1454"/>
      <c r="AA479" s="1454"/>
      <c r="AB479" s="1454"/>
      <c r="AC479" s="1454"/>
      <c r="AD479" s="1454">
        <v>44075</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4">
        <v>0</v>
      </c>
      <c r="U480" s="1454"/>
      <c r="V480" s="1454"/>
      <c r="W480" s="1454"/>
      <c r="X480" s="1454"/>
      <c r="Y480" s="1454">
        <v>0</v>
      </c>
      <c r="Z480" s="1454"/>
      <c r="AA480" s="1454"/>
      <c r="AB480" s="1454"/>
      <c r="AC480" s="1454"/>
      <c r="AD480" s="1454">
        <v>44075</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4">
        <v>0</v>
      </c>
      <c r="U481" s="1454"/>
      <c r="V481" s="1454"/>
      <c r="W481" s="1454"/>
      <c r="X481" s="1454"/>
      <c r="Y481" s="1454">
        <v>0</v>
      </c>
      <c r="Z481" s="1454"/>
      <c r="AA481" s="1454"/>
      <c r="AB481" s="1454"/>
      <c r="AC481" s="1454"/>
      <c r="AD481" s="1486" t="s">
        <v>1789</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4">
        <v>44075</v>
      </c>
      <c r="U482" s="1454"/>
      <c r="V482" s="1454"/>
      <c r="W482" s="1454"/>
      <c r="X482" s="1454"/>
      <c r="Y482" s="1454">
        <v>44105</v>
      </c>
      <c r="Z482" s="1454"/>
      <c r="AA482" s="1454"/>
      <c r="AB482" s="1454"/>
      <c r="AC482" s="1454"/>
      <c r="AD482" s="1454">
        <v>0</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4">
        <v>0</v>
      </c>
      <c r="U483" s="1454"/>
      <c r="V483" s="1454"/>
      <c r="W483" s="1454"/>
      <c r="X483" s="1454"/>
      <c r="Y483" s="1454">
        <v>0</v>
      </c>
      <c r="Z483" s="1454"/>
      <c r="AA483" s="1454"/>
      <c r="AB483" s="1454"/>
      <c r="AC483" s="1454"/>
      <c r="AD483" s="1486" t="s">
        <v>1788</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3" t="s">
        <v>1708</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3" t="s">
        <v>1707</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3" t="s">
        <v>1763</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7"/>
      <c r="C490" s="1468"/>
      <c r="D490" s="1468"/>
      <c r="E490" s="1468"/>
      <c r="F490" s="1468"/>
      <c r="G490" s="1468"/>
      <c r="H490" s="1468"/>
      <c r="I490" s="1468"/>
      <c r="J490" s="1468"/>
      <c r="K490" s="1468"/>
      <c r="L490" s="1468"/>
      <c r="M490" s="1468"/>
      <c r="N490" s="1468"/>
      <c r="O490" s="1468"/>
      <c r="P490" s="1469"/>
      <c r="Q490" s="1473" t="s">
        <v>723</v>
      </c>
      <c r="R490" s="1474"/>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3" t="s">
        <v>1709</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5">
        <v>0</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v>9</v>
      </c>
      <c r="AD500" s="1416"/>
      <c r="AE500" s="1416"/>
      <c r="AF500" s="1416"/>
      <c r="AG500" s="75" t="s">
        <v>438</v>
      </c>
      <c r="AH500" s="1224">
        <v>2020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3</v>
      </c>
      <c r="AD501" s="1416"/>
      <c r="AE501" s="1416"/>
      <c r="AF501" s="1416"/>
      <c r="AG501" s="65" t="s">
        <v>438</v>
      </c>
      <c r="AH501" s="1224">
        <v>2021</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642</v>
      </c>
      <c r="AD502" s="1416"/>
      <c r="AE502" s="1416"/>
      <c r="AF502" s="1416"/>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642</v>
      </c>
      <c r="AD503" s="1416"/>
      <c r="AE503" s="1416"/>
      <c r="AF503" s="1416"/>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v>9</v>
      </c>
      <c r="AD504" s="1416"/>
      <c r="AE504" s="1416"/>
      <c r="AF504" s="1416"/>
      <c r="AG504" s="75" t="s">
        <v>438</v>
      </c>
      <c r="AH504" s="1224">
        <v>2020</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t="s">
        <v>642</v>
      </c>
      <c r="AD505" s="1416"/>
      <c r="AE505" s="1416"/>
      <c r="AF505" s="1416"/>
      <c r="AG505" s="75" t="s">
        <v>438</v>
      </c>
      <c r="AH505" s="1224"/>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1</v>
      </c>
      <c r="AD506" s="1416"/>
      <c r="AE506" s="1416"/>
      <c r="AF506" s="1416"/>
      <c r="AG506" s="65" t="s">
        <v>438</v>
      </c>
      <c r="AH506" s="1224">
        <v>2021</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v>7</v>
      </c>
      <c r="AD507" s="1416"/>
      <c r="AE507" s="1416"/>
      <c r="AF507" s="1416"/>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9</v>
      </c>
      <c r="AD508" s="1416"/>
      <c r="AE508" s="1416"/>
      <c r="AF508" s="1416"/>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3</v>
      </c>
      <c r="AD509" s="1416"/>
      <c r="AE509" s="1416"/>
      <c r="AF509" s="1416"/>
      <c r="AG509" s="65" t="s">
        <v>438</v>
      </c>
      <c r="AH509" s="1224">
        <v>2021</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69">
        <v>9</v>
      </c>
      <c r="AD510" s="1170"/>
      <c r="AE510" s="1170"/>
      <c r="AF510" s="1170"/>
      <c r="AG510" s="204" t="s">
        <v>438</v>
      </c>
      <c r="AH510" s="1224">
        <v>2020</v>
      </c>
      <c r="AI510" s="1224"/>
      <c r="AJ510" s="1224"/>
      <c r="AK510" s="12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9</v>
      </c>
      <c r="AD511" s="1416"/>
      <c r="AE511" s="1416"/>
      <c r="AF511" s="1416"/>
      <c r="AG511" s="75" t="s">
        <v>438</v>
      </c>
      <c r="AH511" s="1224">
        <v>2020</v>
      </c>
      <c r="AI511" s="1224"/>
      <c r="AJ511" s="1224"/>
      <c r="AK511" s="12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12</v>
      </c>
      <c r="AD512" s="1416"/>
      <c r="AE512" s="1416"/>
      <c r="AF512" s="1416"/>
      <c r="AG512" s="65" t="s">
        <v>438</v>
      </c>
      <c r="AH512" s="1224">
        <v>2022</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21" t="s">
        <v>1710</v>
      </c>
      <c r="P513" s="1118"/>
      <c r="Q513" s="1118"/>
      <c r="R513" s="1118"/>
      <c r="S513" s="1118"/>
      <c r="T513" s="1118"/>
      <c r="U513" s="1118"/>
      <c r="V513" s="1118"/>
      <c r="W513" s="1118"/>
      <c r="X513" s="1118"/>
      <c r="Y513" s="1118"/>
      <c r="Z513" s="1118"/>
      <c r="AA513" s="1118"/>
      <c r="AB513" s="94"/>
      <c r="AC513" s="1169">
        <v>9</v>
      </c>
      <c r="AD513" s="1170"/>
      <c r="AE513" s="1170"/>
      <c r="AF513" s="1170"/>
      <c r="AG513" s="204" t="s">
        <v>438</v>
      </c>
      <c r="AH513" s="1224">
        <v>2020</v>
      </c>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v>9</v>
      </c>
      <c r="AD514" s="1416"/>
      <c r="AE514" s="1416"/>
      <c r="AF514" s="1416"/>
      <c r="AG514" s="75" t="s">
        <v>438</v>
      </c>
      <c r="AH514" s="1224">
        <v>2020</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v>3</v>
      </c>
      <c r="AD515" s="1416"/>
      <c r="AE515" s="1416"/>
      <c r="AF515" s="1416"/>
      <c r="AG515" s="65" t="s">
        <v>438</v>
      </c>
      <c r="AH515" s="1224">
        <v>2021</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094" t="s">
        <v>1711</v>
      </c>
      <c r="P516" s="1096"/>
      <c r="Q516" s="1096"/>
      <c r="R516" s="1096"/>
      <c r="S516" s="1096"/>
      <c r="T516" s="1096"/>
      <c r="U516" s="1096"/>
      <c r="V516" s="1096"/>
      <c r="W516" s="1096"/>
      <c r="X516" s="1096"/>
      <c r="Y516" s="1096"/>
      <c r="Z516" s="1096"/>
      <c r="AA516" s="1096"/>
      <c r="AC516" s="1458">
        <v>9</v>
      </c>
      <c r="AD516" s="1416"/>
      <c r="AE516" s="1416"/>
      <c r="AF516" s="1416"/>
      <c r="AG516" s="75" t="s">
        <v>438</v>
      </c>
      <c r="AH516" s="1224">
        <v>2020</v>
      </c>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v>9</v>
      </c>
      <c r="AD517" s="1416"/>
      <c r="AE517" s="1416"/>
      <c r="AF517" s="1416"/>
      <c r="AG517" s="75" t="s">
        <v>438</v>
      </c>
      <c r="AH517" s="1224">
        <v>2020</v>
      </c>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v>3</v>
      </c>
      <c r="AD518" s="1416"/>
      <c r="AE518" s="1416"/>
      <c r="AF518" s="1416"/>
      <c r="AG518" s="65" t="s">
        <v>438</v>
      </c>
      <c r="AH518" s="1224">
        <v>2021</v>
      </c>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094"/>
      <c r="P519" s="1096"/>
      <c r="Q519" s="1096"/>
      <c r="R519" s="1096"/>
      <c r="S519" s="1096"/>
      <c r="T519" s="1096"/>
      <c r="U519" s="1096"/>
      <c r="V519" s="1096"/>
      <c r="W519" s="1096"/>
      <c r="X519" s="1096"/>
      <c r="Y519" s="1096"/>
      <c r="Z519" s="1096"/>
      <c r="AA519" s="1096"/>
      <c r="AC519" s="1458" t="s">
        <v>642</v>
      </c>
      <c r="AD519" s="1416"/>
      <c r="AE519" s="1416"/>
      <c r="AF519" s="1416"/>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t="s">
        <v>642</v>
      </c>
      <c r="AD520" s="1416"/>
      <c r="AE520" s="1416"/>
      <c r="AF520" s="1416"/>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t="s">
        <v>642</v>
      </c>
      <c r="AD521" s="1416"/>
      <c r="AE521" s="1416"/>
      <c r="AF521" s="1416"/>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8" t="s">
        <v>642</v>
      </c>
      <c r="AD522" s="1416"/>
      <c r="AE522" s="1416"/>
      <c r="AF522" s="1416"/>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642</v>
      </c>
      <c r="AD523" s="1416"/>
      <c r="AE523" s="1416"/>
      <c r="AF523" s="1416"/>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642</v>
      </c>
      <c r="AD524" s="1416"/>
      <c r="AE524" s="1416"/>
      <c r="AF524" s="1416"/>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8" t="s">
        <v>642</v>
      </c>
      <c r="AD525" s="1416"/>
      <c r="AE525" s="1416"/>
      <c r="AF525" s="1416"/>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642</v>
      </c>
      <c r="AD526" s="1416"/>
      <c r="AE526" s="1416"/>
      <c r="AF526" s="1416"/>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642</v>
      </c>
      <c r="AD527" s="1416"/>
      <c r="AE527" s="1416"/>
      <c r="AF527" s="1416"/>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8" t="s">
        <v>642</v>
      </c>
      <c r="AD528" s="1416"/>
      <c r="AE528" s="1416"/>
      <c r="AF528" s="1416"/>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642</v>
      </c>
      <c r="AD529" s="1416"/>
      <c r="AE529" s="1416"/>
      <c r="AF529" s="1416"/>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642</v>
      </c>
      <c r="AD530" s="1416"/>
      <c r="AE530" s="1416"/>
      <c r="AF530" s="1416"/>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611</v>
      </c>
      <c r="J531" s="72"/>
      <c r="K531" s="72"/>
      <c r="L531" s="72"/>
      <c r="M531" s="72"/>
      <c r="N531" s="72"/>
      <c r="O531" s="72"/>
      <c r="P531" s="72"/>
      <c r="Q531" s="72"/>
      <c r="R531" s="72"/>
      <c r="S531" s="72"/>
      <c r="T531" s="72"/>
      <c r="U531" s="72"/>
      <c r="V531" s="72"/>
      <c r="W531" s="72"/>
      <c r="X531" s="25"/>
      <c r="Y531" s="25"/>
      <c r="AC531" s="1458">
        <v>3</v>
      </c>
      <c r="AD531" s="1416"/>
      <c r="AE531" s="1416"/>
      <c r="AF531" s="1416"/>
      <c r="AG531" s="65" t="s">
        <v>438</v>
      </c>
      <c r="AH531" s="1224">
        <v>2021</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612</v>
      </c>
      <c r="J532" s="25"/>
      <c r="K532" s="25"/>
      <c r="L532" s="25"/>
      <c r="M532" s="25"/>
      <c r="N532" s="25"/>
      <c r="O532" s="25"/>
      <c r="P532" s="25"/>
      <c r="Q532" s="25"/>
      <c r="R532" s="25"/>
      <c r="S532" s="25"/>
      <c r="T532" s="25"/>
      <c r="U532" s="25"/>
      <c r="V532" s="25"/>
      <c r="W532" s="25"/>
      <c r="X532" s="25"/>
      <c r="Y532" s="25"/>
      <c r="AC532" s="1458">
        <v>3</v>
      </c>
      <c r="AD532" s="1416"/>
      <c r="AE532" s="1416"/>
      <c r="AF532" s="1416"/>
      <c r="AG532" s="75" t="s">
        <v>438</v>
      </c>
      <c r="AH532" s="1224">
        <v>2021</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613</v>
      </c>
      <c r="J533" s="25"/>
      <c r="K533" s="25"/>
      <c r="L533" s="25"/>
      <c r="M533" s="25"/>
      <c r="N533" s="25"/>
      <c r="O533" s="25"/>
      <c r="P533" s="25"/>
      <c r="Q533" s="25"/>
      <c r="R533" s="25"/>
      <c r="S533" s="25"/>
      <c r="T533" s="25"/>
      <c r="U533" s="25"/>
      <c r="V533" s="25"/>
      <c r="W533" s="25"/>
      <c r="X533" s="25"/>
      <c r="Y533" s="25"/>
      <c r="AC533" s="1458">
        <v>12</v>
      </c>
      <c r="AD533" s="1416"/>
      <c r="AE533" s="1416"/>
      <c r="AF533" s="1416"/>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614</v>
      </c>
      <c r="J534" s="25"/>
      <c r="K534" s="25"/>
      <c r="L534" s="25"/>
      <c r="M534" s="25"/>
      <c r="N534" s="25"/>
      <c r="O534" s="25"/>
      <c r="P534" s="25"/>
      <c r="Q534" s="25"/>
      <c r="R534" s="25"/>
      <c r="S534" s="25"/>
      <c r="T534" s="25"/>
      <c r="U534" s="25"/>
      <c r="V534" s="25"/>
      <c r="W534" s="25"/>
      <c r="X534" s="25"/>
      <c r="Y534" s="25"/>
      <c r="AC534" s="1458">
        <v>12</v>
      </c>
      <c r="AD534" s="1416"/>
      <c r="AE534" s="1416"/>
      <c r="AF534" s="1416"/>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496</v>
      </c>
      <c r="J535" s="80"/>
      <c r="K535" s="80"/>
      <c r="L535" s="80"/>
      <c r="M535" s="80"/>
      <c r="N535" s="80"/>
      <c r="O535" s="80"/>
      <c r="P535" s="80"/>
      <c r="Q535" s="80"/>
      <c r="R535" s="80"/>
      <c r="S535" s="80"/>
      <c r="T535" s="80"/>
      <c r="U535" s="80"/>
      <c r="V535" s="80"/>
      <c r="W535" s="80"/>
      <c r="X535" s="80"/>
      <c r="Y535" s="80"/>
      <c r="Z535" s="80"/>
      <c r="AA535" s="80"/>
      <c r="AB535" s="80"/>
      <c r="AC535" s="1458">
        <v>3</v>
      </c>
      <c r="AD535" s="1416"/>
      <c r="AE535" s="1416"/>
      <c r="AF535" s="1416"/>
      <c r="AG535" s="65" t="s">
        <v>438</v>
      </c>
      <c r="AH535" s="1224">
        <v>2023</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498</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499</v>
      </c>
      <c r="V544" s="1460"/>
      <c r="W544" s="1460"/>
      <c r="X544" s="1460"/>
      <c r="Y544" s="1461"/>
      <c r="Z544" s="1517" t="s">
        <v>1425</v>
      </c>
      <c r="AA544" s="1518"/>
      <c r="AB544" s="1518"/>
      <c r="AC544" s="1518"/>
      <c r="AD544" s="1519"/>
      <c r="AE544" s="1459" t="s">
        <v>500</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1" t="s">
        <v>1790</v>
      </c>
      <c r="D545" s="1101"/>
      <c r="E545" s="1101"/>
      <c r="F545" s="1101"/>
      <c r="G545" s="1101"/>
      <c r="H545" s="1101"/>
      <c r="I545" s="1101"/>
      <c r="J545" s="1101"/>
      <c r="K545" s="1101"/>
      <c r="L545" s="1101"/>
      <c r="M545" s="1101"/>
      <c r="N545" s="1101"/>
      <c r="O545" s="1226"/>
      <c r="P545" s="1223">
        <v>30</v>
      </c>
      <c r="Q545" s="1224"/>
      <c r="R545" s="1224"/>
      <c r="S545" s="1224"/>
      <c r="T545" s="1225"/>
      <c r="U545" s="1425">
        <v>3.95E-2</v>
      </c>
      <c r="V545" s="1426"/>
      <c r="W545" s="1426"/>
      <c r="X545" s="1426"/>
      <c r="Y545" s="1427"/>
      <c r="Z545" s="1221" t="s">
        <v>1713</v>
      </c>
      <c r="AA545" s="1221"/>
      <c r="AB545" s="1221"/>
      <c r="AC545" s="1221"/>
      <c r="AD545" s="1222"/>
      <c r="AE545" s="1140">
        <v>29500000</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1" t="s">
        <v>1791</v>
      </c>
      <c r="D546" s="1101"/>
      <c r="E546" s="1101"/>
      <c r="F546" s="1101"/>
      <c r="G546" s="1101"/>
      <c r="H546" s="1101"/>
      <c r="I546" s="1101"/>
      <c r="J546" s="1101"/>
      <c r="K546" s="1101"/>
      <c r="L546" s="1101"/>
      <c r="M546" s="1101"/>
      <c r="N546" s="1101"/>
      <c r="O546" s="1226"/>
      <c r="P546" s="1223">
        <v>30</v>
      </c>
      <c r="Q546" s="1224"/>
      <c r="R546" s="1224"/>
      <c r="S546" s="1224"/>
      <c r="T546" s="1225"/>
      <c r="U546" s="1425">
        <v>4.3499999999999997E-2</v>
      </c>
      <c r="V546" s="1426"/>
      <c r="W546" s="1426"/>
      <c r="X546" s="1426"/>
      <c r="Y546" s="1427"/>
      <c r="Z546" s="1221" t="s">
        <v>1713</v>
      </c>
      <c r="AA546" s="1221"/>
      <c r="AB546" s="1221"/>
      <c r="AC546" s="1221"/>
      <c r="AD546" s="1222"/>
      <c r="AE546" s="1140">
        <f>11650450</f>
        <v>11650450</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1" t="s">
        <v>1793</v>
      </c>
      <c r="D547" s="1101"/>
      <c r="E547" s="1101"/>
      <c r="F547" s="1101"/>
      <c r="G547" s="1101"/>
      <c r="H547" s="1101"/>
      <c r="I547" s="1101"/>
      <c r="J547" s="1101"/>
      <c r="K547" s="1101"/>
      <c r="L547" s="1101"/>
      <c r="M547" s="1101"/>
      <c r="N547" s="1101"/>
      <c r="O547" s="1226"/>
      <c r="P547" s="1223">
        <v>204</v>
      </c>
      <c r="Q547" s="1224"/>
      <c r="R547" s="1224"/>
      <c r="S547" s="1224"/>
      <c r="T547" s="1225"/>
      <c r="U547" s="1425">
        <v>4.4999999999999998E-2</v>
      </c>
      <c r="V547" s="1426"/>
      <c r="W547" s="1426"/>
      <c r="X547" s="1426"/>
      <c r="Y547" s="1427"/>
      <c r="Z547" s="1221" t="s">
        <v>1713</v>
      </c>
      <c r="AA547" s="1221"/>
      <c r="AB547" s="1221"/>
      <c r="AC547" s="1221"/>
      <c r="AD547" s="1222"/>
      <c r="AE547" s="1140">
        <f>AG620</f>
        <v>14644748</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1" t="s">
        <v>1714</v>
      </c>
      <c r="D548" s="1101"/>
      <c r="E548" s="1101"/>
      <c r="F548" s="1101"/>
      <c r="G548" s="1101"/>
      <c r="H548" s="1101"/>
      <c r="I548" s="1101"/>
      <c r="J548" s="1101"/>
      <c r="K548" s="1101"/>
      <c r="L548" s="1101"/>
      <c r="M548" s="1101"/>
      <c r="N548" s="1101"/>
      <c r="O548" s="1226"/>
      <c r="P548" s="1223">
        <v>30</v>
      </c>
      <c r="Q548" s="1224"/>
      <c r="R548" s="1224"/>
      <c r="S548" s="1224"/>
      <c r="T548" s="1225"/>
      <c r="U548" s="1425" t="s">
        <v>642</v>
      </c>
      <c r="V548" s="1426"/>
      <c r="W548" s="1426"/>
      <c r="X548" s="1426"/>
      <c r="Y548" s="1427"/>
      <c r="Z548" s="1221" t="s">
        <v>642</v>
      </c>
      <c r="AA548" s="1221"/>
      <c r="AB548" s="1221"/>
      <c r="AC548" s="1221"/>
      <c r="AD548" s="1222"/>
      <c r="AE548" s="1140">
        <f>AG632-AE545-AE546-AE547-AE549-AE550</f>
        <v>3248923.0000000019</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1" t="s">
        <v>1712</v>
      </c>
      <c r="D549" s="1101"/>
      <c r="E549" s="1101"/>
      <c r="F549" s="1101"/>
      <c r="G549" s="1101"/>
      <c r="H549" s="1101"/>
      <c r="I549" s="1101"/>
      <c r="J549" s="1101"/>
      <c r="K549" s="1101"/>
      <c r="L549" s="1101"/>
      <c r="M549" s="1101"/>
      <c r="N549" s="1101"/>
      <c r="O549" s="1226"/>
      <c r="P549" s="1223">
        <v>120</v>
      </c>
      <c r="Q549" s="1224"/>
      <c r="R549" s="1224"/>
      <c r="S549" s="1224"/>
      <c r="T549" s="1225"/>
      <c r="U549" s="1425" t="str">
        <f>U548</f>
        <v>N/A</v>
      </c>
      <c r="V549" s="1426"/>
      <c r="W549" s="1426"/>
      <c r="X549" s="1426"/>
      <c r="Y549" s="1427"/>
      <c r="Z549" s="1221" t="s">
        <v>642</v>
      </c>
      <c r="AA549" s="1221"/>
      <c r="AB549" s="1221"/>
      <c r="AC549" s="1221"/>
      <c r="AD549" s="1222"/>
      <c r="AE549" s="1140">
        <f>AG621</f>
        <v>4201726.834999999</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1" t="s">
        <v>1715</v>
      </c>
      <c r="D550" s="1101"/>
      <c r="E550" s="1101"/>
      <c r="F550" s="1101"/>
      <c r="G550" s="1101"/>
      <c r="H550" s="1101"/>
      <c r="I550" s="1101"/>
      <c r="J550" s="1101"/>
      <c r="K550" s="1101"/>
      <c r="L550" s="1101"/>
      <c r="M550" s="1101"/>
      <c r="N550" s="1101"/>
      <c r="O550" s="1226"/>
      <c r="P550" s="1223"/>
      <c r="Q550" s="1224"/>
      <c r="R550" s="1224"/>
      <c r="S550" s="1224"/>
      <c r="T550" s="1225"/>
      <c r="U550" s="1425" t="str">
        <f>U549</f>
        <v>N/A</v>
      </c>
      <c r="V550" s="1426"/>
      <c r="W550" s="1426"/>
      <c r="X550" s="1426"/>
      <c r="Y550" s="1427"/>
      <c r="Z550" s="1221" t="s">
        <v>642</v>
      </c>
      <c r="AA550" s="1221"/>
      <c r="AB550" s="1221"/>
      <c r="AC550" s="1221"/>
      <c r="AD550" s="1222"/>
      <c r="AE550" s="1140">
        <f>TRUNC(AG631*0.2,0)</f>
        <v>3718480</v>
      </c>
      <c r="AF550" s="1141"/>
      <c r="AG550" s="1141"/>
      <c r="AH550" s="1141"/>
      <c r="AI550" s="1141"/>
      <c r="AJ550" s="1141"/>
      <c r="AK550" s="1142"/>
      <c r="AM550" s="58" t="s">
        <v>842</v>
      </c>
      <c r="AN550" s="58">
        <f>N656</f>
        <v>0</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1"/>
      <c r="D551" s="1101"/>
      <c r="E551" s="1101"/>
      <c r="F551" s="1101"/>
      <c r="G551" s="1101"/>
      <c r="H551" s="1101"/>
      <c r="I551" s="1101"/>
      <c r="J551" s="1101"/>
      <c r="K551" s="1101"/>
      <c r="L551" s="1101"/>
      <c r="M551" s="1101"/>
      <c r="N551" s="1101"/>
      <c r="O551" s="1226"/>
      <c r="P551" s="1223"/>
      <c r="Q551" s="1224"/>
      <c r="R551" s="1224"/>
      <c r="S551" s="1224"/>
      <c r="T551" s="1225"/>
      <c r="U551" s="1425"/>
      <c r="V551" s="1426"/>
      <c r="W551" s="1426"/>
      <c r="X551" s="1426"/>
      <c r="Y551" s="1427"/>
      <c r="Z551" s="1221"/>
      <c r="AA551" s="1221"/>
      <c r="AB551" s="1221"/>
      <c r="AC551" s="1221"/>
      <c r="AD551" s="1222"/>
      <c r="AE551" s="1140"/>
      <c r="AF551" s="1141"/>
      <c r="AG551" s="1141"/>
      <c r="AH551" s="1141"/>
      <c r="AI551" s="1141"/>
      <c r="AJ551" s="1141"/>
      <c r="AK551" s="114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1"/>
      <c r="D552" s="1101"/>
      <c r="E552" s="1101"/>
      <c r="F552" s="1101"/>
      <c r="G552" s="1101"/>
      <c r="H552" s="1101"/>
      <c r="I552" s="1101"/>
      <c r="J552" s="1101"/>
      <c r="K552" s="1101"/>
      <c r="L552" s="1101"/>
      <c r="M552" s="1101"/>
      <c r="N552" s="1101"/>
      <c r="O552" s="1226"/>
      <c r="P552" s="1223"/>
      <c r="Q552" s="1224"/>
      <c r="R552" s="1224"/>
      <c r="S552" s="1224"/>
      <c r="T552" s="1225"/>
      <c r="U552" s="1425"/>
      <c r="V552" s="1426"/>
      <c r="W552" s="1426"/>
      <c r="X552" s="1426"/>
      <c r="Y552" s="1427"/>
      <c r="Z552" s="1221"/>
      <c r="AA552" s="1221"/>
      <c r="AB552" s="1221"/>
      <c r="AC552" s="1221"/>
      <c r="AD552" s="1222"/>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1"/>
      <c r="D553" s="1101"/>
      <c r="E553" s="1101"/>
      <c r="F553" s="1101"/>
      <c r="G553" s="1101"/>
      <c r="H553" s="1101"/>
      <c r="I553" s="1101"/>
      <c r="J553" s="1101"/>
      <c r="K553" s="1101"/>
      <c r="L553" s="1101"/>
      <c r="M553" s="1101"/>
      <c r="N553" s="1101"/>
      <c r="O553" s="1226"/>
      <c r="P553" s="1223"/>
      <c r="Q553" s="1224"/>
      <c r="R553" s="1224"/>
      <c r="S553" s="1224"/>
      <c r="T553" s="1225"/>
      <c r="U553" s="1425"/>
      <c r="V553" s="1426"/>
      <c r="W553" s="1426"/>
      <c r="X553" s="1426"/>
      <c r="Y553" s="1427"/>
      <c r="Z553" s="1221"/>
      <c r="AA553" s="1221"/>
      <c r="AB553" s="1221"/>
      <c r="AC553" s="1221"/>
      <c r="AD553" s="1222"/>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c r="D554" s="1101"/>
      <c r="E554" s="1101"/>
      <c r="F554" s="1101"/>
      <c r="G554" s="1101"/>
      <c r="H554" s="1101"/>
      <c r="I554" s="1101"/>
      <c r="J554" s="1101"/>
      <c r="K554" s="1101"/>
      <c r="L554" s="1101"/>
      <c r="M554" s="1101"/>
      <c r="N554" s="1101"/>
      <c r="O554" s="1226"/>
      <c r="P554" s="1223"/>
      <c r="Q554" s="1224"/>
      <c r="R554" s="1224"/>
      <c r="S554" s="1224"/>
      <c r="T554" s="1225"/>
      <c r="U554" s="1425"/>
      <c r="V554" s="1426"/>
      <c r="W554" s="1426"/>
      <c r="X554" s="1426"/>
      <c r="Y554" s="1427"/>
      <c r="Z554" s="1221"/>
      <c r="AA554" s="1221"/>
      <c r="AB554" s="1221"/>
      <c r="AC554" s="1221"/>
      <c r="AD554" s="1222"/>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6"/>
      <c r="P555" s="1223"/>
      <c r="Q555" s="1224"/>
      <c r="R555" s="1224"/>
      <c r="S555" s="1224"/>
      <c r="T555" s="1225"/>
      <c r="U555" s="1425"/>
      <c r="V555" s="1426"/>
      <c r="W555" s="1426"/>
      <c r="X555" s="1426"/>
      <c r="Y555" s="1427"/>
      <c r="Z555" s="1221"/>
      <c r="AA555" s="1221"/>
      <c r="AB555" s="1221"/>
      <c r="AC555" s="1221"/>
      <c r="AD555" s="1222"/>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6"/>
      <c r="P556" s="1223"/>
      <c r="Q556" s="1224"/>
      <c r="R556" s="1224"/>
      <c r="S556" s="1224"/>
      <c r="T556" s="1225"/>
      <c r="U556" s="1425"/>
      <c r="V556" s="1426"/>
      <c r="W556" s="1426"/>
      <c r="X556" s="1426"/>
      <c r="Y556" s="1427"/>
      <c r="Z556" s="1221"/>
      <c r="AA556" s="1221"/>
      <c r="AB556" s="1221"/>
      <c r="AC556" s="1221"/>
      <c r="AD556" s="1222"/>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66964327.835000001</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Walker &amp; Dunlop (Tax-Exempt Bonds)</v>
      </c>
      <c r="H559" s="1098"/>
      <c r="I559" s="1098"/>
      <c r="J559" s="1098"/>
      <c r="K559" s="1098"/>
      <c r="L559" s="1098"/>
      <c r="M559" s="1098"/>
      <c r="N559" s="1098"/>
      <c r="O559" s="1098"/>
      <c r="P559" s="1098"/>
      <c r="Q559" s="1098"/>
      <c r="R559" s="1098"/>
      <c r="S559" s="14"/>
      <c r="T559" s="87" t="s">
        <v>120</v>
      </c>
      <c r="U559" s="12" t="s">
        <v>510</v>
      </c>
      <c r="Z559" s="1098" t="str">
        <f>C546</f>
        <v>Walker &amp; Dunlop (Taxable Const. Bridge)</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1773</v>
      </c>
      <c r="H560" s="1096"/>
      <c r="I560" s="1096"/>
      <c r="J560" s="1096"/>
      <c r="K560" s="1096"/>
      <c r="L560" s="1096"/>
      <c r="M560" s="1096"/>
      <c r="N560" s="1096"/>
      <c r="O560" s="1096"/>
      <c r="P560" s="1096"/>
      <c r="Q560" s="1096"/>
      <c r="R560" s="1096"/>
      <c r="S560" s="14"/>
      <c r="T560" s="35"/>
      <c r="U560" s="12" t="s">
        <v>92</v>
      </c>
      <c r="Z560" s="1096" t="str">
        <f>G560</f>
        <v>Madison Ave</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1767</v>
      </c>
      <c r="H561" s="1096"/>
      <c r="I561" s="1096"/>
      <c r="J561" s="1096"/>
      <c r="K561" s="1096"/>
      <c r="L561" s="1096"/>
      <c r="M561" s="1096"/>
      <c r="N561" s="1096"/>
      <c r="O561" s="1096"/>
      <c r="P561" s="1096"/>
      <c r="Q561" s="1096"/>
      <c r="R561" s="1096"/>
      <c r="S561" s="88"/>
      <c r="T561" s="35"/>
      <c r="U561" s="12" t="s">
        <v>631</v>
      </c>
      <c r="Z561" s="1118" t="str">
        <f>G561</f>
        <v>NY, NY</v>
      </c>
      <c r="AA561" s="1118"/>
      <c r="AB561" s="1118"/>
      <c r="AC561" s="1118"/>
      <c r="AD561" s="1118"/>
      <c r="AE561" s="1118"/>
      <c r="AF561" s="1118"/>
      <c r="AG561" s="1118"/>
      <c r="AH561" s="1118"/>
      <c r="AI561" s="1118"/>
      <c r="AJ561" s="1118"/>
      <c r="AK561" s="111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tr">
        <f>G637</f>
        <v>John Gilmore</v>
      </c>
      <c r="H562" s="1096"/>
      <c r="I562" s="1096"/>
      <c r="J562" s="1096"/>
      <c r="K562" s="1096"/>
      <c r="L562" s="1096"/>
      <c r="M562" s="1096"/>
      <c r="N562" s="1096"/>
      <c r="O562" s="1096"/>
      <c r="P562" s="1096"/>
      <c r="Q562" s="1096"/>
      <c r="R562" s="1096"/>
      <c r="S562" s="14"/>
      <c r="T562" s="35"/>
      <c r="U562" s="12" t="s">
        <v>19</v>
      </c>
      <c r="Z562" s="1118" t="str">
        <f>G562</f>
        <v>John Gilmore</v>
      </c>
      <c r="AA562" s="1118"/>
      <c r="AB562" s="1118"/>
      <c r="AC562" s="1118"/>
      <c r="AD562" s="1118"/>
      <c r="AE562" s="1118"/>
      <c r="AF562" s="1118"/>
      <c r="AG562" s="1118"/>
      <c r="AH562" s="1118"/>
      <c r="AI562" s="1118"/>
      <c r="AJ562" s="1118"/>
      <c r="AK562" s="111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tr">
        <f>G638</f>
        <v>646 438 7716</v>
      </c>
      <c r="H563" s="1100"/>
      <c r="I563" s="1100"/>
      <c r="J563" s="1100"/>
      <c r="K563" s="1100"/>
      <c r="L563" s="1100"/>
      <c r="O563" s="140" t="s">
        <v>220</v>
      </c>
      <c r="P563" s="1101"/>
      <c r="Q563" s="1101"/>
      <c r="R563" s="1101"/>
      <c r="S563" s="16"/>
      <c r="T563" s="35"/>
      <c r="U563" s="12" t="s">
        <v>338</v>
      </c>
      <c r="Z563" s="1100" t="str">
        <f>G563</f>
        <v>646 438 7716</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1779</v>
      </c>
      <c r="I564" s="1096"/>
      <c r="J564" s="1096"/>
      <c r="K564" s="1096"/>
      <c r="L564" s="1096"/>
      <c r="M564" s="1096"/>
      <c r="N564" s="1096"/>
      <c r="O564" s="1096"/>
      <c r="P564" s="1096"/>
      <c r="Q564" s="1096"/>
      <c r="R564" s="1096"/>
      <c r="S564" s="14"/>
      <c r="T564" s="35"/>
      <c r="U564" s="12" t="s">
        <v>20</v>
      </c>
      <c r="AA564" s="1094" t="s">
        <v>1768</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3"/>
      <c r="N565" s="1523"/>
      <c r="O565" s="1523"/>
      <c r="P565" s="1523"/>
      <c r="Q565" s="1523"/>
      <c r="R565" s="1523"/>
      <c r="S565" s="14"/>
      <c r="T565" s="35"/>
      <c r="U565" s="530" t="s">
        <v>1426</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ABS Mayer Bricker (RR Seller CarryBackLoan)</v>
      </c>
      <c r="H568" s="1098"/>
      <c r="I568" s="1098"/>
      <c r="J568" s="1098"/>
      <c r="K568" s="1098"/>
      <c r="L568" s="1098"/>
      <c r="M568" s="1098"/>
      <c r="N568" s="1098"/>
      <c r="O568" s="1098"/>
      <c r="P568" s="1098"/>
      <c r="Q568" s="1098"/>
      <c r="R568" s="1098"/>
      <c r="T568" s="87" t="s">
        <v>632</v>
      </c>
      <c r="U568" s="12" t="s">
        <v>510</v>
      </c>
      <c r="Z568" s="1098" t="str">
        <f>C548</f>
        <v>Deferred Construction Costs/Reserves</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tr">
        <f>G643</f>
        <v>5500 Hollywood Blvd, 4th Floor</v>
      </c>
      <c r="H569" s="1096"/>
      <c r="I569" s="1096"/>
      <c r="J569" s="1096"/>
      <c r="K569" s="1096"/>
      <c r="L569" s="1096"/>
      <c r="M569" s="1096"/>
      <c r="N569" s="1096"/>
      <c r="O569" s="1096"/>
      <c r="P569" s="1096"/>
      <c r="Q569" s="1096"/>
      <c r="R569" s="1096"/>
      <c r="T569" s="35"/>
      <c r="U569" s="12" t="s">
        <v>92</v>
      </c>
      <c r="Z569" s="1096" t="str">
        <f>G569</f>
        <v>5500 Hollywood Blvd, 4th Floor</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8" t="str">
        <f>G644</f>
        <v>Los Angeles, CA 90028</v>
      </c>
      <c r="H570" s="1118"/>
      <c r="I570" s="1118"/>
      <c r="J570" s="1118"/>
      <c r="K570" s="1118"/>
      <c r="L570" s="1118"/>
      <c r="M570" s="1118"/>
      <c r="N570" s="1118"/>
      <c r="O570" s="1118"/>
      <c r="P570" s="1118"/>
      <c r="Q570" s="1118"/>
      <c r="R570" s="1118"/>
      <c r="T570" s="35"/>
      <c r="U570" s="12" t="s">
        <v>631</v>
      </c>
      <c r="Z570" s="1118" t="str">
        <f>G570</f>
        <v>Los Angeles, CA 90028</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tr">
        <f>G645</f>
        <v>Samir Srivastava</v>
      </c>
      <c r="H571" s="1118"/>
      <c r="I571" s="1118"/>
      <c r="J571" s="1118"/>
      <c r="K571" s="1118"/>
      <c r="L571" s="1118"/>
      <c r="M571" s="1118"/>
      <c r="N571" s="1118"/>
      <c r="O571" s="1118"/>
      <c r="P571" s="1118"/>
      <c r="Q571" s="1118"/>
      <c r="R571" s="1118"/>
      <c r="T571" s="35"/>
      <c r="U571" s="12" t="s">
        <v>19</v>
      </c>
      <c r="Z571" s="1118" t="str">
        <f>G571</f>
        <v>Samir Srivastava</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tr">
        <f>G646</f>
        <v>213 268 2723</v>
      </c>
      <c r="H572" s="1100"/>
      <c r="I572" s="1100"/>
      <c r="J572" s="1100"/>
      <c r="K572" s="1100"/>
      <c r="L572" s="1100"/>
      <c r="O572" s="140" t="s">
        <v>220</v>
      </c>
      <c r="P572" s="1101"/>
      <c r="Q572" s="1101"/>
      <c r="R572" s="1101"/>
      <c r="T572" s="35"/>
      <c r="U572" s="12" t="s">
        <v>338</v>
      </c>
      <c r="Z572" s="1100" t="str">
        <f>G572</f>
        <v>213 268 2723</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1770</v>
      </c>
      <c r="I573" s="1096"/>
      <c r="J573" s="1096"/>
      <c r="K573" s="1096"/>
      <c r="L573" s="1096"/>
      <c r="M573" s="1096"/>
      <c r="N573" s="1096"/>
      <c r="O573" s="1096"/>
      <c r="P573" s="1096"/>
      <c r="Q573" s="1096"/>
      <c r="R573" s="1096"/>
      <c r="T573" s="35"/>
      <c r="U573" s="12" t="s">
        <v>20</v>
      </c>
      <c r="AA573" s="1094" t="s">
        <v>1777</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 xml:space="preserve">Deferred Developer Fee </v>
      </c>
      <c r="H576" s="1098"/>
      <c r="I576" s="1098"/>
      <c r="J576" s="1098"/>
      <c r="K576" s="1098"/>
      <c r="L576" s="1098"/>
      <c r="M576" s="1098"/>
      <c r="N576" s="1098"/>
      <c r="O576" s="1098"/>
      <c r="P576" s="1098"/>
      <c r="Q576" s="1098"/>
      <c r="R576" s="1098"/>
      <c r="T576" s="87" t="s">
        <v>635</v>
      </c>
      <c r="U576" s="12" t="s">
        <v>510</v>
      </c>
      <c r="Z576" s="1098" t="str">
        <f>C550</f>
        <v xml:space="preserve">Boston Financial (Tax Cr. Equity) </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tr">
        <f>G569</f>
        <v>5500 Hollywood Blvd, 4th Floor</v>
      </c>
      <c r="H577" s="1096"/>
      <c r="I577" s="1096"/>
      <c r="J577" s="1096"/>
      <c r="K577" s="1096"/>
      <c r="L577" s="1096"/>
      <c r="M577" s="1096"/>
      <c r="N577" s="1096"/>
      <c r="O577" s="1096"/>
      <c r="P577" s="1096"/>
      <c r="Q577" s="1096"/>
      <c r="R577" s="1096"/>
      <c r="T577" s="35"/>
      <c r="U577" s="12" t="s">
        <v>92</v>
      </c>
      <c r="Z577" s="1094" t="s">
        <v>1738</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6" t="str">
        <f>G570</f>
        <v>Los Angeles, CA 90028</v>
      </c>
      <c r="H578" s="1096"/>
      <c r="I578" s="1096"/>
      <c r="J578" s="1096"/>
      <c r="K578" s="1096"/>
      <c r="L578" s="1096"/>
      <c r="M578" s="1096"/>
      <c r="N578" s="1096"/>
      <c r="O578" s="1096"/>
      <c r="P578" s="1096"/>
      <c r="Q578" s="1096"/>
      <c r="R578" s="1096"/>
      <c r="T578" s="35"/>
      <c r="U578" s="12" t="s">
        <v>631</v>
      </c>
      <c r="Z578" s="1121" t="s">
        <v>1739</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t="str">
        <f>G571</f>
        <v>Samir Srivastava</v>
      </c>
      <c r="H579" s="1096"/>
      <c r="I579" s="1096"/>
      <c r="J579" s="1096"/>
      <c r="K579" s="1096"/>
      <c r="L579" s="1096"/>
      <c r="M579" s="1096"/>
      <c r="N579" s="1096"/>
      <c r="O579" s="1096"/>
      <c r="P579" s="1096"/>
      <c r="Q579" s="1096"/>
      <c r="R579" s="1096"/>
      <c r="T579" s="35"/>
      <c r="U579" s="12" t="s">
        <v>19</v>
      </c>
      <c r="Z579" s="1121" t="s">
        <v>1740</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tr">
        <f>G572</f>
        <v>213 268 2723</v>
      </c>
      <c r="H580" s="1100"/>
      <c r="I580" s="1100"/>
      <c r="J580" s="1100"/>
      <c r="K580" s="1100"/>
      <c r="L580" s="1100"/>
      <c r="O580" s="140" t="s">
        <v>220</v>
      </c>
      <c r="P580" s="1101"/>
      <c r="Q580" s="1101"/>
      <c r="R580" s="1101"/>
      <c r="T580" s="35"/>
      <c r="U580" s="12" t="s">
        <v>338</v>
      </c>
      <c r="Z580" s="1099" t="s">
        <v>1741</v>
      </c>
      <c r="AA580" s="1100"/>
      <c r="AB580" s="1100"/>
      <c r="AC580" s="1100"/>
      <c r="AD580" s="1100"/>
      <c r="AE580" s="1100"/>
      <c r="AH580" s="140" t="s">
        <v>220</v>
      </c>
      <c r="AI580" s="1101"/>
      <c r="AJ580" s="1101"/>
      <c r="AK580" s="1101"/>
    </row>
    <row r="581" spans="1:112" ht="12.75">
      <c r="A581" s="35"/>
      <c r="B581" s="12" t="s">
        <v>20</v>
      </c>
      <c r="H581" s="1094" t="s">
        <v>1775</v>
      </c>
      <c r="I581" s="1096"/>
      <c r="J581" s="1096"/>
      <c r="K581" s="1096"/>
      <c r="L581" s="1096"/>
      <c r="M581" s="1096"/>
      <c r="N581" s="1096"/>
      <c r="O581" s="1096"/>
      <c r="P581" s="1096"/>
      <c r="Q581" s="1096"/>
      <c r="R581" s="1096"/>
      <c r="T581" s="35"/>
      <c r="U581" s="12" t="s">
        <v>20</v>
      </c>
      <c r="AA581" s="1094" t="s">
        <v>1778</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f>C551</f>
        <v>0</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c r="H588" s="1100"/>
      <c r="I588" s="1100"/>
      <c r="J588" s="1100"/>
      <c r="K588" s="1100"/>
      <c r="L588" s="1100"/>
      <c r="M588" s="12"/>
      <c r="N588" s="12"/>
      <c r="O588" s="140" t="s">
        <v>220</v>
      </c>
      <c r="P588" s="1101"/>
      <c r="Q588" s="1101"/>
      <c r="R588" s="1101"/>
      <c r="S588" s="12"/>
      <c r="T588" s="35"/>
      <c r="U588" s="12" t="s">
        <v>338</v>
      </c>
      <c r="V588" s="12"/>
      <c r="W588" s="12"/>
      <c r="X588" s="12"/>
      <c r="Y588" s="12"/>
      <c r="Z588" s="1100"/>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521</v>
      </c>
      <c r="AS588" s="194"/>
      <c r="AT588" s="1132"/>
      <c r="AU588" s="1134"/>
      <c r="AV588" s="193" t="s">
        <v>522</v>
      </c>
      <c r="AW588" s="194"/>
      <c r="AX588" s="1132"/>
      <c r="AY588" s="1134"/>
      <c r="AZ588" s="58"/>
      <c r="BA588" s="1216" t="s">
        <v>684</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507</v>
      </c>
      <c r="BV588" s="1202"/>
      <c r="BW588" s="1202"/>
      <c r="BX588" s="1202"/>
      <c r="BY588" s="1202"/>
      <c r="BZ588" s="1202" t="s">
        <v>33</v>
      </c>
      <c r="CA588" s="1202"/>
      <c r="CB588" s="1202"/>
      <c r="CC588" s="1202"/>
      <c r="CD588" s="1202"/>
      <c r="CE588" s="1202" t="s">
        <v>684</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507</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21">
        <f t="shared" ref="AR589:AR613" si="0">IF(AND(AD709&lt;=0.5,AD709&gt;=0.36),1,0)</f>
        <v>0</v>
      </c>
      <c r="AS589" s="1522"/>
      <c r="AT589" s="1132">
        <f t="shared" ref="AT589:AT613" si="1">IF(AR589=1,G709,0)</f>
        <v>0</v>
      </c>
      <c r="AU589" s="1134"/>
      <c r="AV589" s="1521">
        <f t="shared" ref="AV589:AV613" si="2">IF(AND(AD709&lt;=0.35,AD709&gt;0),1,0)</f>
        <v>1</v>
      </c>
      <c r="AW589" s="1522"/>
      <c r="AX589" s="1132">
        <f t="shared" ref="AX589:AX613" si="3">IF(AV589=1,G709,0)</f>
        <v>32</v>
      </c>
      <c r="AY589" s="1134"/>
      <c r="AZ589" s="58"/>
      <c r="BA589" s="1132">
        <f t="shared" ref="BA589:BA613" si="4">IF(B709="SRO/Studio",G709,0)</f>
        <v>32</v>
      </c>
      <c r="BB589" s="1133"/>
      <c r="BC589" s="1133"/>
      <c r="BD589" s="1133"/>
      <c r="BE589" s="1134"/>
      <c r="BF589" s="1199">
        <f t="shared" ref="BF589:BF613" si="5">IF(B709="1 Bedroom",G709,0)</f>
        <v>0</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32</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7" t="s">
        <v>592</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21">
        <f t="shared" si="0"/>
        <v>1</v>
      </c>
      <c r="AS590" s="1522"/>
      <c r="AT590" s="1132">
        <f t="shared" si="1"/>
        <v>7</v>
      </c>
      <c r="AU590" s="1134"/>
      <c r="AV590" s="1521">
        <f t="shared" si="2"/>
        <v>0</v>
      </c>
      <c r="AW590" s="1522"/>
      <c r="AX590" s="1132">
        <f t="shared" si="3"/>
        <v>0</v>
      </c>
      <c r="AY590" s="1134"/>
      <c r="AZ590" s="58"/>
      <c r="BA590" s="1132">
        <f t="shared" si="4"/>
        <v>7</v>
      </c>
      <c r="BB590" s="1133"/>
      <c r="BC590" s="1133"/>
      <c r="BD590" s="1133"/>
      <c r="BE590" s="1134"/>
      <c r="BF590" s="1199">
        <f t="shared" si="5"/>
        <v>0</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21">
        <f t="shared" si="0"/>
        <v>0</v>
      </c>
      <c r="AS591" s="1522"/>
      <c r="AT591" s="1132">
        <f t="shared" si="1"/>
        <v>0</v>
      </c>
      <c r="AU591" s="1134"/>
      <c r="AV591" s="1521">
        <f t="shared" si="2"/>
        <v>0</v>
      </c>
      <c r="AW591" s="1522"/>
      <c r="AX591" s="1132">
        <f t="shared" si="3"/>
        <v>0</v>
      </c>
      <c r="AY591" s="1134"/>
      <c r="AZ591" s="58"/>
      <c r="BA591" s="1132">
        <f t="shared" si="4"/>
        <v>0</v>
      </c>
      <c r="BB591" s="1133"/>
      <c r="BC591" s="1133"/>
      <c r="BD591" s="1133"/>
      <c r="BE591" s="1134"/>
      <c r="BF591" s="1199">
        <f t="shared" si="5"/>
        <v>0</v>
      </c>
      <c r="BG591" s="1199"/>
      <c r="BH591" s="1199"/>
      <c r="BI591" s="1199"/>
      <c r="BJ591" s="1199"/>
      <c r="BK591" s="1199">
        <f t="shared" si="6"/>
        <v>0</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21">
        <f t="shared" si="0"/>
        <v>0</v>
      </c>
      <c r="AS592" s="1522"/>
      <c r="AT592" s="1132">
        <f t="shared" si="1"/>
        <v>0</v>
      </c>
      <c r="AU592" s="1134"/>
      <c r="AV592" s="1521">
        <f t="shared" si="2"/>
        <v>0</v>
      </c>
      <c r="AW592" s="1522"/>
      <c r="AX592" s="1132">
        <f t="shared" si="3"/>
        <v>0</v>
      </c>
      <c r="AY592" s="1134"/>
      <c r="AZ592" s="58"/>
      <c r="BA592" s="1132">
        <f t="shared" si="4"/>
        <v>39</v>
      </c>
      <c r="BB592" s="1133"/>
      <c r="BC592" s="1133"/>
      <c r="BD592" s="1133"/>
      <c r="BE592" s="1134"/>
      <c r="BF592" s="1199">
        <f t="shared" si="5"/>
        <v>0</v>
      </c>
      <c r="BG592" s="1199"/>
      <c r="BH592" s="1199"/>
      <c r="BI592" s="1199"/>
      <c r="BJ592" s="1199"/>
      <c r="BK592" s="1199">
        <f t="shared" si="6"/>
        <v>0</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21">
        <f t="shared" si="0"/>
        <v>0</v>
      </c>
      <c r="AS593" s="1522"/>
      <c r="AT593" s="1132">
        <f t="shared" si="1"/>
        <v>0</v>
      </c>
      <c r="AU593" s="1134"/>
      <c r="AV593" s="1521">
        <f t="shared" si="2"/>
        <v>0</v>
      </c>
      <c r="AW593" s="1522"/>
      <c r="AX593" s="1132">
        <f t="shared" si="3"/>
        <v>0</v>
      </c>
      <c r="AY593" s="1134"/>
      <c r="AZ593" s="58"/>
      <c r="BA593" s="1132">
        <f t="shared" si="4"/>
        <v>0</v>
      </c>
      <c r="BB593" s="1133"/>
      <c r="BC593" s="1133"/>
      <c r="BD593" s="1133"/>
      <c r="BE593" s="1134"/>
      <c r="BF593" s="1199">
        <f t="shared" si="5"/>
        <v>0</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8"/>
      <c r="AA594" s="1118"/>
      <c r="AB594" s="1118"/>
      <c r="AC594" s="1118"/>
      <c r="AD594" s="1118"/>
      <c r="AE594" s="1118"/>
      <c r="AF594" s="1118"/>
      <c r="AG594" s="1118"/>
      <c r="AH594" s="1118"/>
      <c r="AI594" s="1118"/>
      <c r="AJ594" s="1118"/>
      <c r="AK594" s="1118"/>
      <c r="AM594" s="58"/>
      <c r="AN594" s="58"/>
      <c r="AO594" s="58"/>
      <c r="AP594" s="58"/>
      <c r="AQ594" s="58"/>
      <c r="AR594" s="1521">
        <f t="shared" si="0"/>
        <v>0</v>
      </c>
      <c r="AS594" s="1522"/>
      <c r="AT594" s="1132">
        <f t="shared" si="1"/>
        <v>0</v>
      </c>
      <c r="AU594" s="1134"/>
      <c r="AV594" s="1521">
        <f t="shared" si="2"/>
        <v>0</v>
      </c>
      <c r="AW594" s="1522"/>
      <c r="AX594" s="1132">
        <f t="shared" si="3"/>
        <v>0</v>
      </c>
      <c r="AY594" s="1134"/>
      <c r="AZ594" s="58"/>
      <c r="BA594" s="1132">
        <f t="shared" si="4"/>
        <v>0</v>
      </c>
      <c r="BB594" s="1133"/>
      <c r="BC594" s="1133"/>
      <c r="BD594" s="1133"/>
      <c r="BE594" s="1134"/>
      <c r="BF594" s="1199">
        <f t="shared" si="5"/>
        <v>0</v>
      </c>
      <c r="BG594" s="1199"/>
      <c r="BH594" s="1199"/>
      <c r="BI594" s="1199"/>
      <c r="BJ594" s="1199"/>
      <c r="BK594" s="1199">
        <f t="shared" si="6"/>
        <v>0</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21">
        <f t="shared" si="0"/>
        <v>0</v>
      </c>
      <c r="AS595" s="1522"/>
      <c r="AT595" s="1132">
        <f t="shared" si="1"/>
        <v>0</v>
      </c>
      <c r="AU595" s="1134"/>
      <c r="AV595" s="1521">
        <f t="shared" si="2"/>
        <v>0</v>
      </c>
      <c r="AW595" s="1522"/>
      <c r="AX595" s="1132">
        <f t="shared" si="3"/>
        <v>0</v>
      </c>
      <c r="AY595" s="1134"/>
      <c r="AZ595" s="58"/>
      <c r="BA595" s="1132">
        <f t="shared" si="4"/>
        <v>0</v>
      </c>
      <c r="BB595" s="1133"/>
      <c r="BC595" s="1133"/>
      <c r="BD595" s="1133"/>
      <c r="BE595" s="1134"/>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0"/>
      <c r="H596" s="1100"/>
      <c r="I596" s="1100"/>
      <c r="J596" s="1100"/>
      <c r="K596" s="1100"/>
      <c r="L596" s="1100"/>
      <c r="O596" s="140" t="s">
        <v>220</v>
      </c>
      <c r="P596" s="1101"/>
      <c r="Q596" s="1101"/>
      <c r="R596" s="1101"/>
      <c r="T596" s="35"/>
      <c r="U596" s="12" t="s">
        <v>338</v>
      </c>
      <c r="Z596" s="1100"/>
      <c r="AA596" s="1100"/>
      <c r="AB596" s="1100"/>
      <c r="AC596" s="1100"/>
      <c r="AD596" s="1100"/>
      <c r="AE596" s="1100"/>
      <c r="AH596" s="140" t="s">
        <v>220</v>
      </c>
      <c r="AI596" s="1101"/>
      <c r="AJ596" s="1101"/>
      <c r="AK596" s="1101"/>
      <c r="AM596" s="58"/>
      <c r="AN596" s="58"/>
      <c r="AO596" s="58"/>
      <c r="AP596" s="58"/>
      <c r="AQ596" s="58"/>
      <c r="AR596" s="1521">
        <f t="shared" si="0"/>
        <v>0</v>
      </c>
      <c r="AS596" s="1522"/>
      <c r="AT596" s="1132">
        <f t="shared" si="1"/>
        <v>0</v>
      </c>
      <c r="AU596" s="1134"/>
      <c r="AV596" s="1521">
        <f t="shared" si="2"/>
        <v>0</v>
      </c>
      <c r="AW596" s="1522"/>
      <c r="AX596" s="1132">
        <f t="shared" si="3"/>
        <v>0</v>
      </c>
      <c r="AY596" s="1134"/>
      <c r="AZ596" s="58"/>
      <c r="BA596" s="1132">
        <f t="shared" si="4"/>
        <v>0</v>
      </c>
      <c r="BB596" s="1133"/>
      <c r="BC596" s="1133"/>
      <c r="BD596" s="1133"/>
      <c r="BE596" s="1134"/>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21">
        <f t="shared" si="0"/>
        <v>0</v>
      </c>
      <c r="AS597" s="1522"/>
      <c r="AT597" s="1132">
        <f t="shared" si="1"/>
        <v>0</v>
      </c>
      <c r="AU597" s="1134"/>
      <c r="AV597" s="1521">
        <f t="shared" si="2"/>
        <v>0</v>
      </c>
      <c r="AW597" s="1522"/>
      <c r="AX597" s="1132">
        <f t="shared" si="3"/>
        <v>0</v>
      </c>
      <c r="AY597" s="1134"/>
      <c r="AZ597" s="58"/>
      <c r="BA597" s="1132">
        <f t="shared" si="4"/>
        <v>0</v>
      </c>
      <c r="BB597" s="1133"/>
      <c r="BC597" s="1133"/>
      <c r="BD597" s="1133"/>
      <c r="BE597" s="1134"/>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21">
        <f t="shared" si="0"/>
        <v>0</v>
      </c>
      <c r="AS598" s="1522"/>
      <c r="AT598" s="1132">
        <f t="shared" si="1"/>
        <v>0</v>
      </c>
      <c r="AU598" s="1134"/>
      <c r="AV598" s="1521">
        <f t="shared" si="2"/>
        <v>0</v>
      </c>
      <c r="AW598" s="1522"/>
      <c r="AX598" s="1132">
        <f t="shared" si="3"/>
        <v>0</v>
      </c>
      <c r="AY598" s="1134"/>
      <c r="AZ598" s="58"/>
      <c r="BA598" s="1132">
        <f t="shared" si="4"/>
        <v>0</v>
      </c>
      <c r="BB598" s="1133"/>
      <c r="BC598" s="1133"/>
      <c r="BD598" s="1133"/>
      <c r="BE598" s="1134"/>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0</v>
      </c>
      <c r="AS599" s="1522"/>
      <c r="AT599" s="1132">
        <f t="shared" si="1"/>
        <v>0</v>
      </c>
      <c r="AU599" s="1134"/>
      <c r="AV599" s="1521">
        <f t="shared" si="2"/>
        <v>0</v>
      </c>
      <c r="AW599" s="1522"/>
      <c r="AX599" s="1132">
        <f t="shared" si="3"/>
        <v>0</v>
      </c>
      <c r="AY599" s="1134"/>
      <c r="AZ599" s="58"/>
      <c r="BA599" s="1132">
        <f t="shared" si="4"/>
        <v>0</v>
      </c>
      <c r="BB599" s="1133"/>
      <c r="BC599" s="1133"/>
      <c r="BD599" s="1133"/>
      <c r="BE599" s="1134"/>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21">
        <f t="shared" si="0"/>
        <v>0</v>
      </c>
      <c r="AS600" s="1522"/>
      <c r="AT600" s="1132">
        <f t="shared" si="1"/>
        <v>0</v>
      </c>
      <c r="AU600" s="1134"/>
      <c r="AV600" s="1521">
        <f t="shared" si="2"/>
        <v>0</v>
      </c>
      <c r="AW600" s="1522"/>
      <c r="AX600" s="1132">
        <f t="shared" si="3"/>
        <v>0</v>
      </c>
      <c r="AY600" s="1134"/>
      <c r="AZ600" s="58"/>
      <c r="BA600" s="1132">
        <f t="shared" si="4"/>
        <v>0</v>
      </c>
      <c r="BB600" s="1133"/>
      <c r="BC600" s="1133"/>
      <c r="BD600" s="1133"/>
      <c r="BE600" s="1134"/>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21">
        <f t="shared" si="0"/>
        <v>0</v>
      </c>
      <c r="AS601" s="1522"/>
      <c r="AT601" s="1132">
        <f t="shared" si="1"/>
        <v>0</v>
      </c>
      <c r="AU601" s="1134"/>
      <c r="AV601" s="1521">
        <f t="shared" si="2"/>
        <v>0</v>
      </c>
      <c r="AW601" s="1522"/>
      <c r="AX601" s="1132">
        <f t="shared" si="3"/>
        <v>0</v>
      </c>
      <c r="AY601" s="1134"/>
      <c r="AZ601" s="58"/>
      <c r="BA601" s="1132">
        <f t="shared" si="4"/>
        <v>0</v>
      </c>
      <c r="BB601" s="1133"/>
      <c r="BC601" s="1133"/>
      <c r="BD601" s="1133"/>
      <c r="BE601" s="1134"/>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631</v>
      </c>
      <c r="G602" s="1096"/>
      <c r="H602" s="1096"/>
      <c r="I602" s="1096"/>
      <c r="J602" s="1096"/>
      <c r="K602" s="1096"/>
      <c r="L602" s="1096"/>
      <c r="M602" s="1096"/>
      <c r="N602" s="1096"/>
      <c r="O602" s="1096"/>
      <c r="P602" s="1096"/>
      <c r="Q602" s="1096"/>
      <c r="R602" s="1096"/>
      <c r="U602" s="12" t="s">
        <v>631</v>
      </c>
      <c r="Z602" s="1118"/>
      <c r="AA602" s="1118"/>
      <c r="AB602" s="1118"/>
      <c r="AC602" s="1118"/>
      <c r="AD602" s="1118"/>
      <c r="AE602" s="1118"/>
      <c r="AF602" s="1118"/>
      <c r="AG602" s="1118"/>
      <c r="AH602" s="1118"/>
      <c r="AI602" s="1118"/>
      <c r="AJ602" s="1118"/>
      <c r="AK602" s="1118"/>
      <c r="AM602" s="58"/>
      <c r="AN602" s="58"/>
      <c r="AO602" s="58"/>
      <c r="AP602" s="58"/>
      <c r="AQ602" s="58"/>
      <c r="AR602" s="1521">
        <f t="shared" si="0"/>
        <v>0</v>
      </c>
      <c r="AS602" s="1522"/>
      <c r="AT602" s="1132">
        <f t="shared" si="1"/>
        <v>0</v>
      </c>
      <c r="AU602" s="1134"/>
      <c r="AV602" s="1521">
        <f t="shared" si="2"/>
        <v>0</v>
      </c>
      <c r="AW602" s="1522"/>
      <c r="AX602" s="1132">
        <f t="shared" si="3"/>
        <v>0</v>
      </c>
      <c r="AY602" s="1134"/>
      <c r="AZ602" s="58"/>
      <c r="BA602" s="1132">
        <f t="shared" si="4"/>
        <v>0</v>
      </c>
      <c r="BB602" s="1133"/>
      <c r="BC602" s="1133"/>
      <c r="BD602" s="1133"/>
      <c r="BE602" s="1134"/>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21">
        <f t="shared" si="0"/>
        <v>0</v>
      </c>
      <c r="AS603" s="1522"/>
      <c r="AT603" s="1132">
        <f t="shared" si="1"/>
        <v>0</v>
      </c>
      <c r="AU603" s="1134"/>
      <c r="AV603" s="1521">
        <f t="shared" si="2"/>
        <v>0</v>
      </c>
      <c r="AW603" s="1522"/>
      <c r="AX603" s="1132">
        <f t="shared" si="3"/>
        <v>0</v>
      </c>
      <c r="AY603" s="1134"/>
      <c r="AZ603" s="58"/>
      <c r="BA603" s="1132">
        <f t="shared" si="4"/>
        <v>0</v>
      </c>
      <c r="BB603" s="1133"/>
      <c r="BC603" s="1133"/>
      <c r="BD603" s="1133"/>
      <c r="BE603" s="1134"/>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0"/>
      <c r="H604" s="1100"/>
      <c r="I604" s="1100"/>
      <c r="J604" s="1100"/>
      <c r="K604" s="1100"/>
      <c r="L604" s="1100"/>
      <c r="O604" s="140" t="s">
        <v>220</v>
      </c>
      <c r="P604" s="1101"/>
      <c r="Q604" s="1101"/>
      <c r="R604" s="1101"/>
      <c r="U604" s="12" t="s">
        <v>338</v>
      </c>
      <c r="Z604" s="1100"/>
      <c r="AA604" s="1100"/>
      <c r="AB604" s="1100"/>
      <c r="AC604" s="1100"/>
      <c r="AD604" s="1100"/>
      <c r="AE604" s="1100"/>
      <c r="AH604" s="140" t="s">
        <v>220</v>
      </c>
      <c r="AI604" s="1101"/>
      <c r="AJ604" s="1101"/>
      <c r="AK604" s="1101"/>
      <c r="AM604" s="58"/>
      <c r="AN604" s="58"/>
      <c r="AO604" s="58"/>
      <c r="AP604" s="58"/>
      <c r="AQ604" s="58"/>
      <c r="AR604" s="1521">
        <f t="shared" si="0"/>
        <v>0</v>
      </c>
      <c r="AS604" s="1522"/>
      <c r="AT604" s="1132">
        <f t="shared" si="1"/>
        <v>0</v>
      </c>
      <c r="AU604" s="1134"/>
      <c r="AV604" s="1521">
        <f t="shared" si="2"/>
        <v>0</v>
      </c>
      <c r="AW604" s="1522"/>
      <c r="AX604" s="1132">
        <f t="shared" si="3"/>
        <v>0</v>
      </c>
      <c r="AY604" s="1134"/>
      <c r="AZ604" s="58"/>
      <c r="BA604" s="1132">
        <f t="shared" si="4"/>
        <v>0</v>
      </c>
      <c r="BB604" s="1133"/>
      <c r="BC604" s="1133"/>
      <c r="BD604" s="1133"/>
      <c r="BE604" s="1134"/>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21">
        <f t="shared" si="0"/>
        <v>0</v>
      </c>
      <c r="AS605" s="1522"/>
      <c r="AT605" s="1132">
        <f t="shared" si="1"/>
        <v>0</v>
      </c>
      <c r="AU605" s="1134"/>
      <c r="AV605" s="1521">
        <f t="shared" si="2"/>
        <v>0</v>
      </c>
      <c r="AW605" s="1522"/>
      <c r="AX605" s="1132">
        <f t="shared" si="3"/>
        <v>0</v>
      </c>
      <c r="AY605" s="1134"/>
      <c r="AZ605" s="58"/>
      <c r="BA605" s="1132">
        <f t="shared" si="4"/>
        <v>0</v>
      </c>
      <c r="BB605" s="1133"/>
      <c r="BC605" s="1133"/>
      <c r="BD605" s="1133"/>
      <c r="BE605" s="1134"/>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7" t="s">
        <v>723</v>
      </c>
      <c r="O606" s="1097"/>
      <c r="U606" s="12" t="s">
        <v>22</v>
      </c>
      <c r="AG606" s="1097" t="s">
        <v>723</v>
      </c>
      <c r="AH606" s="1097"/>
      <c r="AM606" s="58"/>
      <c r="AN606" s="58"/>
      <c r="AO606" s="58"/>
      <c r="AP606" s="58"/>
      <c r="AQ606" s="58"/>
      <c r="AR606" s="1521">
        <f t="shared" si="0"/>
        <v>0</v>
      </c>
      <c r="AS606" s="1522"/>
      <c r="AT606" s="1132">
        <f t="shared" si="1"/>
        <v>0</v>
      </c>
      <c r="AU606" s="1134"/>
      <c r="AV606" s="1521">
        <f t="shared" si="2"/>
        <v>0</v>
      </c>
      <c r="AW606" s="1522"/>
      <c r="AX606" s="1132">
        <f t="shared" si="3"/>
        <v>0</v>
      </c>
      <c r="AY606" s="1134"/>
      <c r="AZ606" s="58"/>
      <c r="BA606" s="1132">
        <f t="shared" si="4"/>
        <v>0</v>
      </c>
      <c r="BB606" s="1133"/>
      <c r="BC606" s="1133"/>
      <c r="BD606" s="1133"/>
      <c r="BE606" s="1134"/>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21">
        <f t="shared" si="0"/>
        <v>0</v>
      </c>
      <c r="AS607" s="1522"/>
      <c r="AT607" s="1132">
        <f t="shared" si="1"/>
        <v>0</v>
      </c>
      <c r="AU607" s="1134"/>
      <c r="AV607" s="1521">
        <f t="shared" si="2"/>
        <v>0</v>
      </c>
      <c r="AW607" s="1522"/>
      <c r="AX607" s="1132">
        <f t="shared" si="3"/>
        <v>0</v>
      </c>
      <c r="AY607" s="1134"/>
      <c r="AZ607" s="58"/>
      <c r="BA607" s="1132">
        <f t="shared" si="4"/>
        <v>0</v>
      </c>
      <c r="BB607" s="1133"/>
      <c r="BC607" s="1133"/>
      <c r="BD607" s="1133"/>
      <c r="BE607" s="1134"/>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21">
        <f t="shared" si="0"/>
        <v>0</v>
      </c>
      <c r="AS608" s="1522"/>
      <c r="AT608" s="1132">
        <f t="shared" si="1"/>
        <v>0</v>
      </c>
      <c r="AU608" s="1134"/>
      <c r="AV608" s="1521">
        <f t="shared" si="2"/>
        <v>0</v>
      </c>
      <c r="AW608" s="1522"/>
      <c r="AX608" s="1132">
        <f t="shared" si="3"/>
        <v>0</v>
      </c>
      <c r="AY608" s="1134"/>
      <c r="AZ608" s="58"/>
      <c r="BA608" s="1132">
        <f t="shared" si="4"/>
        <v>0</v>
      </c>
      <c r="BB608" s="1133"/>
      <c r="BC608" s="1133"/>
      <c r="BD608" s="1133"/>
      <c r="BE608" s="1134"/>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1">
        <f t="shared" si="0"/>
        <v>0</v>
      </c>
      <c r="AS609" s="1522"/>
      <c r="AT609" s="1132">
        <f t="shared" si="1"/>
        <v>0</v>
      </c>
      <c r="AU609" s="1134"/>
      <c r="AV609" s="1521">
        <f t="shared" si="2"/>
        <v>0</v>
      </c>
      <c r="AW609" s="1522"/>
      <c r="AX609" s="1132">
        <f t="shared" si="3"/>
        <v>0</v>
      </c>
      <c r="AY609" s="1134"/>
      <c r="AZ609" s="58"/>
      <c r="BA609" s="1132">
        <f t="shared" si="4"/>
        <v>0</v>
      </c>
      <c r="BB609" s="1133"/>
      <c r="BC609" s="1133"/>
      <c r="BD609" s="1133"/>
      <c r="BE609" s="1134"/>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21">
        <f t="shared" si="0"/>
        <v>0</v>
      </c>
      <c r="AS610" s="1522"/>
      <c r="AT610" s="1132">
        <f t="shared" si="1"/>
        <v>0</v>
      </c>
      <c r="AU610" s="1134"/>
      <c r="AV610" s="1521">
        <f t="shared" si="2"/>
        <v>0</v>
      </c>
      <c r="AW610" s="1522"/>
      <c r="AX610" s="1132">
        <f t="shared" si="3"/>
        <v>0</v>
      </c>
      <c r="AY610" s="1134"/>
      <c r="AZ610" s="58"/>
      <c r="BA610" s="1132">
        <f t="shared" si="4"/>
        <v>0</v>
      </c>
      <c r="BB610" s="1133"/>
      <c r="BC610" s="1133"/>
      <c r="BD610" s="1133"/>
      <c r="BE610" s="1134"/>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21">
        <f t="shared" si="0"/>
        <v>0</v>
      </c>
      <c r="AS611" s="1522"/>
      <c r="AT611" s="1132">
        <f t="shared" si="1"/>
        <v>0</v>
      </c>
      <c r="AU611" s="1134"/>
      <c r="AV611" s="1521">
        <f t="shared" si="2"/>
        <v>0</v>
      </c>
      <c r="AW611" s="1522"/>
      <c r="AX611" s="1132">
        <f t="shared" si="3"/>
        <v>0</v>
      </c>
      <c r="AY611" s="1134"/>
      <c r="AZ611" s="58"/>
      <c r="BA611" s="1132">
        <f t="shared" si="4"/>
        <v>0</v>
      </c>
      <c r="BB611" s="1133"/>
      <c r="BC611" s="1133"/>
      <c r="BD611" s="1133"/>
      <c r="BE611" s="1134"/>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21">
        <f t="shared" si="0"/>
        <v>0</v>
      </c>
      <c r="AS612" s="1522"/>
      <c r="AT612" s="1132">
        <f t="shared" si="1"/>
        <v>0</v>
      </c>
      <c r="AU612" s="1134"/>
      <c r="AV612" s="1521">
        <f t="shared" si="2"/>
        <v>0</v>
      </c>
      <c r="AW612" s="1522"/>
      <c r="AX612" s="1132">
        <f t="shared" si="3"/>
        <v>0</v>
      </c>
      <c r="AY612" s="1134"/>
      <c r="AZ612" s="58"/>
      <c r="BA612" s="1132">
        <f t="shared" si="4"/>
        <v>0</v>
      </c>
      <c r="BB612" s="1133"/>
      <c r="BC612" s="1133"/>
      <c r="BD612" s="1133"/>
      <c r="BE612" s="1134"/>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2">
        <f t="shared" si="1"/>
        <v>0</v>
      </c>
      <c r="AU613" s="1134"/>
      <c r="AV613" s="1521">
        <f t="shared" si="2"/>
        <v>0</v>
      </c>
      <c r="AW613" s="1522"/>
      <c r="AX613" s="1132">
        <f t="shared" si="3"/>
        <v>0</v>
      </c>
      <c r="AY613" s="1134"/>
      <c r="AZ613" s="58"/>
      <c r="BA613" s="1132">
        <f t="shared" si="4"/>
        <v>0</v>
      </c>
      <c r="BB613" s="1133"/>
      <c r="BC613" s="1133"/>
      <c r="BD613" s="1133"/>
      <c r="BE613" s="1134"/>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7</v>
      </c>
      <c r="AU614" s="1522"/>
      <c r="AV614" s="58"/>
      <c r="AW614" s="58"/>
      <c r="AX614" s="1521">
        <f>SUM(AX589:AY613)</f>
        <v>32</v>
      </c>
      <c r="AY614" s="1522"/>
      <c r="AZ614" s="58"/>
      <c r="BA614" s="1521">
        <f>SUM(BA589:BE613)</f>
        <v>78</v>
      </c>
      <c r="BB614" s="1529"/>
      <c r="BC614" s="1529"/>
      <c r="BD614" s="1529"/>
      <c r="BE614" s="1522"/>
      <c r="BF614" s="1212">
        <f>SUM(BF589:BJ613)</f>
        <v>0</v>
      </c>
      <c r="BG614" s="1212"/>
      <c r="BH614" s="1212"/>
      <c r="BI614" s="1212"/>
      <c r="BJ614" s="1212"/>
      <c r="BK614" s="1212">
        <f>SUM(BK589:BO613)</f>
        <v>0</v>
      </c>
      <c r="BL614" s="1212"/>
      <c r="BM614" s="1212"/>
      <c r="BN614" s="1212"/>
      <c r="BO614" s="1212"/>
      <c r="BP614" s="1212">
        <f>SUM(BP589:BT613)</f>
        <v>0</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32</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498</v>
      </c>
      <c r="C615" s="1432"/>
      <c r="D615" s="1432"/>
      <c r="E615" s="1432"/>
      <c r="F615" s="1432"/>
      <c r="G615" s="1432"/>
      <c r="H615" s="1432"/>
      <c r="I615" s="1432"/>
      <c r="J615" s="1432"/>
      <c r="K615" s="1432"/>
      <c r="L615" s="1432"/>
      <c r="M615" s="1432"/>
      <c r="N615" s="1432"/>
      <c r="O615" s="1433"/>
      <c r="P615" s="1440" t="s">
        <v>346</v>
      </c>
      <c r="Q615" s="1441"/>
      <c r="R615" s="1442"/>
      <c r="S615" s="1535" t="s">
        <v>499</v>
      </c>
      <c r="T615" s="1536"/>
      <c r="U615" s="1537"/>
      <c r="V615" s="1430" t="s">
        <v>18</v>
      </c>
      <c r="W615" s="1430"/>
      <c r="X615" s="1430"/>
      <c r="Y615" s="1430"/>
      <c r="Z615" s="1430"/>
      <c r="AA615" s="1430"/>
      <c r="AB615" s="1430" t="s">
        <v>17</v>
      </c>
      <c r="AC615" s="1430"/>
      <c r="AD615" s="1430"/>
      <c r="AE615" s="1430"/>
      <c r="AF615" s="1430"/>
      <c r="AG615" s="1430" t="s">
        <v>500</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8"/>
      <c r="T616" s="1539"/>
      <c r="U616" s="1540"/>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1"/>
      <c r="T617" s="1542"/>
      <c r="U617" s="1543"/>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2">
        <f>IF(J754="SRO/Studio",O754,0)</f>
        <v>1</v>
      </c>
      <c r="BB617" s="1133"/>
      <c r="BC617" s="1133"/>
      <c r="BD617" s="1133"/>
      <c r="BE617" s="1134"/>
      <c r="BF617" s="1199">
        <f>IF(J754="1 Bedroom",O754,0)</f>
        <v>0</v>
      </c>
      <c r="BG617" s="1199"/>
      <c r="BH617" s="1199"/>
      <c r="BI617" s="1199"/>
      <c r="BJ617" s="1199"/>
      <c r="BK617" s="1199">
        <f>IF(J754="2 Bedrooms",O754,0)</f>
        <v>0</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101" t="str">
        <f>C545</f>
        <v>Walker &amp; Dunlop (Tax-Exempt Bonds)</v>
      </c>
      <c r="D618" s="1428"/>
      <c r="E618" s="1428"/>
      <c r="F618" s="1428"/>
      <c r="G618" s="1428"/>
      <c r="H618" s="1428"/>
      <c r="I618" s="1428"/>
      <c r="J618" s="1428"/>
      <c r="K618" s="1428"/>
      <c r="L618" s="1428"/>
      <c r="M618" s="1428"/>
      <c r="N618" s="1428"/>
      <c r="O618" s="1429"/>
      <c r="P618" s="1223">
        <v>204</v>
      </c>
      <c r="Q618" s="1224"/>
      <c r="R618" s="1225"/>
      <c r="S618" s="1220">
        <v>3.15E-2</v>
      </c>
      <c r="T618" s="1221"/>
      <c r="U618" s="1222"/>
      <c r="V618" s="1223"/>
      <c r="W618" s="1224"/>
      <c r="X618" s="1224"/>
      <c r="Y618" s="1224"/>
      <c r="Z618" s="1224"/>
      <c r="AA618" s="1225"/>
      <c r="AB618" s="1227">
        <v>874400</v>
      </c>
      <c r="AC618" s="1227"/>
      <c r="AD618" s="1227"/>
      <c r="AE618" s="1227"/>
      <c r="AF618" s="1227"/>
      <c r="AG618" s="1227">
        <f>19875000</f>
        <v>19875000</v>
      </c>
      <c r="AH618" s="1227"/>
      <c r="AI618" s="1227"/>
      <c r="AJ618" s="1227"/>
      <c r="AK618" s="1227"/>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121" t="s">
        <v>1792</v>
      </c>
      <c r="D619" s="1101"/>
      <c r="E619" s="1101"/>
      <c r="F619" s="1101"/>
      <c r="G619" s="1101"/>
      <c r="H619" s="1101"/>
      <c r="I619" s="1101"/>
      <c r="J619" s="1101"/>
      <c r="K619" s="1101"/>
      <c r="L619" s="1101"/>
      <c r="M619" s="1101"/>
      <c r="N619" s="1101"/>
      <c r="O619" s="1226"/>
      <c r="P619" s="1223">
        <v>204</v>
      </c>
      <c r="Q619" s="1224"/>
      <c r="R619" s="1225"/>
      <c r="S619" s="1220">
        <v>3.15E-2</v>
      </c>
      <c r="T619" s="1221"/>
      <c r="U619" s="1222"/>
      <c r="V619" s="1223"/>
      <c r="W619" s="1224"/>
      <c r="X619" s="1224"/>
      <c r="Y619" s="1224"/>
      <c r="Z619" s="1224"/>
      <c r="AA619" s="1225"/>
      <c r="AB619" s="1227">
        <v>421304</v>
      </c>
      <c r="AC619" s="1227"/>
      <c r="AD619" s="1227"/>
      <c r="AE619" s="1227"/>
      <c r="AF619" s="1227"/>
      <c r="AG619" s="1227">
        <v>9650450</v>
      </c>
      <c r="AH619" s="1227"/>
      <c r="AI619" s="1227"/>
      <c r="AJ619" s="1227"/>
      <c r="AK619" s="1227"/>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101" t="str">
        <f>C547</f>
        <v>ABS Mayer Bricker (RR Seller CarryBackLoan)</v>
      </c>
      <c r="D620" s="1101"/>
      <c r="E620" s="1101"/>
      <c r="F620" s="1101"/>
      <c r="G620" s="1101"/>
      <c r="H620" s="1101"/>
      <c r="I620" s="1101"/>
      <c r="J620" s="1101"/>
      <c r="K620" s="1101"/>
      <c r="L620" s="1101"/>
      <c r="M620" s="1101"/>
      <c r="N620" s="1101"/>
      <c r="O620" s="1226"/>
      <c r="P620" s="1223">
        <v>204</v>
      </c>
      <c r="Q620" s="1224"/>
      <c r="R620" s="1225"/>
      <c r="S620" s="1220">
        <v>4.4999999999999998E-2</v>
      </c>
      <c r="T620" s="1221"/>
      <c r="U620" s="1222"/>
      <c r="V620" s="1223" t="s">
        <v>504</v>
      </c>
      <c r="W620" s="1224"/>
      <c r="X620" s="1224"/>
      <c r="Y620" s="1224"/>
      <c r="Z620" s="1224"/>
      <c r="AA620" s="1225"/>
      <c r="AB620" s="1413" t="s">
        <v>642</v>
      </c>
      <c r="AC620" s="1227"/>
      <c r="AD620" s="1227"/>
      <c r="AE620" s="1227"/>
      <c r="AF620" s="1227"/>
      <c r="AG620" s="1227">
        <v>14644748</v>
      </c>
      <c r="AH620" s="1227"/>
      <c r="AI620" s="1227"/>
      <c r="AJ620" s="1227"/>
      <c r="AK620" s="1227"/>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632</v>
      </c>
      <c r="C621" s="1101" t="str">
        <f>C549</f>
        <v xml:space="preserve">Deferred Developer Fee </v>
      </c>
      <c r="D621" s="1101"/>
      <c r="E621" s="1101"/>
      <c r="F621" s="1101"/>
      <c r="G621" s="1101"/>
      <c r="H621" s="1101"/>
      <c r="I621" s="1101"/>
      <c r="J621" s="1101"/>
      <c r="K621" s="1101"/>
      <c r="L621" s="1101"/>
      <c r="M621" s="1101"/>
      <c r="N621" s="1101"/>
      <c r="O621" s="1226"/>
      <c r="P621" s="1520">
        <f>120</f>
        <v>120</v>
      </c>
      <c r="Q621" s="1224"/>
      <c r="R621" s="1225"/>
      <c r="S621" s="1516" t="s">
        <v>642</v>
      </c>
      <c r="T621" s="1221"/>
      <c r="U621" s="1222"/>
      <c r="V621" s="1223" t="s">
        <v>505</v>
      </c>
      <c r="W621" s="1224"/>
      <c r="X621" s="1224"/>
      <c r="Y621" s="1224"/>
      <c r="Z621" s="1224"/>
      <c r="AA621" s="1225"/>
      <c r="AB621" s="1413" t="s">
        <v>642</v>
      </c>
      <c r="AC621" s="1227"/>
      <c r="AD621" s="1227"/>
      <c r="AE621" s="1227"/>
      <c r="AF621" s="1227"/>
      <c r="AG621" s="1227">
        <f>'Sources and Uses Budget'!I98</f>
        <v>4201726.834999999</v>
      </c>
      <c r="AH621" s="1227"/>
      <c r="AI621" s="1227"/>
      <c r="AJ621" s="1227"/>
      <c r="AK621" s="1227"/>
      <c r="AL621" s="58"/>
      <c r="AM621" s="61"/>
      <c r="AN621" s="61"/>
      <c r="AO621" s="61"/>
      <c r="AP621" s="61"/>
      <c r="AQ621" s="61"/>
      <c r="AR621" s="61"/>
      <c r="AS621" s="61"/>
      <c r="AT621" s="61"/>
      <c r="AU621" s="61"/>
      <c r="AV621" s="61"/>
      <c r="AW621" s="61"/>
      <c r="AX621" s="61"/>
      <c r="AY621" s="61"/>
      <c r="AZ621" s="61"/>
      <c r="BA621" s="1135">
        <f>SUM(BA617:BE620)</f>
        <v>1</v>
      </c>
      <c r="BB621" s="1136"/>
      <c r="BC621" s="1136"/>
      <c r="BD621" s="1136"/>
      <c r="BE621" s="1137"/>
      <c r="BF621" s="1135">
        <f>SUM(BF617:BJ620)</f>
        <v>0</v>
      </c>
      <c r="BG621" s="1136"/>
      <c r="BH621" s="1136"/>
      <c r="BI621" s="1136"/>
      <c r="BJ621" s="1137"/>
      <c r="BK621" s="1135">
        <f>SUM(BK617:BO620)</f>
        <v>0</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842</v>
      </c>
      <c r="C622" s="1101"/>
      <c r="D622" s="1101"/>
      <c r="E622" s="1101"/>
      <c r="F622" s="1101"/>
      <c r="G622" s="1101"/>
      <c r="H622" s="1101"/>
      <c r="I622" s="1101"/>
      <c r="J622" s="1101"/>
      <c r="K622" s="1101"/>
      <c r="L622" s="1101"/>
      <c r="M622" s="1101"/>
      <c r="N622" s="1101"/>
      <c r="O622" s="1226"/>
      <c r="P622" s="1223"/>
      <c r="Q622" s="1224"/>
      <c r="R622" s="1225"/>
      <c r="S622" s="1516"/>
      <c r="T622" s="1221"/>
      <c r="U622" s="1222"/>
      <c r="V622" s="1223"/>
      <c r="W622" s="1224"/>
      <c r="X622" s="1224"/>
      <c r="Y622" s="1224"/>
      <c r="Z622" s="1224"/>
      <c r="AA622" s="1225"/>
      <c r="AB622" s="1413"/>
      <c r="AC622" s="1227"/>
      <c r="AD622" s="1227"/>
      <c r="AE622" s="1227"/>
      <c r="AF622" s="1227"/>
      <c r="AG622" s="1227"/>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1"/>
      <c r="D623" s="1101"/>
      <c r="E623" s="1101"/>
      <c r="F623" s="1101"/>
      <c r="G623" s="1101"/>
      <c r="H623" s="1101"/>
      <c r="I623" s="1101"/>
      <c r="J623" s="1101"/>
      <c r="K623" s="1101"/>
      <c r="L623" s="1101"/>
      <c r="M623" s="1101"/>
      <c r="N623" s="1101"/>
      <c r="O623" s="1226"/>
      <c r="P623" s="1223"/>
      <c r="Q623" s="1224"/>
      <c r="R623" s="1225"/>
      <c r="S623" s="1220"/>
      <c r="T623" s="1221"/>
      <c r="U623" s="1222"/>
      <c r="V623" s="1223"/>
      <c r="W623" s="1224"/>
      <c r="X623" s="1224"/>
      <c r="Y623" s="1224"/>
      <c r="Z623" s="1224"/>
      <c r="AA623" s="1225"/>
      <c r="AB623" s="1227"/>
      <c r="AC623" s="1227"/>
      <c r="AD623" s="1227"/>
      <c r="AE623" s="1227"/>
      <c r="AF623" s="1227"/>
      <c r="AG623" s="1227"/>
      <c r="AH623" s="1227"/>
      <c r="AI623" s="1227"/>
      <c r="AJ623" s="1227"/>
      <c r="AK623" s="1227"/>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501</v>
      </c>
      <c r="C624" s="1101"/>
      <c r="D624" s="1101"/>
      <c r="E624" s="1101"/>
      <c r="F624" s="1101"/>
      <c r="G624" s="1101"/>
      <c r="H624" s="1101"/>
      <c r="I624" s="1101"/>
      <c r="J624" s="1101"/>
      <c r="K624" s="1101"/>
      <c r="L624" s="1101"/>
      <c r="M624" s="1101"/>
      <c r="N624" s="1101"/>
      <c r="O624" s="1226"/>
      <c r="P624" s="1223"/>
      <c r="Q624" s="1224"/>
      <c r="R624" s="1225"/>
      <c r="S624" s="1220"/>
      <c r="T624" s="1221"/>
      <c r="U624" s="1222"/>
      <c r="V624" s="1223"/>
      <c r="W624" s="1224"/>
      <c r="X624" s="1224"/>
      <c r="Y624" s="1224"/>
      <c r="Z624" s="1224"/>
      <c r="AA624" s="1225"/>
      <c r="AB624" s="1227"/>
      <c r="AC624" s="1227"/>
      <c r="AD624" s="1227"/>
      <c r="AE624" s="1227"/>
      <c r="AF624" s="1227"/>
      <c r="AG624" s="1227"/>
      <c r="AH624" s="1227"/>
      <c r="AI624" s="1227"/>
      <c r="AJ624" s="1227"/>
      <c r="AK624" s="1227"/>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502</v>
      </c>
      <c r="C625" s="1101"/>
      <c r="D625" s="1101"/>
      <c r="E625" s="1101"/>
      <c r="F625" s="1101"/>
      <c r="G625" s="1101"/>
      <c r="H625" s="1101"/>
      <c r="I625" s="1101"/>
      <c r="J625" s="1101"/>
      <c r="K625" s="1101"/>
      <c r="L625" s="1101"/>
      <c r="M625" s="1101"/>
      <c r="N625" s="1101"/>
      <c r="O625" s="1226"/>
      <c r="P625" s="1223"/>
      <c r="Q625" s="1224"/>
      <c r="R625" s="1225"/>
      <c r="S625" s="1220"/>
      <c r="T625" s="1221"/>
      <c r="U625" s="1222"/>
      <c r="V625" s="1223"/>
      <c r="W625" s="1224"/>
      <c r="X625" s="1224"/>
      <c r="Y625" s="1224"/>
      <c r="Z625" s="1224"/>
      <c r="AA625" s="1225"/>
      <c r="AB625" s="1227"/>
      <c r="AC625" s="1227"/>
      <c r="AD625" s="1227"/>
      <c r="AE625" s="1227"/>
      <c r="AF625" s="1227"/>
      <c r="AG625" s="1227"/>
      <c r="AH625" s="1227"/>
      <c r="AI625" s="1227"/>
      <c r="AJ625" s="1227"/>
      <c r="AK625" s="1227"/>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508</v>
      </c>
      <c r="C626" s="1101"/>
      <c r="D626" s="1101"/>
      <c r="E626" s="1101"/>
      <c r="F626" s="1101"/>
      <c r="G626" s="1101"/>
      <c r="H626" s="1101"/>
      <c r="I626" s="1101"/>
      <c r="J626" s="1101"/>
      <c r="K626" s="1101"/>
      <c r="L626" s="1101"/>
      <c r="M626" s="1101"/>
      <c r="N626" s="1101"/>
      <c r="O626" s="1226"/>
      <c r="P626" s="1223"/>
      <c r="Q626" s="1224"/>
      <c r="R626" s="1225"/>
      <c r="S626" s="1220"/>
      <c r="T626" s="1221"/>
      <c r="U626" s="1222"/>
      <c r="V626" s="1223"/>
      <c r="W626" s="1224"/>
      <c r="X626" s="1224"/>
      <c r="Y626" s="1224"/>
      <c r="Z626" s="1224"/>
      <c r="AA626" s="1225"/>
      <c r="AB626" s="1227"/>
      <c r="AC626" s="1227"/>
      <c r="AD626" s="1227"/>
      <c r="AE626" s="1227"/>
      <c r="AF626" s="1227"/>
      <c r="AG626" s="1227"/>
      <c r="AH626" s="1227"/>
      <c r="AI626" s="1227"/>
      <c r="AJ626" s="1227"/>
      <c r="AK626" s="1227"/>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26"/>
      <c r="P627" s="1223"/>
      <c r="Q627" s="1224"/>
      <c r="R627" s="1225"/>
      <c r="S627" s="1220"/>
      <c r="T627" s="1221"/>
      <c r="U627" s="1222"/>
      <c r="V627" s="1223"/>
      <c r="W627" s="1224"/>
      <c r="X627" s="1224"/>
      <c r="Y627" s="1224"/>
      <c r="Z627" s="1224"/>
      <c r="AA627" s="1225"/>
      <c r="AB627" s="1227"/>
      <c r="AC627" s="1227"/>
      <c r="AD627" s="1227"/>
      <c r="AE627" s="1227"/>
      <c r="AF627" s="1227"/>
      <c r="AG627" s="1227"/>
      <c r="AH627" s="1227"/>
      <c r="AI627" s="1227"/>
      <c r="AJ627" s="1227"/>
      <c r="AK627" s="1227"/>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6"/>
      <c r="P628" s="1223"/>
      <c r="Q628" s="1224"/>
      <c r="R628" s="1225"/>
      <c r="S628" s="1220"/>
      <c r="T628" s="1221"/>
      <c r="U628" s="1222"/>
      <c r="V628" s="1223"/>
      <c r="W628" s="1224"/>
      <c r="X628" s="1224"/>
      <c r="Y628" s="1224"/>
      <c r="Z628" s="1224"/>
      <c r="AA628" s="1225"/>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121"/>
      <c r="D629" s="1101"/>
      <c r="E629" s="1101"/>
      <c r="F629" s="1101"/>
      <c r="G629" s="1101"/>
      <c r="H629" s="1101"/>
      <c r="I629" s="1101"/>
      <c r="J629" s="1101"/>
      <c r="K629" s="1101"/>
      <c r="L629" s="1101"/>
      <c r="M629" s="1101"/>
      <c r="N629" s="1101"/>
      <c r="O629" s="1226"/>
      <c r="P629" s="1223"/>
      <c r="Q629" s="1224"/>
      <c r="R629" s="1225"/>
      <c r="S629" s="1220"/>
      <c r="T629" s="1221"/>
      <c r="U629" s="1222"/>
      <c r="V629" s="1223"/>
      <c r="W629" s="1224"/>
      <c r="X629" s="1224"/>
      <c r="Y629" s="1224"/>
      <c r="Z629" s="1224"/>
      <c r="AA629" s="1225"/>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8">
        <f>SUM(AG618:AJ629)</f>
        <v>48371924.835000001</v>
      </c>
      <c r="AH630" s="1209"/>
      <c r="AI630" s="1209"/>
      <c r="AJ630" s="1209"/>
      <c r="AK630" s="1210"/>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18592403</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8">
        <f>AG630+AG631</f>
        <v>66964327.835000001</v>
      </c>
      <c r="AH632" s="1209"/>
      <c r="AI632" s="1209"/>
      <c r="AJ632" s="1209"/>
      <c r="AK632" s="1210"/>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Walker &amp; Dunlop (Tax-Exempt Bonds)</v>
      </c>
      <c r="H634" s="1098"/>
      <c r="I634" s="1098"/>
      <c r="J634" s="1098"/>
      <c r="K634" s="1098"/>
      <c r="L634" s="1098"/>
      <c r="M634" s="1098"/>
      <c r="N634" s="1098"/>
      <c r="O634" s="1098"/>
      <c r="P634" s="1098"/>
      <c r="Q634" s="1098"/>
      <c r="R634" s="1098"/>
      <c r="S634" s="14"/>
      <c r="T634" s="87" t="s">
        <v>120</v>
      </c>
      <c r="U634" s="12" t="s">
        <v>510</v>
      </c>
      <c r="Z634" s="1098" t="str">
        <f>C619</f>
        <v>Walker &amp; Dunlop (Taxable Tail)</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1773</v>
      </c>
      <c r="H635" s="1096"/>
      <c r="I635" s="1096"/>
      <c r="J635" s="1096"/>
      <c r="K635" s="1096"/>
      <c r="L635" s="1096"/>
      <c r="M635" s="1096"/>
      <c r="N635" s="1096"/>
      <c r="O635" s="1096"/>
      <c r="P635" s="1096"/>
      <c r="Q635" s="1096"/>
      <c r="R635" s="1096"/>
      <c r="S635" s="14"/>
      <c r="T635" s="35"/>
      <c r="U635" s="12" t="s">
        <v>92</v>
      </c>
      <c r="Z635" s="1094" t="s">
        <v>1773</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5">
        <f>BA614+BA621+BA633</f>
        <v>79</v>
      </c>
      <c r="BB635" s="1136"/>
      <c r="BC635" s="1136"/>
      <c r="BD635" s="1136"/>
      <c r="BE635" s="1137"/>
      <c r="BF635" s="1135">
        <f>BF614+BF621+BF633</f>
        <v>0</v>
      </c>
      <c r="BG635" s="1136"/>
      <c r="BH635" s="1136"/>
      <c r="BI635" s="1136"/>
      <c r="BJ635" s="1137"/>
      <c r="BK635" s="1135">
        <f>BK614+BK621+BK633</f>
        <v>0</v>
      </c>
      <c r="BL635" s="1136"/>
      <c r="BM635" s="1136"/>
      <c r="BN635" s="1136"/>
      <c r="BO635" s="1137"/>
      <c r="BP635" s="1135">
        <f>BP614+BP621+BP633</f>
        <v>0</v>
      </c>
      <c r="BQ635" s="1136"/>
      <c r="BR635" s="1136"/>
      <c r="BS635" s="1136"/>
      <c r="BT635" s="1137"/>
      <c r="BU635" s="1135">
        <f>BU614+BU621+BU633</f>
        <v>0</v>
      </c>
      <c r="BV635" s="1136"/>
      <c r="BW635" s="1136"/>
      <c r="BX635" s="1136"/>
      <c r="BY635" s="1137"/>
      <c r="BZ635" s="1521">
        <f>BZ633+BZ621+BZ614</f>
        <v>0</v>
      </c>
      <c r="CA635" s="1529"/>
      <c r="CB635" s="1529"/>
      <c r="CC635" s="1529"/>
      <c r="CD635" s="1522"/>
      <c r="CE635" s="58"/>
      <c r="CF635" s="58"/>
      <c r="CG635" s="58"/>
      <c r="CH635" s="58"/>
      <c r="CI635" s="58"/>
      <c r="CJ635" s="58"/>
      <c r="CK635" s="58"/>
      <c r="CL635" s="58"/>
      <c r="CM635" s="58"/>
      <c r="CN635" s="58"/>
      <c r="CO635" s="58"/>
      <c r="CP635" s="58"/>
      <c r="CQ635" s="58"/>
      <c r="CR635" s="58"/>
    </row>
    <row r="636" spans="1:96" ht="12.75">
      <c r="A636" s="35"/>
      <c r="B636" s="12" t="s">
        <v>631</v>
      </c>
      <c r="G636" s="1094" t="s">
        <v>1772</v>
      </c>
      <c r="H636" s="1096"/>
      <c r="I636" s="1096"/>
      <c r="J636" s="1096"/>
      <c r="K636" s="1096"/>
      <c r="L636" s="1096"/>
      <c r="M636" s="1096"/>
      <c r="N636" s="1096"/>
      <c r="O636" s="1096"/>
      <c r="P636" s="1096"/>
      <c r="Q636" s="1096"/>
      <c r="R636" s="1096"/>
      <c r="S636" s="88"/>
      <c r="T636" s="35"/>
      <c r="U636" s="12" t="s">
        <v>631</v>
      </c>
      <c r="Z636" s="1118" t="str">
        <f>G636</f>
        <v>NY. NY</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1764</v>
      </c>
      <c r="H637" s="1096"/>
      <c r="I637" s="1096"/>
      <c r="J637" s="1096"/>
      <c r="K637" s="1096"/>
      <c r="L637" s="1096"/>
      <c r="M637" s="1096"/>
      <c r="N637" s="1096"/>
      <c r="O637" s="1096"/>
      <c r="P637" s="1096"/>
      <c r="Q637" s="1096"/>
      <c r="R637" s="1096"/>
      <c r="S637" s="14"/>
      <c r="T637" s="35"/>
      <c r="U637" s="12" t="s">
        <v>19</v>
      </c>
      <c r="Z637" s="1118" t="str">
        <f>G637</f>
        <v>John Gilmore</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1765</v>
      </c>
      <c r="H638" s="1100"/>
      <c r="I638" s="1100"/>
      <c r="J638" s="1100"/>
      <c r="K638" s="1100"/>
      <c r="L638" s="1100"/>
      <c r="O638" s="140" t="s">
        <v>220</v>
      </c>
      <c r="P638" s="1101"/>
      <c r="Q638" s="1101"/>
      <c r="R638" s="1101"/>
      <c r="S638" s="16"/>
      <c r="T638" s="35"/>
      <c r="U638" s="12" t="s">
        <v>338</v>
      </c>
      <c r="Z638" s="1100" t="str">
        <f>G638</f>
        <v>646 438 7716</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1766</v>
      </c>
      <c r="I639" s="1096"/>
      <c r="J639" s="1096"/>
      <c r="K639" s="1096"/>
      <c r="L639" s="1096"/>
      <c r="M639" s="1096"/>
      <c r="N639" s="1096"/>
      <c r="O639" s="1096"/>
      <c r="P639" s="1096"/>
      <c r="Q639" s="1096"/>
      <c r="R639" s="1096"/>
      <c r="S639" s="14"/>
      <c r="T639" s="35"/>
      <c r="U639" s="12" t="s">
        <v>20</v>
      </c>
      <c r="AA639" s="1094" t="s">
        <v>1771</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ABS Mayer Bricker (RR Seller CarryBackLoan)</v>
      </c>
      <c r="H642" s="1098"/>
      <c r="I642" s="1098"/>
      <c r="J642" s="1098"/>
      <c r="K642" s="1098"/>
      <c r="L642" s="1098"/>
      <c r="M642" s="1098"/>
      <c r="N642" s="1098"/>
      <c r="O642" s="1098"/>
      <c r="P642" s="1098"/>
      <c r="Q642" s="1098"/>
      <c r="R642" s="1098"/>
      <c r="T642" s="87" t="s">
        <v>632</v>
      </c>
      <c r="U642" s="12" t="s">
        <v>510</v>
      </c>
      <c r="Z642" s="1098" t="str">
        <f>C621</f>
        <v xml:space="preserve">Deferred Developer Fee </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1769</v>
      </c>
      <c r="H643" s="1096"/>
      <c r="I643" s="1096"/>
      <c r="J643" s="1096"/>
      <c r="K643" s="1096"/>
      <c r="L643" s="1096"/>
      <c r="M643" s="1096"/>
      <c r="N643" s="1096"/>
      <c r="O643" s="1096"/>
      <c r="P643" s="1096"/>
      <c r="Q643" s="1096"/>
      <c r="R643" s="1096"/>
      <c r="T643" s="35"/>
      <c r="U643" s="12" t="s">
        <v>92</v>
      </c>
      <c r="Z643" s="1096" t="str">
        <f>G643</f>
        <v>5500 Hollywood Blvd, 4th Floor</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1" t="s">
        <v>1674</v>
      </c>
      <c r="H644" s="1118"/>
      <c r="I644" s="1118"/>
      <c r="J644" s="1118"/>
      <c r="K644" s="1118"/>
      <c r="L644" s="1118"/>
      <c r="M644" s="1118"/>
      <c r="N644" s="1118"/>
      <c r="O644" s="1118"/>
      <c r="P644" s="1118"/>
      <c r="Q644" s="1118"/>
      <c r="R644" s="1118"/>
      <c r="T644" s="35"/>
      <c r="U644" s="12" t="s">
        <v>631</v>
      </c>
      <c r="Z644" s="1118" t="str">
        <f>G644</f>
        <v>Los Angeles, CA 90028</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1" t="s">
        <v>1658</v>
      </c>
      <c r="H645" s="1118"/>
      <c r="I645" s="1118"/>
      <c r="J645" s="1118"/>
      <c r="K645" s="1118"/>
      <c r="L645" s="1118"/>
      <c r="M645" s="1118"/>
      <c r="N645" s="1118"/>
      <c r="O645" s="1118"/>
      <c r="P645" s="1118"/>
      <c r="Q645" s="1118"/>
      <c r="R645" s="1118"/>
      <c r="T645" s="35"/>
      <c r="U645" s="12" t="s">
        <v>19</v>
      </c>
      <c r="Z645" s="1118" t="str">
        <f>G645</f>
        <v>Samir Srivastava</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1659</v>
      </c>
      <c r="H646" s="1100"/>
      <c r="I646" s="1100"/>
      <c r="J646" s="1100"/>
      <c r="K646" s="1100"/>
      <c r="L646" s="1100"/>
      <c r="O646" s="140" t="s">
        <v>220</v>
      </c>
      <c r="P646" s="1101"/>
      <c r="Q646" s="1101"/>
      <c r="R646" s="1101"/>
      <c r="T646" s="35"/>
      <c r="U646" s="12" t="s">
        <v>338</v>
      </c>
      <c r="Z646" s="1100" t="str">
        <f>G646</f>
        <v>213 268 2723</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1770</v>
      </c>
      <c r="I647" s="1096"/>
      <c r="J647" s="1096"/>
      <c r="K647" s="1096"/>
      <c r="L647" s="1096"/>
      <c r="M647" s="1096"/>
      <c r="N647" s="1096"/>
      <c r="O647" s="1096"/>
      <c r="P647" s="1096"/>
      <c r="Q647" s="1096"/>
      <c r="R647" s="1096"/>
      <c r="T647" s="35"/>
      <c r="U647" s="12" t="s">
        <v>20</v>
      </c>
      <c r="AA647" s="1094" t="s">
        <v>1775</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f>C622</f>
        <v>0</v>
      </c>
      <c r="H650" s="1098"/>
      <c r="I650" s="1098"/>
      <c r="J650" s="1098"/>
      <c r="K650" s="1098"/>
      <c r="L650" s="1098"/>
      <c r="M650" s="1098"/>
      <c r="N650" s="1098"/>
      <c r="O650" s="1098"/>
      <c r="P650" s="1098"/>
      <c r="Q650" s="1098"/>
      <c r="R650" s="1098"/>
      <c r="T650" s="87" t="s">
        <v>635</v>
      </c>
      <c r="U650" s="12" t="s">
        <v>510</v>
      </c>
      <c r="Z650" s="1098">
        <f>C623</f>
        <v>0</v>
      </c>
      <c r="AA650" s="1098"/>
      <c r="AB650" s="1098"/>
      <c r="AC650" s="1098"/>
      <c r="AD650" s="1098"/>
      <c r="AE650" s="1098"/>
      <c r="AF650" s="1098"/>
      <c r="AG650" s="1098"/>
      <c r="AH650" s="1098"/>
      <c r="AI650" s="1098"/>
      <c r="AJ650" s="1098"/>
      <c r="AK650" s="1098"/>
      <c r="AM650" s="58"/>
      <c r="AN650" s="463">
        <f t="shared" si="22"/>
        <v>1972</v>
      </c>
      <c r="AO650" s="58"/>
      <c r="AP650" s="58"/>
      <c r="AQ650" s="58"/>
      <c r="AR650" s="58"/>
      <c r="AS650" s="399"/>
      <c r="AT650" s="473">
        <f t="shared" ref="AT650:AT674" si="23">G709</f>
        <v>32</v>
      </c>
      <c r="AU650" s="477">
        <f>AT650/$AT$675</f>
        <v>0.41025641025641024</v>
      </c>
      <c r="AV650" s="478">
        <f t="shared" ref="AV650:AV674" si="24">IF(AU650=0," ",AU650*AD709)</f>
        <v>0.12307692307692307</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t="str">
        <f t="shared" si="22"/>
        <v>N/A</v>
      </c>
      <c r="AO651" s="58"/>
      <c r="AP651" s="58"/>
      <c r="AQ651" s="58"/>
      <c r="AR651" s="58"/>
      <c r="AS651" s="399"/>
      <c r="AT651" s="474">
        <f t="shared" si="23"/>
        <v>7</v>
      </c>
      <c r="AU651" s="477">
        <f t="shared" ref="AU651:AU674" si="25">AT651/$AT$675</f>
        <v>8.9743589743589744E-2</v>
      </c>
      <c r="AV651" s="478">
        <f t="shared" si="24"/>
        <v>4.4871794871794872E-2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118"/>
      <c r="AA652" s="1118"/>
      <c r="AB652" s="1118"/>
      <c r="AC652" s="1118"/>
      <c r="AD652" s="1118"/>
      <c r="AE652" s="1118"/>
      <c r="AF652" s="1118"/>
      <c r="AG652" s="1118"/>
      <c r="AH652" s="1118"/>
      <c r="AI652" s="1118"/>
      <c r="AJ652" s="1118"/>
      <c r="AK652" s="1118"/>
      <c r="AM652" s="58"/>
      <c r="AN652" s="463">
        <f t="shared" si="22"/>
        <v>1972</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8"/>
      <c r="AA653" s="1118"/>
      <c r="AB653" s="1118"/>
      <c r="AC653" s="1118"/>
      <c r="AD653" s="1118"/>
      <c r="AE653" s="1118"/>
      <c r="AF653" s="1118"/>
      <c r="AG653" s="1118"/>
      <c r="AH653" s="1118"/>
      <c r="AI653" s="1118"/>
      <c r="AJ653" s="1118"/>
      <c r="AK653" s="1118"/>
      <c r="AM653" s="58"/>
      <c r="AN653" s="463" t="str">
        <f t="shared" si="22"/>
        <v>N/A</v>
      </c>
      <c r="AO653" s="58"/>
      <c r="AP653" s="58"/>
      <c r="AQ653" s="58"/>
      <c r="AR653" s="58"/>
      <c r="AS653" s="399"/>
      <c r="AT653" s="474">
        <f t="shared" si="23"/>
        <v>39</v>
      </c>
      <c r="AU653" s="477">
        <f t="shared" si="25"/>
        <v>0.5</v>
      </c>
      <c r="AV653" s="478">
        <f t="shared" si="24"/>
        <v>0.4</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c r="H654" s="1100"/>
      <c r="I654" s="1100"/>
      <c r="J654" s="1100"/>
      <c r="K654" s="1100"/>
      <c r="L654" s="1100"/>
      <c r="O654" s="140" t="s">
        <v>220</v>
      </c>
      <c r="P654" s="1101"/>
      <c r="Q654" s="1101"/>
      <c r="R654" s="1101"/>
      <c r="T654" s="35"/>
      <c r="U654" s="12" t="s">
        <v>338</v>
      </c>
      <c r="Z654" s="1100"/>
      <c r="AA654" s="1100"/>
      <c r="AB654" s="1100"/>
      <c r="AC654" s="1100"/>
      <c r="AD654" s="1100"/>
      <c r="AE654" s="1100"/>
      <c r="AH654" s="140" t="s">
        <v>220</v>
      </c>
      <c r="AI654" s="1101"/>
      <c r="AJ654" s="1101"/>
      <c r="AK654" s="110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c r="O656" s="1097"/>
      <c r="T656" s="35"/>
      <c r="U656" s="12" t="s">
        <v>22</v>
      </c>
      <c r="AG656" s="1097" t="s">
        <v>723</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f>C624</f>
        <v>0</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c r="H662" s="1100"/>
      <c r="I662" s="1100"/>
      <c r="J662" s="1100"/>
      <c r="K662" s="1100"/>
      <c r="L662" s="1100"/>
      <c r="O662" s="140" t="s">
        <v>220</v>
      </c>
      <c r="P662" s="1101"/>
      <c r="Q662" s="1101"/>
      <c r="R662" s="1101"/>
      <c r="T662" s="35"/>
      <c r="U662" s="12" t="s">
        <v>338</v>
      </c>
      <c r="Z662" s="1100"/>
      <c r="AA662" s="1100"/>
      <c r="AB662" s="1100"/>
      <c r="AC662" s="1100"/>
      <c r="AD662" s="1100"/>
      <c r="AE662" s="1100"/>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c r="H670" s="1100"/>
      <c r="I670" s="1100"/>
      <c r="J670" s="1100"/>
      <c r="K670" s="1100"/>
      <c r="L670" s="1100"/>
      <c r="O670" s="140" t="s">
        <v>220</v>
      </c>
      <c r="P670" s="1101"/>
      <c r="Q670" s="1101"/>
      <c r="R670" s="1101"/>
      <c r="T670" s="35"/>
      <c r="U670" s="12" t="s">
        <v>338</v>
      </c>
      <c r="Z670" s="1100"/>
      <c r="AA670" s="1100"/>
      <c r="AB670" s="1100"/>
      <c r="AC670" s="1100"/>
      <c r="AD670" s="1100"/>
      <c r="AE670" s="1100"/>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78</v>
      </c>
      <c r="AU675" s="480">
        <f>SUM(AU650:AU674)</f>
        <v>1</v>
      </c>
      <c r="AV675" s="480">
        <f>SUM(AV650:AV674)</f>
        <v>0.56794871794871793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0"/>
      <c r="H678" s="1100"/>
      <c r="I678" s="1100"/>
      <c r="J678" s="1100"/>
      <c r="K678" s="1100"/>
      <c r="L678" s="1100"/>
      <c r="O678" s="140" t="s">
        <v>220</v>
      </c>
      <c r="P678" s="1101"/>
      <c r="Q678" s="1101"/>
      <c r="R678" s="1101"/>
      <c r="U678" s="12" t="s">
        <v>338</v>
      </c>
      <c r="Z678" s="1100"/>
      <c r="AA678" s="1100"/>
      <c r="AB678" s="1100"/>
      <c r="AC678" s="1100"/>
      <c r="AD678" s="1100"/>
      <c r="AE678" s="1100"/>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44098</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44196</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44286</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v>0.52</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CalHFA</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347</v>
      </c>
      <c r="C709" s="1170"/>
      <c r="D709" s="1170"/>
      <c r="E709" s="1170"/>
      <c r="F709" s="1171"/>
      <c r="G709" s="1124">
        <v>32</v>
      </c>
      <c r="H709" s="1125"/>
      <c r="I709" s="1125"/>
      <c r="J709" s="1126"/>
      <c r="K709" s="1184">
        <f>592</f>
        <v>592</v>
      </c>
      <c r="L709" s="1185"/>
      <c r="M709" s="1185"/>
      <c r="N709" s="1185"/>
      <c r="O709" s="1186"/>
      <c r="P709" s="1154">
        <f t="shared" ref="P709:P733" si="26">G709*K709</f>
        <v>18944</v>
      </c>
      <c r="Q709" s="1115"/>
      <c r="R709" s="1115"/>
      <c r="S709" s="1115"/>
      <c r="T709" s="1155"/>
      <c r="U709" s="1184">
        <v>0</v>
      </c>
      <c r="V709" s="1185"/>
      <c r="W709" s="1185"/>
      <c r="X709" s="1186"/>
      <c r="Y709" s="1154">
        <f>K709+U709</f>
        <v>592</v>
      </c>
      <c r="Z709" s="1115"/>
      <c r="AA709" s="1115"/>
      <c r="AB709" s="1115"/>
      <c r="AC709" s="1155"/>
      <c r="AD709" s="1112">
        <v>0.3</v>
      </c>
      <c r="AE709" s="1113"/>
      <c r="AF709" s="1113"/>
      <c r="AG709" s="1113"/>
      <c r="AH709" s="1114"/>
      <c r="AI709" s="1128">
        <f t="shared" ref="AI709:AI733" si="27">IF($AD709&gt;0,($Y709/$AN649), " ")</f>
        <v>0.30020283975659229</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347</v>
      </c>
      <c r="C710" s="1170"/>
      <c r="D710" s="1170"/>
      <c r="E710" s="1170"/>
      <c r="F710" s="1171"/>
      <c r="G710" s="1124">
        <v>7</v>
      </c>
      <c r="H710" s="1125"/>
      <c r="I710" s="1125"/>
      <c r="J710" s="1126"/>
      <c r="K710" s="1184">
        <f>986</f>
        <v>986</v>
      </c>
      <c r="L710" s="1185"/>
      <c r="M710" s="1185"/>
      <c r="N710" s="1185"/>
      <c r="O710" s="1186"/>
      <c r="P710" s="1154">
        <f t="shared" si="26"/>
        <v>6902</v>
      </c>
      <c r="Q710" s="1115"/>
      <c r="R710" s="1115"/>
      <c r="S710" s="1115"/>
      <c r="T710" s="1155"/>
      <c r="U710" s="1184">
        <v>0</v>
      </c>
      <c r="V710" s="1185"/>
      <c r="W710" s="1185"/>
      <c r="X710" s="1186"/>
      <c r="Y710" s="1154">
        <f t="shared" ref="Y710:Y733" si="28">K710+U710</f>
        <v>986</v>
      </c>
      <c r="Z710" s="1115"/>
      <c r="AA710" s="1115"/>
      <c r="AB710" s="1115"/>
      <c r="AC710" s="1155"/>
      <c r="AD710" s="1112">
        <v>0.5</v>
      </c>
      <c r="AE710" s="1113"/>
      <c r="AF710" s="1113"/>
      <c r="AG710" s="1113"/>
      <c r="AH710" s="1114"/>
      <c r="AI710" s="1128">
        <f t="shared" si="27"/>
        <v>0.5</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c r="C711" s="1170"/>
      <c r="D711" s="1170"/>
      <c r="E711" s="1170"/>
      <c r="F711" s="1171"/>
      <c r="G711" s="1124"/>
      <c r="H711" s="1125"/>
      <c r="I711" s="1125"/>
      <c r="J711" s="1126"/>
      <c r="K711" s="1184"/>
      <c r="L711" s="1185"/>
      <c r="M711" s="1185"/>
      <c r="N711" s="1185"/>
      <c r="O711" s="1186"/>
      <c r="P711" s="1154">
        <f t="shared" si="26"/>
        <v>0</v>
      </c>
      <c r="Q711" s="1115"/>
      <c r="R711" s="1115"/>
      <c r="S711" s="1115"/>
      <c r="T711" s="1155"/>
      <c r="U711" s="1184"/>
      <c r="V711" s="1185"/>
      <c r="W711" s="1185"/>
      <c r="X711" s="1186"/>
      <c r="Y711" s="1154">
        <f t="shared" si="28"/>
        <v>0</v>
      </c>
      <c r="Z711" s="1115"/>
      <c r="AA711" s="1115"/>
      <c r="AB711" s="1115"/>
      <c r="AC711" s="1155"/>
      <c r="AD711" s="1112"/>
      <c r="AE711" s="1113"/>
      <c r="AF711" s="1113"/>
      <c r="AG711" s="1113"/>
      <c r="AH711" s="1114"/>
      <c r="AI711" s="1128" t="str">
        <f t="shared" si="27"/>
        <v xml:space="preserve"> </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347</v>
      </c>
      <c r="C712" s="1170"/>
      <c r="D712" s="1170"/>
      <c r="E712" s="1170"/>
      <c r="F712" s="1171"/>
      <c r="G712" s="1124">
        <f>43-4</f>
        <v>39</v>
      </c>
      <c r="H712" s="1125"/>
      <c r="I712" s="1125"/>
      <c r="J712" s="1126"/>
      <c r="K712" s="1183">
        <v>1145</v>
      </c>
      <c r="L712" s="1183"/>
      <c r="M712" s="1183"/>
      <c r="N712" s="1183"/>
      <c r="O712" s="1183"/>
      <c r="P712" s="1123">
        <f t="shared" si="26"/>
        <v>44655</v>
      </c>
      <c r="Q712" s="1123"/>
      <c r="R712" s="1123"/>
      <c r="S712" s="1123"/>
      <c r="T712" s="1123"/>
      <c r="U712" s="1184">
        <v>0</v>
      </c>
      <c r="V712" s="1185"/>
      <c r="W712" s="1185"/>
      <c r="X712" s="1186"/>
      <c r="Y712" s="1123">
        <f t="shared" si="28"/>
        <v>1145</v>
      </c>
      <c r="Z712" s="1123"/>
      <c r="AA712" s="1123"/>
      <c r="AB712" s="1123"/>
      <c r="AC712" s="1123"/>
      <c r="AD712" s="1112">
        <v>0.8</v>
      </c>
      <c r="AE712" s="1113"/>
      <c r="AF712" s="1113"/>
      <c r="AG712" s="1113"/>
      <c r="AH712" s="1114"/>
      <c r="AI712" s="1128">
        <f t="shared" si="27"/>
        <v>0.58062880324543609</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c r="C713" s="1170"/>
      <c r="D713" s="1170"/>
      <c r="E713" s="1170"/>
      <c r="F713" s="1171"/>
      <c r="G713" s="1124">
        <f>78-G709-G710-G712</f>
        <v>0</v>
      </c>
      <c r="H713" s="1125"/>
      <c r="I713" s="1125"/>
      <c r="J713" s="1126"/>
      <c r="K713" s="1183"/>
      <c r="L713" s="1183"/>
      <c r="M713" s="1183"/>
      <c r="N713" s="1183"/>
      <c r="O713" s="1183"/>
      <c r="P713" s="1123">
        <f t="shared" si="26"/>
        <v>0</v>
      </c>
      <c r="Q713" s="1123"/>
      <c r="R713" s="1123"/>
      <c r="S713" s="1123"/>
      <c r="T713" s="1123"/>
      <c r="U713" s="1184"/>
      <c r="V713" s="1185"/>
      <c r="W713" s="1185"/>
      <c r="X713" s="1186"/>
      <c r="Y713" s="1123">
        <f t="shared" si="28"/>
        <v>0</v>
      </c>
      <c r="Z713" s="1123"/>
      <c r="AA713" s="1123"/>
      <c r="AB713" s="1123"/>
      <c r="AC713" s="1123"/>
      <c r="AD713" s="1112"/>
      <c r="AE713" s="1113"/>
      <c r="AF713" s="1113"/>
      <c r="AG713" s="1113"/>
      <c r="AH713" s="1114"/>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c r="C714" s="1170"/>
      <c r="D714" s="1170"/>
      <c r="E714" s="1170"/>
      <c r="F714" s="1171"/>
      <c r="G714" s="1124"/>
      <c r="H714" s="1125"/>
      <c r="I714" s="1125"/>
      <c r="J714" s="1126"/>
      <c r="K714" s="1183"/>
      <c r="L714" s="1183"/>
      <c r="M714" s="1183"/>
      <c r="N714" s="1183"/>
      <c r="O714" s="1183"/>
      <c r="P714" s="1123">
        <f t="shared" si="26"/>
        <v>0</v>
      </c>
      <c r="Q714" s="1123"/>
      <c r="R714" s="1123"/>
      <c r="S714" s="1123"/>
      <c r="T714" s="1123"/>
      <c r="U714" s="1184"/>
      <c r="V714" s="1185"/>
      <c r="W714" s="1185"/>
      <c r="X714" s="1186"/>
      <c r="Y714" s="1123">
        <f t="shared" si="28"/>
        <v>0</v>
      </c>
      <c r="Z714" s="1123"/>
      <c r="AA714" s="1123"/>
      <c r="AB714" s="1123"/>
      <c r="AC714" s="1123"/>
      <c r="AD714" s="1112"/>
      <c r="AE714" s="1113"/>
      <c r="AF714" s="1113"/>
      <c r="AG714" s="1113"/>
      <c r="AH714" s="1114"/>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4"/>
      <c r="H715" s="1125"/>
      <c r="I715" s="1125"/>
      <c r="J715" s="1126"/>
      <c r="K715" s="1183"/>
      <c r="L715" s="1183"/>
      <c r="M715" s="1183"/>
      <c r="N715" s="1183"/>
      <c r="O715" s="1183"/>
      <c r="P715" s="1123">
        <f t="shared" si="26"/>
        <v>0</v>
      </c>
      <c r="Q715" s="1123"/>
      <c r="R715" s="1123"/>
      <c r="S715" s="1123"/>
      <c r="T715" s="1123"/>
      <c r="U715" s="1184"/>
      <c r="V715" s="1185"/>
      <c r="W715" s="1185"/>
      <c r="X715" s="1186"/>
      <c r="Y715" s="1123">
        <f t="shared" si="28"/>
        <v>0</v>
      </c>
      <c r="Z715" s="1123"/>
      <c r="AA715" s="1123"/>
      <c r="AB715" s="1123"/>
      <c r="AC715" s="1123"/>
      <c r="AD715" s="1112"/>
      <c r="AE715" s="1113"/>
      <c r="AF715" s="1113"/>
      <c r="AG715" s="1113"/>
      <c r="AH715" s="1114"/>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24"/>
      <c r="H716" s="1125"/>
      <c r="I716" s="1125"/>
      <c r="J716" s="1126"/>
      <c r="K716" s="1183"/>
      <c r="L716" s="1183"/>
      <c r="M716" s="1183"/>
      <c r="N716" s="1183"/>
      <c r="O716" s="1183"/>
      <c r="P716" s="1123">
        <f t="shared" si="26"/>
        <v>0</v>
      </c>
      <c r="Q716" s="1123"/>
      <c r="R716" s="1123"/>
      <c r="S716" s="1123"/>
      <c r="T716" s="1123"/>
      <c r="U716" s="1184"/>
      <c r="V716" s="1185"/>
      <c r="W716" s="1185"/>
      <c r="X716" s="1186"/>
      <c r="Y716" s="1123">
        <f t="shared" si="28"/>
        <v>0</v>
      </c>
      <c r="Z716" s="1123"/>
      <c r="AA716" s="1123"/>
      <c r="AB716" s="1123"/>
      <c r="AC716" s="1123"/>
      <c r="AD716" s="1112"/>
      <c r="AE716" s="1113"/>
      <c r="AF716" s="1113"/>
      <c r="AG716" s="1113"/>
      <c r="AH716" s="1114"/>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24"/>
      <c r="H717" s="1125"/>
      <c r="I717" s="1125"/>
      <c r="J717" s="1126"/>
      <c r="K717" s="1183"/>
      <c r="L717" s="1183"/>
      <c r="M717" s="1183"/>
      <c r="N717" s="1183"/>
      <c r="O717" s="1183"/>
      <c r="P717" s="1123">
        <f t="shared" si="26"/>
        <v>0</v>
      </c>
      <c r="Q717" s="1123"/>
      <c r="R717" s="1123"/>
      <c r="S717" s="1123"/>
      <c r="T717" s="1123"/>
      <c r="U717" s="1184"/>
      <c r="V717" s="1185"/>
      <c r="W717" s="1185"/>
      <c r="X717" s="1186"/>
      <c r="Y717" s="1123">
        <f t="shared" si="28"/>
        <v>0</v>
      </c>
      <c r="Z717" s="1123"/>
      <c r="AA717" s="1123"/>
      <c r="AB717" s="1123"/>
      <c r="AC717" s="1123"/>
      <c r="AD717" s="1112"/>
      <c r="AE717" s="1113"/>
      <c r="AF717" s="1113"/>
      <c r="AG717" s="1113"/>
      <c r="AH717" s="1114"/>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4"/>
      <c r="H718" s="1125"/>
      <c r="I718" s="1125"/>
      <c r="J718" s="1126"/>
      <c r="K718" s="1258"/>
      <c r="L718" s="1258"/>
      <c r="M718" s="1258"/>
      <c r="N718" s="1258"/>
      <c r="O718" s="1258"/>
      <c r="P718" s="1127">
        <f t="shared" si="26"/>
        <v>0</v>
      </c>
      <c r="Q718" s="1127"/>
      <c r="R718" s="1127"/>
      <c r="S718" s="1127"/>
      <c r="T718" s="1127"/>
      <c r="U718" s="1184"/>
      <c r="V718" s="1185"/>
      <c r="W718" s="1185"/>
      <c r="X718" s="1186"/>
      <c r="Y718" s="1127">
        <f t="shared" si="28"/>
        <v>0</v>
      </c>
      <c r="Z718" s="1127"/>
      <c r="AA718" s="1127"/>
      <c r="AB718" s="1127"/>
      <c r="AC718" s="1127"/>
      <c r="AD718" s="1112"/>
      <c r="AE718" s="1113"/>
      <c r="AF718" s="1113"/>
      <c r="AG718" s="1113"/>
      <c r="AH718" s="1114"/>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4"/>
      <c r="H719" s="1125"/>
      <c r="I719" s="1125"/>
      <c r="J719" s="1126"/>
      <c r="K719" s="1183"/>
      <c r="L719" s="1183"/>
      <c r="M719" s="1183"/>
      <c r="N719" s="1183"/>
      <c r="O719" s="1183"/>
      <c r="P719" s="1123">
        <f t="shared" si="26"/>
        <v>0</v>
      </c>
      <c r="Q719" s="1123"/>
      <c r="R719" s="1123"/>
      <c r="S719" s="1123"/>
      <c r="T719" s="1123"/>
      <c r="U719" s="1184"/>
      <c r="V719" s="1185"/>
      <c r="W719" s="1185"/>
      <c r="X719" s="1186"/>
      <c r="Y719" s="1123">
        <f t="shared" si="28"/>
        <v>0</v>
      </c>
      <c r="Z719" s="1123"/>
      <c r="AA719" s="1123"/>
      <c r="AB719" s="1123"/>
      <c r="AC719" s="1123"/>
      <c r="AD719" s="1112"/>
      <c r="AE719" s="1113"/>
      <c r="AF719" s="1113"/>
      <c r="AG719" s="1113"/>
      <c r="AH719" s="1114"/>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4"/>
      <c r="H720" s="1125"/>
      <c r="I720" s="1125"/>
      <c r="J720" s="1126"/>
      <c r="K720" s="1183"/>
      <c r="L720" s="1183"/>
      <c r="M720" s="1183"/>
      <c r="N720" s="1183"/>
      <c r="O720" s="1183"/>
      <c r="P720" s="1123">
        <f t="shared" si="26"/>
        <v>0</v>
      </c>
      <c r="Q720" s="1123"/>
      <c r="R720" s="1123"/>
      <c r="S720" s="1123"/>
      <c r="T720" s="1123"/>
      <c r="U720" s="1184">
        <v>0</v>
      </c>
      <c r="V720" s="1185"/>
      <c r="W720" s="1185"/>
      <c r="X720" s="1186"/>
      <c r="Y720" s="1123">
        <f t="shared" si="28"/>
        <v>0</v>
      </c>
      <c r="Z720" s="1123"/>
      <c r="AA720" s="1123"/>
      <c r="AB720" s="1123"/>
      <c r="AC720" s="1123"/>
      <c r="AD720" s="1112">
        <v>0</v>
      </c>
      <c r="AE720" s="1113"/>
      <c r="AF720" s="1113"/>
      <c r="AG720" s="1113"/>
      <c r="AH720" s="1114"/>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4"/>
      <c r="H721" s="1125"/>
      <c r="I721" s="1125"/>
      <c r="J721" s="1126"/>
      <c r="K721" s="1183"/>
      <c r="L721" s="1183"/>
      <c r="M721" s="1183"/>
      <c r="N721" s="1183"/>
      <c r="O721" s="1183"/>
      <c r="P721" s="1123">
        <f t="shared" si="26"/>
        <v>0</v>
      </c>
      <c r="Q721" s="1123"/>
      <c r="R721" s="1123"/>
      <c r="S721" s="1123"/>
      <c r="T721" s="1123"/>
      <c r="U721" s="1184">
        <v>0</v>
      </c>
      <c r="V721" s="1185"/>
      <c r="W721" s="1185"/>
      <c r="X721" s="1186"/>
      <c r="Y721" s="1123">
        <f t="shared" si="28"/>
        <v>0</v>
      </c>
      <c r="Z721" s="1123"/>
      <c r="AA721" s="1123"/>
      <c r="AB721" s="1123"/>
      <c r="AC721" s="1123"/>
      <c r="AD721" s="1112">
        <v>0</v>
      </c>
      <c r="AE721" s="1113"/>
      <c r="AF721" s="1113"/>
      <c r="AG721" s="1113"/>
      <c r="AH721" s="1114"/>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4"/>
      <c r="H722" s="1125"/>
      <c r="I722" s="1125"/>
      <c r="J722" s="1126"/>
      <c r="K722" s="1183"/>
      <c r="L722" s="1183"/>
      <c r="M722" s="1183"/>
      <c r="N722" s="1183"/>
      <c r="O722" s="1183"/>
      <c r="P722" s="1123">
        <f t="shared" si="26"/>
        <v>0</v>
      </c>
      <c r="Q722" s="1123"/>
      <c r="R722" s="1123"/>
      <c r="S722" s="1123"/>
      <c r="T722" s="1123"/>
      <c r="U722" s="1184">
        <v>0</v>
      </c>
      <c r="V722" s="1185"/>
      <c r="W722" s="1185"/>
      <c r="X722" s="1186"/>
      <c r="Y722" s="1123">
        <f t="shared" si="28"/>
        <v>0</v>
      </c>
      <c r="Z722" s="1123"/>
      <c r="AA722" s="1123"/>
      <c r="AB722" s="1123"/>
      <c r="AC722" s="1123"/>
      <c r="AD722" s="1112">
        <v>0</v>
      </c>
      <c r="AE722" s="1113"/>
      <c r="AF722" s="1113"/>
      <c r="AG722" s="1113"/>
      <c r="AH722" s="1114"/>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4"/>
      <c r="H723" s="1125"/>
      <c r="I723" s="1125"/>
      <c r="J723" s="1126"/>
      <c r="K723" s="1183"/>
      <c r="L723" s="1183"/>
      <c r="M723" s="1183"/>
      <c r="N723" s="1183"/>
      <c r="O723" s="1183"/>
      <c r="P723" s="1123">
        <f t="shared" si="26"/>
        <v>0</v>
      </c>
      <c r="Q723" s="1123"/>
      <c r="R723" s="1123"/>
      <c r="S723" s="1123"/>
      <c r="T723" s="1123"/>
      <c r="U723" s="1184">
        <v>0</v>
      </c>
      <c r="V723" s="1185"/>
      <c r="W723" s="1185"/>
      <c r="X723" s="1186"/>
      <c r="Y723" s="1123">
        <f t="shared" si="28"/>
        <v>0</v>
      </c>
      <c r="Z723" s="1123"/>
      <c r="AA723" s="1123"/>
      <c r="AB723" s="1123"/>
      <c r="AC723" s="1123"/>
      <c r="AD723" s="1112">
        <v>0</v>
      </c>
      <c r="AE723" s="1113"/>
      <c r="AF723" s="1113"/>
      <c r="AG723" s="1113"/>
      <c r="AH723" s="1114"/>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4"/>
      <c r="H724" s="1125"/>
      <c r="I724" s="1125"/>
      <c r="J724" s="1126"/>
      <c r="K724" s="1183"/>
      <c r="L724" s="1183"/>
      <c r="M724" s="1183"/>
      <c r="N724" s="1183"/>
      <c r="O724" s="1183"/>
      <c r="P724" s="1123">
        <f t="shared" si="26"/>
        <v>0</v>
      </c>
      <c r="Q724" s="1123"/>
      <c r="R724" s="1123"/>
      <c r="S724" s="1123"/>
      <c r="T724" s="1123"/>
      <c r="U724" s="1184">
        <v>0</v>
      </c>
      <c r="V724" s="1185"/>
      <c r="W724" s="1185"/>
      <c r="X724" s="1186"/>
      <c r="Y724" s="1123">
        <f>K724+U724</f>
        <v>0</v>
      </c>
      <c r="Z724" s="1123"/>
      <c r="AA724" s="1123"/>
      <c r="AB724" s="1123"/>
      <c r="AC724" s="1123"/>
      <c r="AD724" s="1112">
        <v>0</v>
      </c>
      <c r="AE724" s="1113"/>
      <c r="AF724" s="1113"/>
      <c r="AG724" s="1113"/>
      <c r="AH724" s="1114"/>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4"/>
      <c r="H725" s="1125"/>
      <c r="I725" s="1125"/>
      <c r="J725" s="1126"/>
      <c r="K725" s="1183"/>
      <c r="L725" s="1183"/>
      <c r="M725" s="1183"/>
      <c r="N725" s="1183"/>
      <c r="O725" s="1183"/>
      <c r="P725" s="1123">
        <f t="shared" si="26"/>
        <v>0</v>
      </c>
      <c r="Q725" s="1123"/>
      <c r="R725" s="1123"/>
      <c r="S725" s="1123"/>
      <c r="T725" s="1123"/>
      <c r="U725" s="1184">
        <v>0</v>
      </c>
      <c r="V725" s="1185"/>
      <c r="W725" s="1185"/>
      <c r="X725" s="1186"/>
      <c r="Y725" s="1123">
        <f>K725+U725</f>
        <v>0</v>
      </c>
      <c r="Z725" s="1123"/>
      <c r="AA725" s="1123"/>
      <c r="AB725" s="1123"/>
      <c r="AC725" s="1123"/>
      <c r="AD725" s="1112">
        <v>0</v>
      </c>
      <c r="AE725" s="1113"/>
      <c r="AF725" s="1113"/>
      <c r="AG725" s="1113"/>
      <c r="AH725" s="1114"/>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4"/>
      <c r="H726" s="1125"/>
      <c r="I726" s="1125"/>
      <c r="J726" s="1126"/>
      <c r="K726" s="1183"/>
      <c r="L726" s="1183"/>
      <c r="M726" s="1183"/>
      <c r="N726" s="1183"/>
      <c r="O726" s="1183"/>
      <c r="P726" s="1123">
        <f t="shared" si="26"/>
        <v>0</v>
      </c>
      <c r="Q726" s="1123"/>
      <c r="R726" s="1123"/>
      <c r="S726" s="1123"/>
      <c r="T726" s="1123"/>
      <c r="U726" s="1184">
        <v>0</v>
      </c>
      <c r="V726" s="1185"/>
      <c r="W726" s="1185"/>
      <c r="X726" s="1186"/>
      <c r="Y726" s="1123">
        <f>K726+U726</f>
        <v>0</v>
      </c>
      <c r="Z726" s="1123"/>
      <c r="AA726" s="1123"/>
      <c r="AB726" s="1123"/>
      <c r="AC726" s="1123"/>
      <c r="AD726" s="1112">
        <v>0</v>
      </c>
      <c r="AE726" s="1113"/>
      <c r="AF726" s="1113"/>
      <c r="AG726" s="1113"/>
      <c r="AH726" s="1114"/>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4"/>
      <c r="H727" s="1125"/>
      <c r="I727" s="1125"/>
      <c r="J727" s="1126"/>
      <c r="K727" s="1183"/>
      <c r="L727" s="1183"/>
      <c r="M727" s="1183"/>
      <c r="N727" s="1183"/>
      <c r="O727" s="1183"/>
      <c r="P727" s="1123">
        <f t="shared" si="26"/>
        <v>0</v>
      </c>
      <c r="Q727" s="1123"/>
      <c r="R727" s="1123"/>
      <c r="S727" s="1123"/>
      <c r="T727" s="1123"/>
      <c r="U727" s="1184">
        <v>0</v>
      </c>
      <c r="V727" s="1185"/>
      <c r="W727" s="1185"/>
      <c r="X727" s="1186"/>
      <c r="Y727" s="1123">
        <f>K727+U727</f>
        <v>0</v>
      </c>
      <c r="Z727" s="1123"/>
      <c r="AA727" s="1123"/>
      <c r="AB727" s="1123"/>
      <c r="AC727" s="1123"/>
      <c r="AD727" s="1112">
        <v>0</v>
      </c>
      <c r="AE727" s="1113"/>
      <c r="AF727" s="1113"/>
      <c r="AG727" s="1113"/>
      <c r="AH727" s="1114"/>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4"/>
      <c r="H728" s="1125"/>
      <c r="I728" s="1125"/>
      <c r="J728" s="1126"/>
      <c r="K728" s="1183"/>
      <c r="L728" s="1183"/>
      <c r="M728" s="1183"/>
      <c r="N728" s="1183"/>
      <c r="O728" s="1183"/>
      <c r="P728" s="1123">
        <f t="shared" si="26"/>
        <v>0</v>
      </c>
      <c r="Q728" s="1123"/>
      <c r="R728" s="1123"/>
      <c r="S728" s="1123"/>
      <c r="T728" s="1123"/>
      <c r="U728" s="1184">
        <v>0</v>
      </c>
      <c r="V728" s="1185"/>
      <c r="W728" s="1185"/>
      <c r="X728" s="1186"/>
      <c r="Y728" s="1123">
        <f>K728+U728</f>
        <v>0</v>
      </c>
      <c r="Z728" s="1123"/>
      <c r="AA728" s="1123"/>
      <c r="AB728" s="1123"/>
      <c r="AC728" s="1123"/>
      <c r="AD728" s="1112">
        <v>0</v>
      </c>
      <c r="AE728" s="1113"/>
      <c r="AF728" s="1113"/>
      <c r="AG728" s="1113"/>
      <c r="AH728" s="1114"/>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4"/>
      <c r="H729" s="1125"/>
      <c r="I729" s="1125"/>
      <c r="J729" s="1126"/>
      <c r="K729" s="1183"/>
      <c r="L729" s="1183"/>
      <c r="M729" s="1183"/>
      <c r="N729" s="1183"/>
      <c r="O729" s="1183"/>
      <c r="P729" s="1123">
        <f t="shared" si="26"/>
        <v>0</v>
      </c>
      <c r="Q729" s="1123"/>
      <c r="R729" s="1123"/>
      <c r="S729" s="1123"/>
      <c r="T729" s="1123"/>
      <c r="U729" s="1184">
        <v>0</v>
      </c>
      <c r="V729" s="1185"/>
      <c r="W729" s="1185"/>
      <c r="X729" s="1186"/>
      <c r="Y729" s="1123">
        <f t="shared" si="28"/>
        <v>0</v>
      </c>
      <c r="Z729" s="1123"/>
      <c r="AA729" s="1123"/>
      <c r="AB729" s="1123"/>
      <c r="AC729" s="1123"/>
      <c r="AD729" s="1112">
        <v>0</v>
      </c>
      <c r="AE729" s="1113"/>
      <c r="AF729" s="1113"/>
      <c r="AG729" s="1113"/>
      <c r="AH729" s="1114"/>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4"/>
      <c r="H730" s="1125"/>
      <c r="I730" s="1125"/>
      <c r="J730" s="1126"/>
      <c r="K730" s="1183"/>
      <c r="L730" s="1183"/>
      <c r="M730" s="1183"/>
      <c r="N730" s="1183"/>
      <c r="O730" s="1183"/>
      <c r="P730" s="1123">
        <f t="shared" si="26"/>
        <v>0</v>
      </c>
      <c r="Q730" s="1123"/>
      <c r="R730" s="1123"/>
      <c r="S730" s="1123"/>
      <c r="T730" s="1123"/>
      <c r="U730" s="1184">
        <v>0</v>
      </c>
      <c r="V730" s="1185"/>
      <c r="W730" s="1185"/>
      <c r="X730" s="1186"/>
      <c r="Y730" s="1123">
        <f t="shared" si="28"/>
        <v>0</v>
      </c>
      <c r="Z730" s="1123"/>
      <c r="AA730" s="1123"/>
      <c r="AB730" s="1123"/>
      <c r="AC730" s="1123"/>
      <c r="AD730" s="1112">
        <v>0</v>
      </c>
      <c r="AE730" s="1113"/>
      <c r="AF730" s="1113"/>
      <c r="AG730" s="1113"/>
      <c r="AH730" s="1114"/>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4"/>
      <c r="H731" s="1125"/>
      <c r="I731" s="1125"/>
      <c r="J731" s="1126"/>
      <c r="K731" s="1183"/>
      <c r="L731" s="1183"/>
      <c r="M731" s="1183"/>
      <c r="N731" s="1183"/>
      <c r="O731" s="1183"/>
      <c r="P731" s="1123">
        <f t="shared" si="26"/>
        <v>0</v>
      </c>
      <c r="Q731" s="1123"/>
      <c r="R731" s="1123"/>
      <c r="S731" s="1123"/>
      <c r="T731" s="1123"/>
      <c r="U731" s="1184">
        <v>0</v>
      </c>
      <c r="V731" s="1185"/>
      <c r="W731" s="1185"/>
      <c r="X731" s="1186"/>
      <c r="Y731" s="1123">
        <f t="shared" si="28"/>
        <v>0</v>
      </c>
      <c r="Z731" s="1123"/>
      <c r="AA731" s="1123"/>
      <c r="AB731" s="1123"/>
      <c r="AC731" s="1123"/>
      <c r="AD731" s="1112">
        <v>0</v>
      </c>
      <c r="AE731" s="1113"/>
      <c r="AF731" s="1113"/>
      <c r="AG731" s="1113"/>
      <c r="AH731" s="1114"/>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4"/>
      <c r="H732" s="1125"/>
      <c r="I732" s="1125"/>
      <c r="J732" s="1126"/>
      <c r="K732" s="1183"/>
      <c r="L732" s="1183"/>
      <c r="M732" s="1183"/>
      <c r="N732" s="1183"/>
      <c r="O732" s="1183"/>
      <c r="P732" s="1123">
        <f t="shared" si="26"/>
        <v>0</v>
      </c>
      <c r="Q732" s="1123"/>
      <c r="R732" s="1123"/>
      <c r="S732" s="1123"/>
      <c r="T732" s="1123"/>
      <c r="U732" s="1184">
        <v>0</v>
      </c>
      <c r="V732" s="1185"/>
      <c r="W732" s="1185"/>
      <c r="X732" s="1186"/>
      <c r="Y732" s="1123">
        <f t="shared" si="28"/>
        <v>0</v>
      </c>
      <c r="Z732" s="1123"/>
      <c r="AA732" s="1123"/>
      <c r="AB732" s="1123"/>
      <c r="AC732" s="1123"/>
      <c r="AD732" s="1112">
        <v>0</v>
      </c>
      <c r="AE732" s="1113"/>
      <c r="AF732" s="1113"/>
      <c r="AG732" s="1113"/>
      <c r="AH732" s="1114"/>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4"/>
      <c r="H733" s="1125"/>
      <c r="I733" s="1125"/>
      <c r="J733" s="1126"/>
      <c r="K733" s="1183"/>
      <c r="L733" s="1183"/>
      <c r="M733" s="1183"/>
      <c r="N733" s="1183"/>
      <c r="O733" s="1183"/>
      <c r="P733" s="1123">
        <f t="shared" si="26"/>
        <v>0</v>
      </c>
      <c r="Q733" s="1123"/>
      <c r="R733" s="1123"/>
      <c r="S733" s="1123"/>
      <c r="T733" s="1123"/>
      <c r="U733" s="1184">
        <v>0</v>
      </c>
      <c r="V733" s="1185"/>
      <c r="W733" s="1185"/>
      <c r="X733" s="1186"/>
      <c r="Y733" s="1123">
        <f t="shared" si="28"/>
        <v>0</v>
      </c>
      <c r="Z733" s="1123"/>
      <c r="AA733" s="1123"/>
      <c r="AB733" s="1123"/>
      <c r="AC733" s="1123"/>
      <c r="AD733" s="1112">
        <v>0</v>
      </c>
      <c r="AE733" s="1113"/>
      <c r="AF733" s="1113"/>
      <c r="AG733" s="1113"/>
      <c r="AH733" s="1114"/>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29">
        <f>SUM(G709:J733)</f>
        <v>78</v>
      </c>
      <c r="H734" s="1230"/>
      <c r="I734" s="1230"/>
      <c r="J734" s="1231"/>
      <c r="K734" s="1166" t="s">
        <v>131</v>
      </c>
      <c r="L734" s="1167"/>
      <c r="M734" s="1167"/>
      <c r="N734" s="1167"/>
      <c r="O734" s="1168"/>
      <c r="P734" s="1154">
        <f>SUM(P709:T733)</f>
        <v>70501</v>
      </c>
      <c r="Q734" s="1115"/>
      <c r="R734" s="1115"/>
      <c r="S734" s="1115"/>
      <c r="T734" s="1155"/>
      <c r="Y734" s="1237" t="s">
        <v>999</v>
      </c>
      <c r="Z734" s="1238"/>
      <c r="AA734" s="1238"/>
      <c r="AB734" s="1238"/>
      <c r="AC734" s="1239"/>
      <c r="AD734" s="1568">
        <f>AV675</f>
        <v>0.56794871794871793</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642</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8" t="s">
        <v>302</v>
      </c>
      <c r="P750" s="1228"/>
      <c r="Q750" s="1228"/>
      <c r="R750" s="1228"/>
      <c r="S750" s="1228"/>
      <c r="T750" s="1228" t="s">
        <v>492</v>
      </c>
      <c r="U750" s="1228"/>
      <c r="V750" s="1228"/>
      <c r="W750" s="1228"/>
      <c r="X750" s="1228"/>
      <c r="Y750" s="1228" t="s">
        <v>303</v>
      </c>
      <c r="Z750" s="1228"/>
      <c r="AA750" s="1228"/>
      <c r="AB750" s="1228"/>
      <c r="AC750" s="122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8"/>
      <c r="P751" s="1228"/>
      <c r="Q751" s="1228"/>
      <c r="R751" s="1228"/>
      <c r="S751" s="1228"/>
      <c r="T751" s="1228"/>
      <c r="U751" s="1228"/>
      <c r="V751" s="1228"/>
      <c r="W751" s="1228"/>
      <c r="X751" s="1228"/>
      <c r="Y751" s="1228"/>
      <c r="Z751" s="1228"/>
      <c r="AA751" s="1228"/>
      <c r="AB751" s="1228"/>
      <c r="AC751" s="122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8"/>
      <c r="P752" s="1228"/>
      <c r="Q752" s="1228"/>
      <c r="R752" s="1228"/>
      <c r="S752" s="1228"/>
      <c r="T752" s="1228"/>
      <c r="U752" s="1228"/>
      <c r="V752" s="1228"/>
      <c r="W752" s="1228"/>
      <c r="X752" s="1228"/>
      <c r="Y752" s="1228"/>
      <c r="Z752" s="1228"/>
      <c r="AA752" s="1228"/>
      <c r="AB752" s="1228"/>
      <c r="AC752" s="122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8"/>
      <c r="P753" s="1228"/>
      <c r="Q753" s="1228"/>
      <c r="R753" s="1228"/>
      <c r="S753" s="1228"/>
      <c r="T753" s="1228"/>
      <c r="U753" s="1228"/>
      <c r="V753" s="1228"/>
      <c r="W753" s="1228"/>
      <c r="X753" s="1228"/>
      <c r="Y753" s="1228"/>
      <c r="Z753" s="1228"/>
      <c r="AA753" s="1228"/>
      <c r="AB753" s="1228"/>
      <c r="AC753" s="122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347</v>
      </c>
      <c r="K754" s="1170"/>
      <c r="L754" s="1170"/>
      <c r="M754" s="1170"/>
      <c r="N754" s="1171"/>
      <c r="O754" s="1172">
        <v>1</v>
      </c>
      <c r="P754" s="1172"/>
      <c r="Q754" s="1172"/>
      <c r="R754" s="1172"/>
      <c r="S754" s="1172"/>
      <c r="T754" s="1183">
        <f>K712</f>
        <v>1145</v>
      </c>
      <c r="U754" s="1183"/>
      <c r="V754" s="1183"/>
      <c r="W754" s="1183"/>
      <c r="X754" s="1183"/>
      <c r="Y754" s="1123">
        <f>T754*O754</f>
        <v>1145</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7">
        <f>SUM(O754:S757)</f>
        <v>1</v>
      </c>
      <c r="P758" s="1418"/>
      <c r="Q758" s="1418"/>
      <c r="R758" s="1418"/>
      <c r="S758" s="1419"/>
      <c r="T758" s="1410" t="s">
        <v>131</v>
      </c>
      <c r="U758" s="1411"/>
      <c r="V758" s="1411"/>
      <c r="W758" s="1411"/>
      <c r="X758" s="1412"/>
      <c r="Y758" s="1154">
        <f>SUM(Y754:AC757)</f>
        <v>1145</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723</v>
      </c>
      <c r="K760" s="141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8" t="s">
        <v>302</v>
      </c>
      <c r="P764" s="1228"/>
      <c r="Q764" s="1228"/>
      <c r="R764" s="1228"/>
      <c r="S764" s="1228"/>
      <c r="T764" s="1228" t="s">
        <v>492</v>
      </c>
      <c r="U764" s="1228"/>
      <c r="V764" s="1228"/>
      <c r="W764" s="1228"/>
      <c r="X764" s="1228"/>
      <c r="Y764" s="1228" t="s">
        <v>303</v>
      </c>
      <c r="Z764" s="1228"/>
      <c r="AA764" s="1228"/>
      <c r="AB764" s="1228"/>
      <c r="AC764" s="122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8"/>
      <c r="P765" s="1228"/>
      <c r="Q765" s="1228"/>
      <c r="R765" s="1228"/>
      <c r="S765" s="1228"/>
      <c r="T765" s="1228"/>
      <c r="U765" s="1228"/>
      <c r="V765" s="1228"/>
      <c r="W765" s="1228"/>
      <c r="X765" s="1228"/>
      <c r="Y765" s="1228"/>
      <c r="Z765" s="1228"/>
      <c r="AA765" s="1228"/>
      <c r="AB765" s="1228"/>
      <c r="AC765" s="122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8"/>
      <c r="P766" s="1228"/>
      <c r="Q766" s="1228"/>
      <c r="R766" s="1228"/>
      <c r="S766" s="1228"/>
      <c r="T766" s="1228"/>
      <c r="U766" s="1228"/>
      <c r="V766" s="1228"/>
      <c r="W766" s="1228"/>
      <c r="X766" s="1228"/>
      <c r="Y766" s="1228"/>
      <c r="Z766" s="1228"/>
      <c r="AA766" s="1228"/>
      <c r="AB766" s="1228"/>
      <c r="AC766" s="122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8"/>
      <c r="P767" s="1228"/>
      <c r="Q767" s="1228"/>
      <c r="R767" s="1228"/>
      <c r="S767" s="1228"/>
      <c r="T767" s="1228"/>
      <c r="U767" s="1228"/>
      <c r="V767" s="1228"/>
      <c r="W767" s="1228"/>
      <c r="X767" s="1228"/>
      <c r="Y767" s="1228"/>
      <c r="Z767" s="1228"/>
      <c r="AA767" s="1228"/>
      <c r="AB767" s="1228"/>
      <c r="AC767" s="122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09">
        <f>SUM(O768:S777)</f>
        <v>0</v>
      </c>
      <c r="P778" s="1409"/>
      <c r="Q778" s="1409"/>
      <c r="R778" s="1409"/>
      <c r="S778" s="1409"/>
      <c r="T778" s="1410" t="s">
        <v>131</v>
      </c>
      <c r="U778" s="1411"/>
      <c r="V778" s="1411"/>
      <c r="W778" s="1411"/>
      <c r="X778" s="1412"/>
      <c r="Y778" s="1154">
        <f>SUM(Y768:AC777)</f>
        <v>0</v>
      </c>
      <c r="Z778" s="1115"/>
      <c r="AA778" s="1115"/>
      <c r="AB778" s="1115"/>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5" t="s">
        <v>516</v>
      </c>
      <c r="BB779" s="1236"/>
      <c r="BC779" s="58"/>
      <c r="BD779" s="58"/>
      <c r="BE779" s="58"/>
      <c r="BF779" s="51" t="s">
        <v>685</v>
      </c>
      <c r="BG779" s="51"/>
      <c r="BH779" s="51"/>
      <c r="BI779" s="51"/>
      <c r="BJ779" s="51"/>
      <c r="BK779" s="51"/>
      <c r="BL779" s="51"/>
      <c r="BM779" s="51"/>
      <c r="BN779" s="51"/>
      <c r="BO779" s="1232" t="str">
        <f>T191</f>
        <v>Los Angeles</v>
      </c>
      <c r="BP779" s="1233"/>
      <c r="BQ779" s="1233"/>
      <c r="BR779" s="1233"/>
      <c r="BS779" s="1233"/>
      <c r="BT779" s="1233"/>
      <c r="BU779" s="123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71646</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859752</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f>'Subsidy Contract Calculation'!B4+'Subsidy Contract Calculation'!B5+'Subsidy Contract Calculation'!B7</f>
        <v>78</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v>17</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50649</v>
      </c>
      <c r="AA788" s="1213"/>
      <c r="AB788" s="1213"/>
      <c r="AC788" s="1213"/>
      <c r="AD788" s="1213"/>
      <c r="AE788" s="126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511188</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f>35*79*12</f>
        <v>33180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f>34740</f>
        <v>34740</v>
      </c>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f>79000*12*2.5%</f>
        <v>23700</v>
      </c>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c r="Q796" s="1152"/>
      <c r="R796" s="1152"/>
      <c r="S796" s="1152"/>
      <c r="T796" s="1152"/>
      <c r="U796" s="1152"/>
      <c r="V796" s="1152"/>
      <c r="W796" s="1152"/>
      <c r="X796" s="1152"/>
      <c r="Y796" s="1153"/>
      <c r="Z796" s="1140">
        <v>0</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91620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1462560</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49"/>
      <c r="R804" s="1149"/>
      <c r="S804" s="1149"/>
      <c r="T804" s="1149"/>
      <c r="U804" s="1149"/>
      <c r="V804" s="1149"/>
      <c r="W804" s="1149"/>
      <c r="X804" s="1149"/>
      <c r="Y804" s="1149"/>
      <c r="Z804" s="1149"/>
      <c r="AA804" s="1149"/>
      <c r="AB804" s="1149"/>
      <c r="AC804" s="1149"/>
      <c r="AD804" s="1149"/>
      <c r="AE804" s="1149"/>
      <c r="AF804" s="1149"/>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7" t="s">
        <v>45</v>
      </c>
      <c r="D805" s="1298"/>
      <c r="E805" s="1298"/>
      <c r="F805" s="1298"/>
      <c r="G805" s="1298"/>
      <c r="H805" s="1298"/>
      <c r="I805" s="80"/>
      <c r="J805" s="80"/>
      <c r="K805" s="80"/>
      <c r="L805" s="81"/>
      <c r="M805" s="1159" t="str">
        <f>M806</f>
        <v>Owner Paid</v>
      </c>
      <c r="N805" s="1159"/>
      <c r="O805" s="1159"/>
      <c r="P805" s="1159"/>
      <c r="Q805" s="1159"/>
      <c r="R805" s="1159"/>
      <c r="S805" s="1159"/>
      <c r="T805" s="1159"/>
      <c r="U805" s="1159"/>
      <c r="V805" s="1159"/>
      <c r="W805" s="1159"/>
      <c r="X805" s="1159"/>
      <c r="Y805" s="1159"/>
      <c r="Z805" s="1159"/>
      <c r="AA805" s="1159"/>
      <c r="AB805" s="1159"/>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62" t="s">
        <v>1716</v>
      </c>
      <c r="N806" s="1159"/>
      <c r="O806" s="1159"/>
      <c r="P806" s="1159"/>
      <c r="Q806" s="1159"/>
      <c r="R806" s="1159"/>
      <c r="S806" s="1159"/>
      <c r="T806" s="1159"/>
      <c r="U806" s="1159"/>
      <c r="V806" s="1159"/>
      <c r="W806" s="1159"/>
      <c r="X806" s="1159"/>
      <c r="Y806" s="1159"/>
      <c r="Z806" s="1159"/>
      <c r="AA806" s="1159"/>
      <c r="AB806" s="1159"/>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t="str">
        <f>M806</f>
        <v>Owner Paid</v>
      </c>
      <c r="N807" s="1159"/>
      <c r="O807" s="1159"/>
      <c r="P807" s="1159"/>
      <c r="Q807" s="1159"/>
      <c r="R807" s="1159"/>
      <c r="S807" s="1159"/>
      <c r="T807" s="1159"/>
      <c r="U807" s="1159"/>
      <c r="V807" s="1159"/>
      <c r="W807" s="1159"/>
      <c r="X807" s="1159"/>
      <c r="Y807" s="1159"/>
      <c r="Z807" s="1159"/>
      <c r="AA807" s="1159"/>
      <c r="AB807" s="1159"/>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61"/>
      <c r="E808" s="1161"/>
      <c r="F808" s="1161"/>
      <c r="G808" s="1161"/>
      <c r="H808" s="1161"/>
      <c r="I808" s="96"/>
      <c r="J808" s="96"/>
      <c r="K808" s="96"/>
      <c r="L808" s="97"/>
      <c r="M808" s="1162" t="str">
        <f>M807</f>
        <v>Owner Paid</v>
      </c>
      <c r="N808" s="1159"/>
      <c r="O808" s="1159"/>
      <c r="P808" s="1159"/>
      <c r="Q808" s="1159"/>
      <c r="R808" s="1159"/>
      <c r="S808" s="1159"/>
      <c r="T808" s="1159"/>
      <c r="U808" s="1159"/>
      <c r="V808" s="1159"/>
      <c r="W808" s="1159"/>
      <c r="X808" s="1159"/>
      <c r="Y808" s="1159"/>
      <c r="Z808" s="1159"/>
      <c r="AA808" s="1159"/>
      <c r="AB808" s="1159"/>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61"/>
      <c r="E809" s="1161"/>
      <c r="F809" s="1161"/>
      <c r="G809" s="1161"/>
      <c r="H809" s="1161"/>
      <c r="I809" s="96"/>
      <c r="J809" s="96"/>
      <c r="K809" s="96"/>
      <c r="L809" s="97"/>
      <c r="M809" s="1159" t="str">
        <f>M810</f>
        <v>Owner Paid</v>
      </c>
      <c r="N809" s="1159"/>
      <c r="O809" s="1159"/>
      <c r="P809" s="1159"/>
      <c r="Q809" s="1159"/>
      <c r="R809" s="1159"/>
      <c r="S809" s="1159"/>
      <c r="T809" s="1159"/>
      <c r="U809" s="1159"/>
      <c r="V809" s="1159"/>
      <c r="W809" s="1159"/>
      <c r="X809" s="1159"/>
      <c r="Y809" s="1159"/>
      <c r="Z809" s="1159"/>
      <c r="AA809" s="1159"/>
      <c r="AB809" s="1159"/>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61"/>
      <c r="E810" s="1161"/>
      <c r="F810" s="1161"/>
      <c r="G810" s="1161"/>
      <c r="H810" s="1161"/>
      <c r="I810" s="96"/>
      <c r="J810" s="96"/>
      <c r="K810" s="96"/>
      <c r="L810" s="97"/>
      <c r="M810" s="1162" t="s">
        <v>1716</v>
      </c>
      <c r="N810" s="1159"/>
      <c r="O810" s="1159"/>
      <c r="P810" s="1159"/>
      <c r="Q810" s="1159"/>
      <c r="R810" s="1159"/>
      <c r="S810" s="1159"/>
      <c r="T810" s="1159"/>
      <c r="U810" s="1159"/>
      <c r="V810" s="1159"/>
      <c r="W810" s="1159"/>
      <c r="X810" s="1159"/>
      <c r="Y810" s="1159"/>
      <c r="Z810" s="1159"/>
      <c r="AA810" s="1159"/>
      <c r="AB810" s="1159"/>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59"/>
      <c r="N811" s="1159"/>
      <c r="O811" s="1159"/>
      <c r="P811" s="1159"/>
      <c r="Q811" s="1159"/>
      <c r="R811" s="1159"/>
      <c r="S811" s="1159"/>
      <c r="T811" s="1159"/>
      <c r="U811" s="1159"/>
      <c r="V811" s="1159"/>
      <c r="W811" s="1159"/>
      <c r="X811" s="1159"/>
      <c r="Y811" s="1159"/>
      <c r="Z811" s="1159"/>
      <c r="AA811" s="1159"/>
      <c r="AB811" s="1159"/>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0</v>
      </c>
      <c r="R812" s="1194"/>
      <c r="S812" s="1194"/>
      <c r="T812" s="1194"/>
      <c r="U812" s="1194">
        <f>SUM(U805:X811)</f>
        <v>0</v>
      </c>
      <c r="V812" s="1194"/>
      <c r="W812" s="1194"/>
      <c r="X812" s="1194"/>
      <c r="Y812" s="1194">
        <f>SUM(Y805:AB811)</f>
        <v>0</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1717</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v>1200</v>
      </c>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413">
        <v>3750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7500</v>
      </c>
      <c r="X824" s="1227"/>
      <c r="Y824" s="1227"/>
      <c r="Z824" s="1227"/>
      <c r="AA824" s="1227"/>
      <c r="AB824" s="1227"/>
      <c r="AC824" s="1227"/>
      <c r="AD824" s="12"/>
      <c r="AE824" s="12"/>
      <c r="AF824" s="12"/>
      <c r="AG824" s="12"/>
      <c r="AH824" s="12"/>
      <c r="AI824" s="12"/>
      <c r="AJ824" s="12"/>
      <c r="AK824" s="12"/>
      <c r="AL824" s="12"/>
      <c r="AS824" s="21"/>
      <c r="AT824" s="56"/>
      <c r="AV824" s="1148">
        <f>ROUNDDOWN(AP908*2,2)</f>
        <v>0</v>
      </c>
      <c r="AW824" s="1148"/>
      <c r="AX824" s="1148"/>
      <c r="AY824" s="114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v>3600</v>
      </c>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357</v>
      </c>
      <c r="N826" s="1164"/>
      <c r="O826" s="1164"/>
      <c r="P826" s="1164"/>
      <c r="Q826" s="1164"/>
      <c r="R826" s="1164"/>
      <c r="S826" s="1164"/>
      <c r="T826" s="1164"/>
      <c r="U826" s="1164"/>
      <c r="V826" s="1165"/>
      <c r="W826" s="1227"/>
      <c r="X826" s="1227"/>
      <c r="Y826" s="1227"/>
      <c r="Z826" s="1227"/>
      <c r="AA826" s="1227"/>
      <c r="AB826" s="1227"/>
      <c r="AC826" s="122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16050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0">
        <f>79000*0.65</f>
        <v>51350</v>
      </c>
      <c r="X829" s="1141"/>
      <c r="Y829" s="1141"/>
      <c r="Z829" s="1141"/>
      <c r="AA829" s="1141"/>
      <c r="AB829" s="1141"/>
      <c r="AC829" s="114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1">
        <v>60000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1">
        <v>49500</v>
      </c>
      <c r="X834" s="1381"/>
      <c r="Y834" s="1381"/>
      <c r="Z834" s="1381"/>
      <c r="AA834" s="1381"/>
      <c r="AB834" s="1381"/>
      <c r="AC834" s="1381"/>
      <c r="AD834" s="12"/>
      <c r="AE834" s="12"/>
      <c r="AF834" s="12"/>
      <c r="AG834" s="12"/>
      <c r="AH834" s="12"/>
      <c r="AI834" s="12"/>
      <c r="AJ834" s="12"/>
      <c r="AK834" s="12"/>
      <c r="AL834" s="12"/>
      <c r="AM834" s="1408">
        <f>SUM(AM801:AM829)</f>
        <v>7.5000000000000011E-2</v>
      </c>
      <c r="AN834" s="140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109500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2">
        <v>34500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2">
        <v>22000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4" t="s">
        <v>1718</v>
      </c>
      <c r="N839" s="1164"/>
      <c r="O839" s="1164"/>
      <c r="P839" s="1164"/>
      <c r="Q839" s="1164"/>
      <c r="R839" s="1164"/>
      <c r="S839" s="1164"/>
      <c r="T839" s="1164"/>
      <c r="U839" s="1164"/>
      <c r="V839" s="1165"/>
      <c r="W839" s="1382">
        <f>5472+4104+4788</f>
        <v>14364</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70864</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v>36500</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7">
        <v>9600</v>
      </c>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7">
        <v>8400</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7">
        <v>12400</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7">
        <v>7800</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7"/>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7">
        <v>9600</v>
      </c>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4" t="s">
        <v>1719</v>
      </c>
      <c r="N849" s="1164"/>
      <c r="O849" s="1164"/>
      <c r="P849" s="1164"/>
      <c r="Q849" s="1164"/>
      <c r="R849" s="1164"/>
      <c r="S849" s="1164"/>
      <c r="T849" s="1164"/>
      <c r="U849" s="1164"/>
      <c r="V849" s="1165"/>
      <c r="W849" s="1227">
        <v>6200</v>
      </c>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54000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24" t="s">
        <v>1720</v>
      </c>
      <c r="N852" s="1164"/>
      <c r="O852" s="1164"/>
      <c r="P852" s="1164"/>
      <c r="Q852" s="1164"/>
      <c r="R852" s="1164"/>
      <c r="S852" s="1164"/>
      <c r="T852" s="1164"/>
      <c r="U852" s="1164"/>
      <c r="V852" s="1165"/>
      <c r="W852" s="1140">
        <v>9500</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24" t="s">
        <v>1721</v>
      </c>
      <c r="N853" s="1164"/>
      <c r="O853" s="1164"/>
      <c r="P853" s="1164"/>
      <c r="Q853" s="1164"/>
      <c r="R853" s="1164"/>
      <c r="S853" s="1164"/>
      <c r="T853" s="1164"/>
      <c r="U853" s="1164"/>
      <c r="V853" s="1165"/>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4" t="s">
        <v>162</v>
      </c>
      <c r="N854" s="1164"/>
      <c r="O854" s="1164"/>
      <c r="P854" s="1164"/>
      <c r="Q854" s="1164"/>
      <c r="R854" s="1164"/>
      <c r="S854" s="1164"/>
      <c r="T854" s="1164"/>
      <c r="U854" s="1164"/>
      <c r="V854" s="1165"/>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4" t="s">
        <v>1722</v>
      </c>
      <c r="N855" s="1164"/>
      <c r="O855" s="1164"/>
      <c r="P855" s="1164"/>
      <c r="Q855" s="1164"/>
      <c r="R855" s="1164"/>
      <c r="S855" s="1164"/>
      <c r="T855" s="1164"/>
      <c r="U855" s="1164"/>
      <c r="V855" s="1165"/>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9500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347764</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5">
        <f>O778+O758+G734</f>
        <v>79</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8">
        <f>IF(ISERROR((ROUNDDOWN(AC861/AC862,0))),0,(ROUNDDOWN(AC861/AC862,0)))</f>
        <v>4402</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v>315654</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2">
        <v>0</v>
      </c>
      <c r="AD865" s="1227"/>
      <c r="AE865" s="1227"/>
      <c r="AF865" s="1227"/>
      <c r="AG865" s="1227"/>
      <c r="AH865" s="122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0"/>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27650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7800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1066</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7"/>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1066</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7"/>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v>510000</v>
      </c>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v>25500</v>
      </c>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f>AB619</f>
        <v>421304</v>
      </c>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63196</v>
      </c>
      <c r="AA877" s="1209"/>
      <c r="AB877" s="1209"/>
      <c r="AC877" s="1209"/>
      <c r="AD877" s="1209"/>
      <c r="AE877" s="1210"/>
      <c r="AM877" s="61"/>
      <c r="AO877" s="52" t="s">
        <v>180</v>
      </c>
      <c r="AP877" s="177">
        <v>20</v>
      </c>
      <c r="AQ877" s="1138">
        <f>IF(AD955&gt;0,0.2,0)</f>
        <v>0.2</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0.1</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39">
        <f>IF(AD988&gt;0,0.1,0)</f>
        <v>0.1</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8">
        <f>SUM(AQ877:AQ885)</f>
        <v>0.4</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0.30000000000000004</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874</v>
      </c>
      <c r="G890" s="1394"/>
      <c r="H890" s="1394"/>
      <c r="I890" s="1394"/>
      <c r="J890" s="1394"/>
      <c r="K890" s="1394"/>
      <c r="L890" s="1394"/>
      <c r="M890" s="1394"/>
      <c r="N890" s="1394"/>
      <c r="O890" s="1394"/>
      <c r="P890" s="1394"/>
      <c r="Q890" s="1394"/>
      <c r="R890" s="1394"/>
      <c r="S890" s="1394"/>
      <c r="T890" s="1395"/>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903</v>
      </c>
      <c r="G891" s="1333"/>
      <c r="H891" s="1333"/>
      <c r="I891" s="1333"/>
      <c r="J891" s="1333"/>
      <c r="K891" s="1333"/>
      <c r="L891" s="1333"/>
      <c r="M891" s="1333"/>
      <c r="N891" s="1333"/>
      <c r="O891" s="1333"/>
      <c r="P891" s="1333"/>
      <c r="Q891" s="1333"/>
      <c r="R891" s="1333"/>
      <c r="S891" s="1333"/>
      <c r="T891" s="1553"/>
      <c r="U891" s="1332"/>
      <c r="V891" s="1333"/>
      <c r="W891" s="1333"/>
      <c r="X891" s="1333"/>
      <c r="Y891" s="1333"/>
      <c r="Z891" s="1333"/>
      <c r="AA891" s="74"/>
      <c r="AB891" s="57"/>
      <c r="AC891" s="57"/>
      <c r="AD891" s="57"/>
      <c r="AE891" s="57"/>
      <c r="AF891" s="167"/>
      <c r="AM891" s="61"/>
      <c r="AN891" s="332">
        <f>IF(SUM(AN926:AN934)&lt;=0.1,SUM(AN926:AN934),0.1)</f>
        <v>0.1</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54"/>
      <c r="U892" s="1334"/>
      <c r="V892" s="1335"/>
      <c r="W892" s="1335"/>
      <c r="X892" s="1335"/>
      <c r="Y892" s="1335"/>
      <c r="Z892" s="1335"/>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3" t="s">
        <v>592</v>
      </c>
      <c r="V893" s="1224"/>
      <c r="W893" s="1224"/>
      <c r="X893" s="1224"/>
      <c r="Y893" s="1224"/>
      <c r="Z893" s="1225"/>
      <c r="AA893" s="1187">
        <f>AE545</f>
        <v>29500000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3" t="s">
        <v>723</v>
      </c>
      <c r="V894" s="1224"/>
      <c r="W894" s="1224"/>
      <c r="X894" s="1224"/>
      <c r="Y894" s="1224"/>
      <c r="Z894" s="1225"/>
      <c r="AA894" s="1187">
        <f>AE546</f>
        <v>11650450</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3" t="s">
        <v>642</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3" t="s">
        <v>642</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3" t="s">
        <v>642</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3" t="s">
        <v>642</v>
      </c>
      <c r="V898" s="1224"/>
      <c r="W898" s="1224"/>
      <c r="X898" s="1224"/>
      <c r="Y898" s="1224"/>
      <c r="Z898" s="1225"/>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3" t="s">
        <v>642</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3" t="s">
        <v>642</v>
      </c>
      <c r="V900" s="1224"/>
      <c r="W900" s="1224"/>
      <c r="X900" s="1224"/>
      <c r="Y900" s="1224"/>
      <c r="Z900" s="1225"/>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3" t="s">
        <v>642</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3" t="s">
        <v>642</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3" t="s">
        <v>642</v>
      </c>
      <c r="V903" s="1224"/>
      <c r="W903" s="1224"/>
      <c r="X903" s="1224"/>
      <c r="Y903" s="1224"/>
      <c r="Z903" s="1225"/>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3" t="s">
        <v>642</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3" t="s">
        <v>642</v>
      </c>
      <c r="V905" s="1224"/>
      <c r="W905" s="1224"/>
      <c r="X905" s="1224"/>
      <c r="Y905" s="1224"/>
      <c r="Z905" s="1225"/>
      <c r="AA905" s="1187"/>
      <c r="AB905" s="1188"/>
      <c r="AC905" s="1188"/>
      <c r="AD905" s="1188"/>
      <c r="AE905" s="1188"/>
      <c r="AF905" s="1189"/>
      <c r="AM905" s="1403">
        <f>G734+O778</f>
        <v>78</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3" t="s">
        <v>642</v>
      </c>
      <c r="V906" s="1224"/>
      <c r="W906" s="1224"/>
      <c r="X906" s="1224"/>
      <c r="Y906" s="1224"/>
      <c r="Z906" s="1225"/>
      <c r="AA906" s="1187"/>
      <c r="AB906" s="1188"/>
      <c r="AC906" s="1188"/>
      <c r="AD906" s="1188"/>
      <c r="AE906" s="1188"/>
      <c r="AF906" s="1189"/>
      <c r="AM906" s="52"/>
      <c r="AN906" s="21"/>
      <c r="AO906" s="1378">
        <f>ROUNDDOWN(X999/I999,2)</f>
        <v>0.08</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3" t="s">
        <v>642</v>
      </c>
      <c r="V907" s="1224"/>
      <c r="W907" s="1224"/>
      <c r="X907" s="1224"/>
      <c r="Y907" s="1224"/>
      <c r="Z907" s="1225"/>
      <c r="AA907" s="1187"/>
      <c r="AB907" s="1188"/>
      <c r="AC907" s="1188"/>
      <c r="AD907" s="1188"/>
      <c r="AE907" s="1188"/>
      <c r="AF907" s="1189"/>
      <c r="AM907" s="52"/>
      <c r="AN907" s="52"/>
      <c r="AO907" s="1357">
        <f>ROUNDDOWN(X1003/I1003,2)</f>
        <v>0.41</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3" t="s">
        <v>723</v>
      </c>
      <c r="Q908" s="1224"/>
      <c r="R908" s="1224"/>
      <c r="S908" s="1224"/>
      <c r="T908" s="1225"/>
      <c r="U908" s="1223" t="s">
        <v>642</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357</v>
      </c>
      <c r="J909" s="1385"/>
      <c r="K909" s="1385"/>
      <c r="L909" s="1385"/>
      <c r="M909" s="1385"/>
      <c r="N909" s="1385"/>
      <c r="O909" s="1385"/>
      <c r="P909" s="1385"/>
      <c r="Q909" s="1385"/>
      <c r="R909" s="1385"/>
      <c r="S909" s="1385"/>
      <c r="T909" s="1386"/>
      <c r="U909" s="1223" t="s">
        <v>642</v>
      </c>
      <c r="V909" s="1224"/>
      <c r="W909" s="1224"/>
      <c r="X909" s="1224"/>
      <c r="Y909" s="1224"/>
      <c r="Z909" s="1225"/>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7" t="s">
        <v>357</v>
      </c>
      <c r="J910" s="1152"/>
      <c r="K910" s="1152"/>
      <c r="L910" s="1152"/>
      <c r="M910" s="1152"/>
      <c r="N910" s="1152"/>
      <c r="O910" s="1152"/>
      <c r="P910" s="1152"/>
      <c r="Q910" s="1152"/>
      <c r="R910" s="1152"/>
      <c r="S910" s="1152"/>
      <c r="T910" s="1153"/>
      <c r="U910" s="1223" t="s">
        <v>642</v>
      </c>
      <c r="V910" s="1224"/>
      <c r="W910" s="1224"/>
      <c r="X910" s="1224"/>
      <c r="Y910" s="1224"/>
      <c r="Z910" s="1225"/>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1" t="s">
        <v>1774</v>
      </c>
      <c r="J911" s="1152"/>
      <c r="K911" s="1152"/>
      <c r="L911" s="1152"/>
      <c r="M911" s="1152"/>
      <c r="N911" s="1152"/>
      <c r="O911" s="1152"/>
      <c r="P911" s="1152"/>
      <c r="Q911" s="1152"/>
      <c r="R911" s="1152"/>
      <c r="S911" s="1152"/>
      <c r="T911" s="1153"/>
      <c r="U911" s="1223" t="s">
        <v>592</v>
      </c>
      <c r="V911" s="1224"/>
      <c r="W911" s="1224"/>
      <c r="X911" s="1224"/>
      <c r="Y911" s="1224"/>
      <c r="Z911" s="1225"/>
      <c r="AA911" s="1187">
        <f>AE547</f>
        <v>14644748</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1" t="s">
        <v>1775</v>
      </c>
      <c r="J912" s="1152"/>
      <c r="K912" s="1152"/>
      <c r="L912" s="1152"/>
      <c r="M912" s="1152"/>
      <c r="N912" s="1152"/>
      <c r="O912" s="1152"/>
      <c r="P912" s="1152"/>
      <c r="Q912" s="1152"/>
      <c r="R912" s="1152"/>
      <c r="S912" s="1152"/>
      <c r="T912" s="1153"/>
      <c r="U912" s="1223" t="s">
        <v>592</v>
      </c>
      <c r="V912" s="1224"/>
      <c r="W912" s="1224"/>
      <c r="X912" s="1224"/>
      <c r="Y912" s="1224"/>
      <c r="Z912" s="1225"/>
      <c r="AA912" s="1187">
        <f>AE549</f>
        <v>4201726.834999999</v>
      </c>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7">
        <v>44075</v>
      </c>
      <c r="N917" s="1213"/>
      <c r="O917" s="1213"/>
      <c r="P917" s="1213"/>
      <c r="Q917" s="1213"/>
      <c r="R917" s="1213"/>
      <c r="S917" s="1268"/>
      <c r="U917" s="103" t="s">
        <v>11</v>
      </c>
      <c r="V917" s="77"/>
      <c r="W917" s="77"/>
      <c r="X917" s="77"/>
      <c r="Y917" s="77"/>
      <c r="Z917" s="77"/>
      <c r="AA917" s="77"/>
      <c r="AB917" s="77"/>
      <c r="AC917" s="77"/>
      <c r="AD917" s="78"/>
      <c r="AE917" s="1267"/>
      <c r="AF917" s="1213"/>
      <c r="AG917" s="1213"/>
      <c r="AH917" s="1213"/>
      <c r="AI917" s="1213"/>
      <c r="AJ917" s="1213"/>
      <c r="AK917" s="126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1723</v>
      </c>
      <c r="N918" s="1349"/>
      <c r="O918" s="1349"/>
      <c r="P918" s="1349"/>
      <c r="Q918" s="1349"/>
      <c r="R918" s="1349"/>
      <c r="S918" s="1350"/>
      <c r="U918" s="103" t="s">
        <v>12</v>
      </c>
      <c r="V918" s="77"/>
      <c r="W918" s="77"/>
      <c r="X918" s="77"/>
      <c r="Y918" s="77"/>
      <c r="Z918" s="77"/>
      <c r="AA918" s="77"/>
      <c r="AB918" s="77"/>
      <c r="AC918" s="77"/>
      <c r="AD918" s="78"/>
      <c r="AE918" s="1348"/>
      <c r="AF918" s="1349"/>
      <c r="AG918" s="1349"/>
      <c r="AH918" s="1349"/>
      <c r="AI918" s="1349"/>
      <c r="AJ918" s="1349"/>
      <c r="AK918" s="135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1" t="s">
        <v>1724</v>
      </c>
      <c r="K919" s="1372"/>
      <c r="L919" s="1372"/>
      <c r="M919" s="1372"/>
      <c r="N919" s="1372"/>
      <c r="O919" s="1372"/>
      <c r="P919" s="1372"/>
      <c r="Q919" s="1372"/>
      <c r="R919" s="1372"/>
      <c r="S919" s="1373"/>
      <c r="U919" s="103" t="s">
        <v>975</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v>1</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v>78</v>
      </c>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511188</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M922*M924</f>
        <v>8690196</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2">
        <v>17</v>
      </c>
      <c r="N924" s="1343"/>
      <c r="O924" s="1343"/>
      <c r="P924" s="1343"/>
      <c r="Q924" s="1343"/>
      <c r="R924" s="1343"/>
      <c r="S924" s="1344"/>
      <c r="U924" s="103" t="s">
        <v>621</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4"/>
      <c r="N929" s="1205"/>
      <c r="O929" s="1205"/>
      <c r="P929" s="1205"/>
      <c r="Q929" s="1205"/>
      <c r="R929" s="1205"/>
      <c r="S929" s="1206"/>
      <c r="T929" s="103" t="s">
        <v>872</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4"/>
      <c r="N930" s="1205"/>
      <c r="O930" s="1205"/>
      <c r="P930" s="1205"/>
      <c r="Q930" s="1205"/>
      <c r="R930" s="1205"/>
      <c r="S930" s="1206"/>
      <c r="T930" s="103" t="s">
        <v>871</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5" t="s">
        <v>642</v>
      </c>
      <c r="N931" s="1366"/>
      <c r="O931" s="1366"/>
      <c r="P931" s="1366"/>
      <c r="Q931" s="1366"/>
      <c r="R931" s="1366"/>
      <c r="S931" s="1367"/>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0.01</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0.02</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4" t="s">
        <v>329</v>
      </c>
      <c r="N934" s="1355"/>
      <c r="O934" s="1355"/>
      <c r="P934" s="1355"/>
      <c r="Q934" s="1355"/>
      <c r="R934" s="1355"/>
      <c r="S934" s="1356"/>
      <c r="T934" s="1325"/>
      <c r="U934" s="1326"/>
      <c r="V934" s="1326"/>
      <c r="W934" s="1326"/>
      <c r="X934" s="1326"/>
      <c r="Y934" s="1326"/>
      <c r="Z934" s="1327"/>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4"/>
      <c r="N935" s="1205"/>
      <c r="O935" s="1205"/>
      <c r="P935" s="1205"/>
      <c r="Q935" s="1205"/>
      <c r="R935" s="1205"/>
      <c r="S935" s="1206"/>
      <c r="T935" s="1325"/>
      <c r="U935" s="1326"/>
      <c r="V935" s="1326"/>
      <c r="W935" s="1326"/>
      <c r="X935" s="1326"/>
      <c r="Y935" s="1326"/>
      <c r="Z935" s="1327"/>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5" t="s">
        <v>723</v>
      </c>
      <c r="P936" s="1296"/>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7" t="s">
        <v>36</v>
      </c>
      <c r="G937" s="1298"/>
      <c r="H937" s="1298"/>
      <c r="I937" s="1298"/>
      <c r="J937" s="1298"/>
      <c r="K937" s="1298"/>
      <c r="L937" s="1298"/>
      <c r="M937" s="1204"/>
      <c r="N937" s="1205"/>
      <c r="O937" s="1205"/>
      <c r="P937" s="1205"/>
      <c r="Q937" s="1205"/>
      <c r="R937" s="1205"/>
      <c r="S937" s="1206"/>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595</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3" t="s">
        <v>689</v>
      </c>
      <c r="C946" s="1363"/>
      <c r="D946" s="1363"/>
      <c r="E946" s="1363"/>
      <c r="F946" s="1363"/>
      <c r="G946" s="1363"/>
      <c r="H946" s="1363"/>
      <c r="I946" s="1363"/>
      <c r="J946" s="1363"/>
      <c r="K946" s="1363"/>
      <c r="L946" s="1363" t="s">
        <v>690</v>
      </c>
      <c r="M946" s="1363"/>
      <c r="N946" s="1363"/>
      <c r="O946" s="1363"/>
      <c r="P946" s="1363"/>
      <c r="Q946" s="1363"/>
      <c r="R946" s="1363"/>
      <c r="S946" s="1363"/>
      <c r="T946" s="1363"/>
      <c r="U946" s="1363"/>
      <c r="V946" s="1363" t="s">
        <v>691</v>
      </c>
      <c r="W946" s="1363"/>
      <c r="X946" s="1363"/>
      <c r="Y946" s="1363"/>
      <c r="Z946" s="1363"/>
      <c r="AA946" s="1363"/>
      <c r="AB946" s="1363"/>
      <c r="AC946" s="1363"/>
      <c r="AD946" s="1374" t="s">
        <v>692</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684</v>
      </c>
      <c r="C947" s="1203"/>
      <c r="D947" s="1203"/>
      <c r="E947" s="1203"/>
      <c r="F947" s="1203"/>
      <c r="G947" s="1203"/>
      <c r="H947" s="1203"/>
      <c r="I947" s="1203"/>
      <c r="J947" s="1203"/>
      <c r="K947" s="1203"/>
      <c r="L947" s="1339">
        <f>IF(ISNA(IF($BA$779="4%",(INDEX($BC$789:$BG$846,MATCH($BO$779,$BB$789:$BB$846,0),MATCH(B947,$BC$788:$BG$788,0))),(INDEX($BJ$789:$BN$846,MATCH($BO$779,$BI$789:$BI$846,0),MATCH(B947,$BJ$788:$BN$788,0))))),0,IF($BA$779="4%",(INDEX($BC$789:$BG$846,MATCH($BO$779,$BB$789:$BB$846,0),MATCH(B947,$BC$788:$BG$788,0))),(INDEX($BJ$789:$BN$846,MATCH($BO$779,$BI$789:$BI$846,0),MATCH(B947,$BJ$788:$BN$788,0)))))</f>
        <v>293352</v>
      </c>
      <c r="M947" s="1340"/>
      <c r="N947" s="1340"/>
      <c r="O947" s="1340"/>
      <c r="P947" s="1340"/>
      <c r="Q947" s="1340"/>
      <c r="R947" s="1340"/>
      <c r="S947" s="1340"/>
      <c r="T947" s="1340"/>
      <c r="U947" s="1341"/>
      <c r="V947" s="1370">
        <f>BA635</f>
        <v>79</v>
      </c>
      <c r="W947" s="1370"/>
      <c r="X947" s="1370"/>
      <c r="Y947" s="1370"/>
      <c r="Z947" s="1370"/>
      <c r="AA947" s="1370"/>
      <c r="AB947" s="1370"/>
      <c r="AC947" s="1370"/>
      <c r="AD947" s="1283">
        <f>IF(ISERROR((L947*V947)),0,(L947*V947))</f>
        <v>23174808</v>
      </c>
      <c r="AE947" s="1284"/>
      <c r="AF947" s="1284"/>
      <c r="AG947" s="1284"/>
      <c r="AH947" s="1284"/>
      <c r="AI947" s="1284"/>
      <c r="AJ947" s="1284"/>
      <c r="AK947" s="128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39">
        <f>IF(ISNA(IF($BA$779="4%",(INDEX($BC$789:$BG$846,MATCH($BO$779,$BB$789:$BB$846,0),MATCH(B948,$BC$788:$BG$788,0))),(INDEX($BJ$789:$BN$846,MATCH($BO$779,$BI$789:$BI$846,0),MATCH(B948,$BJ$788:$BN$788,0))))),0,IF($BA$779="4%",(INDEX($BC$789:$BG$846,MATCH($BO$779,$BB$789:$BB$846,0),MATCH(B948,$BC$788:$BG$788,0))),(INDEX($BJ$789:$BN$846,MATCH($BO$779,$BI$789:$BI$846,0),MATCH(B948,$BJ$788:$BN$788,0)))))</f>
        <v>338232</v>
      </c>
      <c r="M948" s="1340"/>
      <c r="N948" s="1340"/>
      <c r="O948" s="1340"/>
      <c r="P948" s="1340"/>
      <c r="Q948" s="1340"/>
      <c r="R948" s="1340"/>
      <c r="S948" s="1340"/>
      <c r="T948" s="1340"/>
      <c r="U948" s="1341"/>
      <c r="V948" s="1370">
        <f>BF635</f>
        <v>0</v>
      </c>
      <c r="W948" s="1370"/>
      <c r="X948" s="1370"/>
      <c r="Y948" s="1370"/>
      <c r="Z948" s="1370"/>
      <c r="AA948" s="1370"/>
      <c r="AB948" s="1370"/>
      <c r="AC948" s="1370"/>
      <c r="AD948" s="1283">
        <f>IF(ISERROR((L948*V948)),0,(L948*V948))</f>
        <v>0</v>
      </c>
      <c r="AE948" s="1284"/>
      <c r="AF948" s="1284"/>
      <c r="AG948" s="1284"/>
      <c r="AH948" s="1284"/>
      <c r="AI948" s="1284"/>
      <c r="AJ948" s="1284"/>
      <c r="AK948" s="128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39">
        <f>IF(ISNA(IF($BA$779="4%",(INDEX($BC$789:$BG$846,MATCH($BO$779,$BB$789:$BB$846,0),MATCH(B949,$BC$788:$BG$788,0))),(INDEX($BJ$789:$BN$846,MATCH($BO$779,$BI$789:$BI$846,0),MATCH(B949,$BJ$788:$BN$788,0))))),0,IF($BA$779="4%",(INDEX($BC$789:$BG$846,MATCH($BO$779,$BB$789:$BB$846,0),MATCH(B949,$BC$788:$BG$788,0))),(INDEX($BJ$789:$BN$846,MATCH($BO$779,$BI$789:$BI$846,0),MATCH(B949,$BJ$788:$BN$788,0)))))</f>
        <v>408000</v>
      </c>
      <c r="M949" s="1340"/>
      <c r="N949" s="1340"/>
      <c r="O949" s="1340"/>
      <c r="P949" s="1340"/>
      <c r="Q949" s="1340"/>
      <c r="R949" s="1340"/>
      <c r="S949" s="1340"/>
      <c r="T949" s="1340"/>
      <c r="U949" s="1341"/>
      <c r="V949" s="1370">
        <f>BK635</f>
        <v>0</v>
      </c>
      <c r="W949" s="1370"/>
      <c r="X949" s="1370"/>
      <c r="Y949" s="1370"/>
      <c r="Z949" s="1370"/>
      <c r="AA949" s="1370"/>
      <c r="AB949" s="1370"/>
      <c r="AC949" s="1370"/>
      <c r="AD949" s="1283">
        <f>IF(ISERROR((L949*V949)),0,(L949*V949))</f>
        <v>0</v>
      </c>
      <c r="AE949" s="1284"/>
      <c r="AF949" s="1284"/>
      <c r="AG949" s="1284"/>
      <c r="AH949" s="1284"/>
      <c r="AI949" s="1284"/>
      <c r="AJ949" s="1284"/>
      <c r="AK949" s="128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39">
        <f>IF(ISNA(IF($BA$779="4%",(INDEX($BC$789:$BG$846,MATCH($BO$779,$BB$789:$BB$846,0),MATCH(B950,$BC$788:$BG$788,0))),(INDEX($BJ$789:$BN$846,MATCH($BO$779,$BI$789:$BI$846,0),MATCH(B950,$BJ$788:$BN$788,0))))),0,IF($BA$779="4%",(INDEX($BC$789:$BG$846,MATCH($BO$779,$BB$789:$BB$846,0),MATCH(B950,$BC$788:$BG$788,0))),(INDEX($BJ$789:$BN$846,MATCH($BO$779,$BI$789:$BI$846,0),MATCH(B950,$BJ$788:$BN$788,0)))))</f>
        <v>522240</v>
      </c>
      <c r="M950" s="1340"/>
      <c r="N950" s="1340"/>
      <c r="O950" s="1340"/>
      <c r="P950" s="1340"/>
      <c r="Q950" s="1340"/>
      <c r="R950" s="1340"/>
      <c r="S950" s="1340"/>
      <c r="T950" s="1340"/>
      <c r="U950" s="1341"/>
      <c r="V950" s="1370">
        <f>BP635</f>
        <v>0</v>
      </c>
      <c r="W950" s="1370"/>
      <c r="X950" s="1370"/>
      <c r="Y950" s="1370"/>
      <c r="Z950" s="1370"/>
      <c r="AA950" s="1370"/>
      <c r="AB950" s="1370"/>
      <c r="AC950" s="1370"/>
      <c r="AD950" s="1283">
        <f>IF(ISERROR((L950*V950)),0,(L950*V950))</f>
        <v>0</v>
      </c>
      <c r="AE950" s="1284"/>
      <c r="AF950" s="1284"/>
      <c r="AG950" s="1284"/>
      <c r="AH950" s="1284"/>
      <c r="AI950" s="1284"/>
      <c r="AJ950" s="1284"/>
      <c r="AK950" s="128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507</v>
      </c>
      <c r="C951" s="1202"/>
      <c r="D951" s="1202"/>
      <c r="E951" s="1202"/>
      <c r="F951" s="1202"/>
      <c r="G951" s="1202"/>
      <c r="H951" s="1202"/>
      <c r="I951" s="1202"/>
      <c r="J951" s="1202"/>
      <c r="K951" s="1202"/>
      <c r="L951" s="1339">
        <f>IF(ISNA(IF($BA$779="4%",(INDEX($BC$789:$BG$846,MATCH($BO$779,$BB$789:$BB$846,0),MATCH(B951,$BC$788:$BG$788,0))),(INDEX($BJ$789:$BN$846,MATCH($BO$779,$BI$789:$BI$846,0),MATCH(B951,$BJ$788:$BN$788,0))))),0,IF($BA$779="4%",(INDEX($BC$789:$BG$846,MATCH($BO$779,$BB$789:$BB$846,0),MATCH(B951,$BC$788:$BG$788,0))),(INDEX($BJ$789:$BN$846,MATCH($BO$779,$BI$789:$BI$846,0),MATCH(B951,$BJ$788:$BN$788,0)))))</f>
        <v>581808</v>
      </c>
      <c r="M951" s="1340"/>
      <c r="N951" s="1340"/>
      <c r="O951" s="1340"/>
      <c r="P951" s="1340"/>
      <c r="Q951" s="1340"/>
      <c r="R951" s="1340"/>
      <c r="S951" s="1340"/>
      <c r="T951" s="1340"/>
      <c r="U951" s="1341"/>
      <c r="V951" s="1370">
        <f>BZ635+BU635</f>
        <v>0</v>
      </c>
      <c r="W951" s="1370"/>
      <c r="X951" s="1370"/>
      <c r="Y951" s="1370"/>
      <c r="Z951" s="1370"/>
      <c r="AA951" s="1370"/>
      <c r="AB951" s="1370"/>
      <c r="AC951" s="1370"/>
      <c r="AD951" s="1283">
        <f>IF(ISERROR((L951*V951)),0,(L951*V951))</f>
        <v>0</v>
      </c>
      <c r="AE951" s="1284"/>
      <c r="AF951" s="1284"/>
      <c r="AG951" s="1284"/>
      <c r="AH951" s="1284"/>
      <c r="AI951" s="1284"/>
      <c r="AJ951" s="1284"/>
      <c r="AK951" s="128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873</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6">
        <f>SUM(V947:AC951)</f>
        <v>79</v>
      </c>
      <c r="W952" s="1397"/>
      <c r="X952" s="1397"/>
      <c r="Y952" s="1397"/>
      <c r="Z952" s="1397"/>
      <c r="AA952" s="1397"/>
      <c r="AB952" s="1397"/>
      <c r="AC952" s="1398"/>
      <c r="AD952" s="1283"/>
      <c r="AE952" s="1284"/>
      <c r="AF952" s="1284"/>
      <c r="AG952" s="1284"/>
      <c r="AH952" s="1284"/>
      <c r="AI952" s="1284"/>
      <c r="AJ952" s="1284"/>
      <c r="AK952" s="128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559</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4">
        <f>SUM(AD947:AK951)</f>
        <v>23174808</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8" t="s">
        <v>720</v>
      </c>
      <c r="AA954" s="1549"/>
      <c r="AB954" s="1549"/>
      <c r="AC954" s="15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8" t="s">
        <v>1483</v>
      </c>
      <c r="E955" s="1249"/>
      <c r="F955" s="1249"/>
      <c r="G955" s="1249"/>
      <c r="H955" s="1249"/>
      <c r="I955" s="1249"/>
      <c r="J955" s="1249"/>
      <c r="K955" s="1249"/>
      <c r="L955" s="1249"/>
      <c r="M955" s="1249"/>
      <c r="N955" s="1249"/>
      <c r="O955" s="1249"/>
      <c r="P955" s="1249"/>
      <c r="Q955" s="1249"/>
      <c r="R955" s="1249"/>
      <c r="S955" s="1249"/>
      <c r="T955" s="1249"/>
      <c r="U955" s="1249"/>
      <c r="V955" s="1249"/>
      <c r="W955" s="1249"/>
      <c r="X955" s="1249"/>
      <c r="Y955" s="1250"/>
      <c r="Z955" s="115"/>
      <c r="AA955" s="1368" t="s">
        <v>592</v>
      </c>
      <c r="AB955" s="1369"/>
      <c r="AC955" s="128"/>
      <c r="AD955" s="1178">
        <f>ROUND(IF(AND(AA955="yes",D957&gt;0),AD953*0.2,0),0)</f>
        <v>4634962</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1" t="s">
        <v>1484</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1" t="s">
        <v>1725</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8" t="s">
        <v>1609</v>
      </c>
      <c r="E958" s="1249"/>
      <c r="F958" s="1249"/>
      <c r="G958" s="1249"/>
      <c r="H958" s="1249"/>
      <c r="I958" s="1249"/>
      <c r="J958" s="1249"/>
      <c r="K958" s="1249"/>
      <c r="L958" s="1249"/>
      <c r="M958" s="1249"/>
      <c r="N958" s="1249"/>
      <c r="O958" s="1249"/>
      <c r="P958" s="1249"/>
      <c r="Q958" s="1249"/>
      <c r="R958" s="1249"/>
      <c r="S958" s="1249"/>
      <c r="T958" s="1249"/>
      <c r="U958" s="1249"/>
      <c r="V958" s="1249"/>
      <c r="W958" s="1249"/>
      <c r="X958" s="1249"/>
      <c r="Y958" s="1250"/>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1606</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242"/>
      <c r="AE964" s="1243"/>
      <c r="AF964" s="1243"/>
      <c r="AG964" s="1243"/>
      <c r="AH964" s="1243"/>
      <c r="AI964" s="1243"/>
      <c r="AJ964" s="1243"/>
      <c r="AK964" s="124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8" t="s">
        <v>1608</v>
      </c>
      <c r="E965" s="1249"/>
      <c r="F965" s="1249"/>
      <c r="G965" s="1249"/>
      <c r="H965" s="1249"/>
      <c r="I965" s="1249"/>
      <c r="J965" s="1249"/>
      <c r="K965" s="1249"/>
      <c r="L965" s="1249"/>
      <c r="M965" s="1249"/>
      <c r="N965" s="1249"/>
      <c r="O965" s="1249"/>
      <c r="P965" s="1249"/>
      <c r="Q965" s="1249"/>
      <c r="R965" s="1249"/>
      <c r="S965" s="1249"/>
      <c r="T965" s="1249"/>
      <c r="U965" s="1249"/>
      <c r="V965" s="1249"/>
      <c r="W965" s="1249"/>
      <c r="X965" s="1249"/>
      <c r="Y965" s="1250"/>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5" t="s">
        <v>1607</v>
      </c>
      <c r="E966" s="1246"/>
      <c r="F966" s="1246"/>
      <c r="G966" s="1246"/>
      <c r="H966" s="1246"/>
      <c r="I966" s="1246"/>
      <c r="J966" s="1246"/>
      <c r="K966" s="1246"/>
      <c r="L966" s="1246"/>
      <c r="M966" s="1246"/>
      <c r="N966" s="1246"/>
      <c r="O966" s="1246"/>
      <c r="P966" s="1246"/>
      <c r="Q966" s="1246"/>
      <c r="R966" s="1246"/>
      <c r="S966" s="1246"/>
      <c r="T966" s="1246"/>
      <c r="U966" s="1246"/>
      <c r="V966" s="1246"/>
      <c r="W966" s="1246"/>
      <c r="X966" s="1246"/>
      <c r="Y966" s="1247"/>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5"/>
      <c r="E967" s="1246"/>
      <c r="F967" s="1246"/>
      <c r="G967" s="1246"/>
      <c r="H967" s="1246"/>
      <c r="I967" s="1246"/>
      <c r="J967" s="1246"/>
      <c r="K967" s="1246"/>
      <c r="L967" s="1246"/>
      <c r="M967" s="1246"/>
      <c r="N967" s="1246"/>
      <c r="O967" s="1246"/>
      <c r="P967" s="1246"/>
      <c r="Q967" s="1246"/>
      <c r="R967" s="1246"/>
      <c r="S967" s="1246"/>
      <c r="T967" s="1246"/>
      <c r="U967" s="1246"/>
      <c r="V967" s="1246"/>
      <c r="W967" s="1246"/>
      <c r="X967" s="1246"/>
      <c r="Y967" s="1247"/>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1"/>
      <c r="E968" s="1252"/>
      <c r="F968" s="1252"/>
      <c r="G968" s="1252"/>
      <c r="H968" s="1252"/>
      <c r="I968" s="1252"/>
      <c r="J968" s="1252"/>
      <c r="K968" s="1252"/>
      <c r="L968" s="1252"/>
      <c r="M968" s="1252"/>
      <c r="N968" s="1252"/>
      <c r="O968" s="1252"/>
      <c r="P968" s="1252"/>
      <c r="Q968" s="1252"/>
      <c r="R968" s="1252"/>
      <c r="S968" s="1252"/>
      <c r="T968" s="1252"/>
      <c r="U968" s="1252"/>
      <c r="V968" s="1252"/>
      <c r="W968" s="1252"/>
      <c r="X968" s="1252"/>
      <c r="Y968" s="1253"/>
      <c r="Z968" s="11"/>
      <c r="AA968" s="11"/>
      <c r="AB968" s="11"/>
      <c r="AC968" s="119"/>
      <c r="AD968" s="1243"/>
      <c r="AE968" s="1243"/>
      <c r="AF968" s="1243"/>
      <c r="AG968" s="1243"/>
      <c r="AH968" s="1243"/>
      <c r="AI968" s="1243"/>
      <c r="AJ968" s="1243"/>
      <c r="AK968" s="1244"/>
      <c r="AL968" s="105"/>
      <c r="AO968" s="61"/>
      <c r="AP968" s="61"/>
      <c r="AQ968" s="61"/>
      <c r="AR968" s="61"/>
      <c r="AS968" s="61"/>
    </row>
    <row r="969" spans="1:96" ht="12.75" customHeight="1">
      <c r="A969" s="51"/>
      <c r="B969" s="120"/>
      <c r="C969" s="121" t="s">
        <v>227</v>
      </c>
      <c r="D969" s="1248" t="s">
        <v>1610</v>
      </c>
      <c r="E969" s="1249"/>
      <c r="F969" s="1249"/>
      <c r="G969" s="1249"/>
      <c r="H969" s="1249"/>
      <c r="I969" s="1249"/>
      <c r="J969" s="1249"/>
      <c r="K969" s="1249"/>
      <c r="L969" s="1249"/>
      <c r="M969" s="1249"/>
      <c r="N969" s="1249"/>
      <c r="O969" s="1249"/>
      <c r="P969" s="1249"/>
      <c r="Q969" s="1249"/>
      <c r="R969" s="1249"/>
      <c r="S969" s="1249"/>
      <c r="T969" s="1249"/>
      <c r="U969" s="1249"/>
      <c r="V969" s="1249"/>
      <c r="W969" s="1249"/>
      <c r="X969" s="1249"/>
      <c r="Y969" s="1250"/>
      <c r="Z969" s="113"/>
      <c r="AA969" s="1240" t="s">
        <v>723</v>
      </c>
      <c r="AB969" s="1241"/>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1" t="s">
        <v>1611</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3"/>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8" t="s">
        <v>1612</v>
      </c>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50"/>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5" t="s">
        <v>1613</v>
      </c>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7"/>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3"/>
      <c r="Z973" s="118"/>
      <c r="AA973" s="11"/>
      <c r="AB973" s="11"/>
      <c r="AC973" s="119"/>
      <c r="AD973" s="1242"/>
      <c r="AE973" s="1243"/>
      <c r="AF973" s="1243"/>
      <c r="AG973" s="1243"/>
      <c r="AH973" s="1243"/>
      <c r="AI973" s="1243"/>
      <c r="AJ973" s="1243"/>
      <c r="AK973" s="1244"/>
      <c r="AL973" s="105"/>
    </row>
    <row r="974" spans="1:96" ht="12.75" customHeight="1">
      <c r="A974" s="51"/>
      <c r="B974" s="120"/>
      <c r="C974" s="121" t="s">
        <v>233</v>
      </c>
      <c r="D974" s="1248" t="s">
        <v>1614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50"/>
      <c r="Z974" s="120"/>
      <c r="AA974" s="1175" t="s">
        <v>592</v>
      </c>
      <c r="AB974" s="1176"/>
      <c r="AC974" s="128"/>
      <c r="AD974" s="1177">
        <f>IF(AA974="yes",AD953*AN891,0)</f>
        <v>2317480.8000000003</v>
      </c>
      <c r="AE974" s="1178"/>
      <c r="AF974" s="1178"/>
      <c r="AG974" s="1178"/>
      <c r="AH974" s="1178"/>
      <c r="AI974" s="1178"/>
      <c r="AJ974" s="1178"/>
      <c r="AK974" s="1179"/>
      <c r="AL974" s="105"/>
    </row>
    <row r="975" spans="1:96" ht="15" customHeight="1">
      <c r="A975" s="51"/>
      <c r="B975" s="113"/>
      <c r="C975" s="114"/>
      <c r="D975" s="1245" t="s">
        <v>1615</v>
      </c>
      <c r="E975" s="1246"/>
      <c r="F975" s="1246"/>
      <c r="G975" s="1246"/>
      <c r="H975" s="1246"/>
      <c r="I975" s="1246"/>
      <c r="J975" s="1246"/>
      <c r="K975" s="1246"/>
      <c r="L975" s="1246"/>
      <c r="M975" s="1246"/>
      <c r="N975" s="1246"/>
      <c r="O975" s="1246"/>
      <c r="P975" s="1246"/>
      <c r="Q975" s="1246"/>
      <c r="R975" s="1246"/>
      <c r="S975" s="1246"/>
      <c r="T975" s="1246"/>
      <c r="U975" s="1246"/>
      <c r="V975" s="1246"/>
      <c r="W975" s="1246"/>
      <c r="X975" s="1246"/>
      <c r="Y975" s="1247"/>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5"/>
      <c r="E976" s="1246"/>
      <c r="F976" s="1246"/>
      <c r="G976" s="1246"/>
      <c r="H976" s="1246"/>
      <c r="I976" s="1246"/>
      <c r="J976" s="1246"/>
      <c r="K976" s="1246"/>
      <c r="L976" s="1246"/>
      <c r="M976" s="1246"/>
      <c r="N976" s="1246"/>
      <c r="O976" s="1246"/>
      <c r="P976" s="1246"/>
      <c r="Q976" s="1246"/>
      <c r="R976" s="1246"/>
      <c r="S976" s="1246"/>
      <c r="T976" s="1246"/>
      <c r="U976" s="1246"/>
      <c r="V976" s="1246"/>
      <c r="W976" s="1246"/>
      <c r="X976" s="1246"/>
      <c r="Y976" s="1247"/>
      <c r="Z976" s="113"/>
      <c r="AA976" s="115"/>
      <c r="AB976" s="115"/>
      <c r="AC976" s="124"/>
      <c r="AD976" s="1180"/>
      <c r="AE976" s="1181"/>
      <c r="AF976" s="1181"/>
      <c r="AG976" s="1181"/>
      <c r="AH976" s="1181"/>
      <c r="AI976" s="1181"/>
      <c r="AJ976" s="1181"/>
      <c r="AK976" s="1182"/>
      <c r="AL976" s="105"/>
    </row>
    <row r="977" spans="1:38" ht="12.75">
      <c r="A977" s="51"/>
      <c r="B977" s="122"/>
      <c r="C977" s="123"/>
      <c r="D977" s="1245"/>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7"/>
      <c r="Z977" s="118"/>
      <c r="AA977" s="11"/>
      <c r="AB977" s="11"/>
      <c r="AC977" s="119"/>
      <c r="AD977" s="1242"/>
      <c r="AE977" s="1243"/>
      <c r="AF977" s="1243"/>
      <c r="AG977" s="1243"/>
      <c r="AH977" s="1243"/>
      <c r="AI977" s="1243"/>
      <c r="AJ977" s="1243"/>
      <c r="AK977" s="1244"/>
      <c r="AL977" s="105"/>
    </row>
    <row r="978" spans="1:38" ht="12.75" customHeight="1">
      <c r="A978" s="51"/>
      <c r="B978" s="120"/>
      <c r="C978" s="121" t="s">
        <v>238</v>
      </c>
      <c r="D978" s="1592" t="s">
        <v>1616</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240" t="s">
        <v>592</v>
      </c>
      <c r="AB978" s="1241"/>
      <c r="AC978" s="51"/>
      <c r="AD978" s="1286">
        <v>3476221</v>
      </c>
      <c r="AE978" s="1287"/>
      <c r="AF978" s="1287"/>
      <c r="AG978" s="1287"/>
      <c r="AH978" s="1287"/>
      <c r="AI978" s="1287"/>
      <c r="AJ978" s="1287"/>
      <c r="AK978" s="1288"/>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08" t="str">
        <f>IF(AA978="yes","Please Select Type and Enter Amount:",0)</f>
        <v>Please Select Type and Enter Amount:</v>
      </c>
      <c r="AA979" s="1308"/>
      <c r="AB979" s="1308"/>
      <c r="AC979" s="1309"/>
      <c r="AD979" s="1289"/>
      <c r="AE979" s="1290"/>
      <c r="AF979" s="1290"/>
      <c r="AG979" s="1290"/>
      <c r="AH979" s="1290"/>
      <c r="AI979" s="1290"/>
      <c r="AJ979" s="1290"/>
      <c r="AK979" s="1291"/>
      <c r="AL979" s="105"/>
    </row>
    <row r="980" spans="1:38" ht="12.75" customHeight="1">
      <c r="A980" s="51"/>
      <c r="B980" s="122"/>
      <c r="C980" s="125"/>
      <c r="D980" s="1245" t="s">
        <v>1617</v>
      </c>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7"/>
      <c r="Z980" s="1310"/>
      <c r="AA980" s="1308"/>
      <c r="AB980" s="1308"/>
      <c r="AC980" s="1309"/>
      <c r="AD980" s="1289"/>
      <c r="AE980" s="1290"/>
      <c r="AF980" s="1290"/>
      <c r="AG980" s="1290"/>
      <c r="AH980" s="1290"/>
      <c r="AI980" s="1290"/>
      <c r="AJ980" s="1290"/>
      <c r="AK980" s="1291"/>
      <c r="AL980" s="105"/>
    </row>
    <row r="981" spans="1:38" s="743" customFormat="1" ht="12.75">
      <c r="A981" s="51"/>
      <c r="B981" s="122"/>
      <c r="C981" s="125"/>
      <c r="D981" s="1245"/>
      <c r="E981" s="1246"/>
      <c r="F981" s="1246"/>
      <c r="G981" s="1246"/>
      <c r="H981" s="1246"/>
      <c r="I981" s="1246"/>
      <c r="J981" s="1246"/>
      <c r="K981" s="1246"/>
      <c r="L981" s="1246"/>
      <c r="M981" s="1246"/>
      <c r="N981" s="1246"/>
      <c r="O981" s="1246"/>
      <c r="P981" s="1246"/>
      <c r="Q981" s="1246"/>
      <c r="R981" s="1246"/>
      <c r="S981" s="1246"/>
      <c r="T981" s="1246"/>
      <c r="U981" s="1246"/>
      <c r="V981" s="1246"/>
      <c r="W981" s="1246"/>
      <c r="X981" s="1246"/>
      <c r="Y981" s="1247"/>
      <c r="Z981" s="1310"/>
      <c r="AA981" s="1308"/>
      <c r="AB981" s="1308"/>
      <c r="AC981" s="1309"/>
      <c r="AD981" s="1289"/>
      <c r="AE981" s="1290"/>
      <c r="AF981" s="1290"/>
      <c r="AG981" s="1290"/>
      <c r="AH981" s="1290"/>
      <c r="AI981" s="1290"/>
      <c r="AJ981" s="1290"/>
      <c r="AK981" s="1291"/>
      <c r="AL981" s="105"/>
    </row>
    <row r="982" spans="1:38" ht="12.75" customHeight="1">
      <c r="A982" s="51"/>
      <c r="B982" s="122"/>
      <c r="C982" s="125"/>
      <c r="D982" s="1245"/>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7"/>
      <c r="Z982" s="1310"/>
      <c r="AA982" s="1308"/>
      <c r="AB982" s="1308"/>
      <c r="AC982" s="1309"/>
      <c r="AD982" s="1289"/>
      <c r="AE982" s="1290"/>
      <c r="AF982" s="1290"/>
      <c r="AG982" s="1290"/>
      <c r="AH982" s="1290"/>
      <c r="AI982" s="1290"/>
      <c r="AJ982" s="1290"/>
      <c r="AK982" s="1291"/>
      <c r="AL982" s="105"/>
    </row>
    <row r="983" spans="1:38" ht="12.75" customHeight="1">
      <c r="A983" s="51"/>
      <c r="B983" s="122"/>
      <c r="C983" s="125"/>
      <c r="D983" s="949" t="s">
        <v>383</v>
      </c>
      <c r="E983" s="136"/>
      <c r="F983" s="136"/>
      <c r="G983" s="163"/>
      <c r="H983" s="7"/>
      <c r="J983" s="1305" t="s">
        <v>1726</v>
      </c>
      <c r="K983" s="1306"/>
      <c r="L983" s="1306"/>
      <c r="M983" s="1306"/>
      <c r="N983" s="1306"/>
      <c r="O983" s="1306"/>
      <c r="P983" s="1306"/>
      <c r="Q983" s="1307"/>
      <c r="R983" s="7"/>
      <c r="S983" s="7"/>
      <c r="T983" s="164"/>
      <c r="U983" s="7"/>
      <c r="V983" s="1345">
        <f>IF(AA978="yes",(AD953*0.15),"")</f>
        <v>3476221.1999999997</v>
      </c>
      <c r="W983" s="1345"/>
      <c r="X983" s="1345"/>
      <c r="Y983" s="1346"/>
      <c r="Z983" s="1280"/>
      <c r="AA983" s="1281"/>
      <c r="AB983" s="1281"/>
      <c r="AC983" s="1282"/>
      <c r="AD983" s="1292"/>
      <c r="AE983" s="1293"/>
      <c r="AF983" s="1293"/>
      <c r="AG983" s="1293"/>
      <c r="AH983" s="1293"/>
      <c r="AI983" s="1293"/>
      <c r="AJ983" s="1293"/>
      <c r="AK983" s="1294"/>
      <c r="AL983" s="105"/>
    </row>
    <row r="984" spans="1:38" ht="12.75" customHeight="1">
      <c r="A984" s="51"/>
      <c r="B984" s="120"/>
      <c r="C984" s="121" t="s">
        <v>244</v>
      </c>
      <c r="D984" s="1248" t="s">
        <v>1618</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50"/>
      <c r="Z984" s="113"/>
      <c r="AA984" s="1240" t="s">
        <v>723</v>
      </c>
      <c r="AB984" s="1241"/>
      <c r="AC984" s="51"/>
      <c r="AD984" s="1286"/>
      <c r="AE984" s="1287"/>
      <c r="AF984" s="1287"/>
      <c r="AG984" s="1287"/>
      <c r="AH984" s="1287"/>
      <c r="AI984" s="1287"/>
      <c r="AJ984" s="1287"/>
      <c r="AK984" s="1288"/>
      <c r="AL984" s="105"/>
    </row>
    <row r="985" spans="1:38" ht="12.75" customHeight="1">
      <c r="A985" s="51"/>
      <c r="B985" s="113"/>
      <c r="C985" s="114"/>
      <c r="D985" s="1245" t="s">
        <v>1619</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7"/>
      <c r="Z985" s="1303">
        <f>IF(AA984="yes","Please Enter Amount:",0)</f>
        <v>0</v>
      </c>
      <c r="AA985" s="1304"/>
      <c r="AB985" s="1304"/>
      <c r="AC985" s="1304"/>
      <c r="AD985" s="1289"/>
      <c r="AE985" s="1290"/>
      <c r="AF985" s="1290"/>
      <c r="AG985" s="1290"/>
      <c r="AH985" s="1290"/>
      <c r="AI985" s="1290"/>
      <c r="AJ985" s="1290"/>
      <c r="AK985" s="1291"/>
      <c r="AL985" s="105"/>
    </row>
    <row r="986" spans="1:38" s="743" customFormat="1" ht="12.75" customHeight="1">
      <c r="A986" s="51"/>
      <c r="B986" s="113"/>
      <c r="C986" s="114"/>
      <c r="D986" s="1245"/>
      <c r="E986" s="1246"/>
      <c r="F986" s="1246"/>
      <c r="G986" s="1246"/>
      <c r="H986" s="1246"/>
      <c r="I986" s="1246"/>
      <c r="J986" s="1246"/>
      <c r="K986" s="1246"/>
      <c r="L986" s="1246"/>
      <c r="M986" s="1246"/>
      <c r="N986" s="1246"/>
      <c r="O986" s="1246"/>
      <c r="P986" s="1246"/>
      <c r="Q986" s="1246"/>
      <c r="R986" s="1246"/>
      <c r="S986" s="1246"/>
      <c r="T986" s="1246"/>
      <c r="U986" s="1246"/>
      <c r="V986" s="1246"/>
      <c r="W986" s="1246"/>
      <c r="X986" s="1246"/>
      <c r="Y986" s="1247"/>
      <c r="Z986" s="1303"/>
      <c r="AA986" s="1304"/>
      <c r="AB986" s="1304"/>
      <c r="AC986" s="1304"/>
      <c r="AD986" s="1289"/>
      <c r="AE986" s="1290"/>
      <c r="AF986" s="1290"/>
      <c r="AG986" s="1290"/>
      <c r="AH986" s="1290"/>
      <c r="AI986" s="1290"/>
      <c r="AJ986" s="1290"/>
      <c r="AK986" s="1291"/>
      <c r="AL986" s="105"/>
    </row>
    <row r="987" spans="1:38" ht="12.75" customHeight="1">
      <c r="A987" s="51"/>
      <c r="B987" s="126"/>
      <c r="C987" s="125"/>
      <c r="D987" s="1251"/>
      <c r="E987" s="1252"/>
      <c r="F987" s="1252"/>
      <c r="G987" s="1252"/>
      <c r="H987" s="1252"/>
      <c r="I987" s="1252"/>
      <c r="J987" s="1252"/>
      <c r="K987" s="1252"/>
      <c r="L987" s="1252"/>
      <c r="M987" s="1252"/>
      <c r="N987" s="1252"/>
      <c r="O987" s="1252"/>
      <c r="P987" s="1252"/>
      <c r="Q987" s="1252"/>
      <c r="R987" s="1252"/>
      <c r="S987" s="1252"/>
      <c r="T987" s="1252"/>
      <c r="U987" s="1252"/>
      <c r="V987" s="1252"/>
      <c r="W987" s="1252"/>
      <c r="X987" s="1252"/>
      <c r="Y987" s="1253"/>
      <c r="Z987" s="1303"/>
      <c r="AA987" s="1304"/>
      <c r="AB987" s="1304"/>
      <c r="AC987" s="1304"/>
      <c r="AD987" s="1292"/>
      <c r="AE987" s="1293"/>
      <c r="AF987" s="1293"/>
      <c r="AG987" s="1293"/>
      <c r="AH987" s="1293"/>
      <c r="AI987" s="1293"/>
      <c r="AJ987" s="1293"/>
      <c r="AK987" s="1294"/>
      <c r="AL987" s="105"/>
    </row>
    <row r="988" spans="1:38" ht="12.75" customHeight="1">
      <c r="A988" s="51"/>
      <c r="B988" s="120"/>
      <c r="C988" s="121" t="s">
        <v>249</v>
      </c>
      <c r="D988" s="1248" t="s">
        <v>1620</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0"/>
      <c r="AA988" s="1175" t="s">
        <v>592</v>
      </c>
      <c r="AB988" s="1176"/>
      <c r="AC988" s="127"/>
      <c r="AD988" s="1177">
        <f>ROUND(IF(AA988="yes",(AD953*0.1),0),0)</f>
        <v>2317481</v>
      </c>
      <c r="AE988" s="1178"/>
      <c r="AF988" s="1178"/>
      <c r="AG988" s="1178"/>
      <c r="AH988" s="1178"/>
      <c r="AI988" s="1178"/>
      <c r="AJ988" s="1178"/>
      <c r="AK988" s="1179"/>
      <c r="AL988" s="105"/>
    </row>
    <row r="989" spans="1:38" s="743" customFormat="1" ht="12.75" customHeight="1">
      <c r="A989" s="51"/>
      <c r="B989" s="113"/>
      <c r="C989" s="114"/>
      <c r="D989" s="1245" t="s">
        <v>1621</v>
      </c>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7"/>
      <c r="Z989" s="113"/>
      <c r="AA989" s="115"/>
      <c r="AB989" s="115"/>
      <c r="AC989" s="115"/>
      <c r="AD989" s="1180"/>
      <c r="AE989" s="1181"/>
      <c r="AF989" s="1181"/>
      <c r="AG989" s="1181"/>
      <c r="AH989" s="1181"/>
      <c r="AI989" s="1181"/>
      <c r="AJ989" s="1181"/>
      <c r="AK989" s="1182"/>
      <c r="AL989" s="105"/>
    </row>
    <row r="990" spans="1:38" ht="12.75">
      <c r="A990" s="51"/>
      <c r="B990" s="113"/>
      <c r="C990" s="114"/>
      <c r="D990" s="1251"/>
      <c r="E990" s="1252"/>
      <c r="F990" s="1252"/>
      <c r="G990" s="1252"/>
      <c r="H990" s="1252"/>
      <c r="I990" s="1252"/>
      <c r="J990" s="1252"/>
      <c r="K990" s="1252"/>
      <c r="L990" s="1252"/>
      <c r="M990" s="1252"/>
      <c r="N990" s="1252"/>
      <c r="O990" s="1252"/>
      <c r="P990" s="1252"/>
      <c r="Q990" s="1252"/>
      <c r="R990" s="1252"/>
      <c r="S990" s="1252"/>
      <c r="T990" s="1252"/>
      <c r="U990" s="1252"/>
      <c r="V990" s="1252"/>
      <c r="W990" s="1252"/>
      <c r="X990" s="1252"/>
      <c r="Y990" s="1253"/>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48" t="s">
        <v>1622</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5" t="s">
        <v>1623</v>
      </c>
      <c r="E992" s="1246"/>
      <c r="F992" s="1246"/>
      <c r="G992" s="1246"/>
      <c r="H992" s="1246"/>
      <c r="I992" s="1246"/>
      <c r="J992" s="1246"/>
      <c r="K992" s="1246"/>
      <c r="L992" s="1246"/>
      <c r="M992" s="1246"/>
      <c r="N992" s="1246"/>
      <c r="O992" s="1246"/>
      <c r="P992" s="1246"/>
      <c r="Q992" s="1246"/>
      <c r="R992" s="1246"/>
      <c r="S992" s="1246"/>
      <c r="T992" s="1246"/>
      <c r="U992" s="1246"/>
      <c r="V992" s="1246"/>
      <c r="W992" s="1246"/>
      <c r="X992" s="1246"/>
      <c r="Y992" s="1247"/>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5"/>
      <c r="E993" s="1246"/>
      <c r="F993" s="1246"/>
      <c r="G993" s="1246"/>
      <c r="H993" s="1246"/>
      <c r="I993" s="1246"/>
      <c r="J993" s="1246"/>
      <c r="K993" s="1246"/>
      <c r="L993" s="1246"/>
      <c r="M993" s="1246"/>
      <c r="N993" s="1246"/>
      <c r="O993" s="1246"/>
      <c r="P993" s="1246"/>
      <c r="Q993" s="1246"/>
      <c r="R993" s="1246"/>
      <c r="S993" s="1246"/>
      <c r="T993" s="1246"/>
      <c r="U993" s="1246"/>
      <c r="V993" s="1246"/>
      <c r="W993" s="1246"/>
      <c r="X993" s="1246"/>
      <c r="Y993" s="1247"/>
      <c r="Z993" s="113"/>
      <c r="AA993" s="115"/>
      <c r="AB993" s="115"/>
      <c r="AC993" s="115"/>
      <c r="AD993" s="552"/>
      <c r="AE993" s="553"/>
      <c r="AF993" s="553"/>
      <c r="AG993" s="553"/>
      <c r="AH993" s="553"/>
      <c r="AI993" s="553"/>
      <c r="AJ993" s="553"/>
      <c r="AK993" s="554"/>
      <c r="AL993" s="105"/>
    </row>
    <row r="994" spans="1:38" ht="12.75" customHeight="1">
      <c r="A994" s="51"/>
      <c r="B994" s="113"/>
      <c r="C994" s="114"/>
      <c r="D994" s="1245"/>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7"/>
      <c r="Z994" s="113"/>
      <c r="AA994" s="115"/>
      <c r="AB994" s="115"/>
      <c r="AC994" s="115"/>
      <c r="AD994" s="552"/>
      <c r="AE994" s="553"/>
      <c r="AF994" s="553"/>
      <c r="AG994" s="553"/>
      <c r="AH994" s="553"/>
      <c r="AI994" s="553"/>
      <c r="AJ994" s="553"/>
      <c r="AK994" s="554"/>
      <c r="AL994" s="105"/>
    </row>
    <row r="995" spans="1:38" ht="12.75" customHeight="1">
      <c r="A995" s="51"/>
      <c r="B995" s="113"/>
      <c r="C995" s="114"/>
      <c r="D995" s="1251"/>
      <c r="E995" s="1252"/>
      <c r="F995" s="1252"/>
      <c r="G995" s="1252"/>
      <c r="H995" s="1252"/>
      <c r="I995" s="1252"/>
      <c r="J995" s="1252"/>
      <c r="K995" s="1252"/>
      <c r="L995" s="1252"/>
      <c r="M995" s="1252"/>
      <c r="N995" s="1252"/>
      <c r="O995" s="1252"/>
      <c r="P995" s="1252"/>
      <c r="Q995" s="1252"/>
      <c r="R995" s="1252"/>
      <c r="S995" s="1252"/>
      <c r="T995" s="1252"/>
      <c r="U995" s="1252"/>
      <c r="V995" s="1252"/>
      <c r="W995" s="1252"/>
      <c r="X995" s="1252"/>
      <c r="Y995" s="125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8" t="s">
        <v>1627</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50"/>
      <c r="Z996" s="120"/>
      <c r="AA996" s="1278" t="str">
        <f>IF(X999&gt;0,"Yes","No")</f>
        <v>Yes</v>
      </c>
      <c r="AB996" s="1279"/>
      <c r="AC996" s="128"/>
      <c r="AD996" s="1269">
        <f>IF((X999=0),"",AO906*AD953)</f>
        <v>1853984.6400000001</v>
      </c>
      <c r="AE996" s="1270"/>
      <c r="AF996" s="1270"/>
      <c r="AG996" s="1270"/>
      <c r="AH996" s="1270"/>
      <c r="AI996" s="1270"/>
      <c r="AJ996" s="1270"/>
      <c r="AK996" s="1271"/>
      <c r="AL996" s="105"/>
    </row>
    <row r="997" spans="1:38" s="743" customFormat="1" ht="12.75" customHeight="1">
      <c r="A997" s="51"/>
      <c r="B997" s="113"/>
      <c r="C997" s="726"/>
      <c r="D997" s="1245" t="s">
        <v>1626</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7"/>
      <c r="Z997" s="113"/>
      <c r="AA997" s="727"/>
      <c r="AB997" s="727"/>
      <c r="AC997" s="124"/>
      <c r="AD997" s="1272"/>
      <c r="AE997" s="1273"/>
      <c r="AF997" s="1273"/>
      <c r="AG997" s="1273"/>
      <c r="AH997" s="1273"/>
      <c r="AI997" s="1273"/>
      <c r="AJ997" s="1273"/>
      <c r="AK997" s="1274"/>
      <c r="AL997" s="105"/>
    </row>
    <row r="998" spans="1:38" ht="12.75" customHeight="1">
      <c r="A998" s="51"/>
      <c r="B998" s="113"/>
      <c r="C998" s="726"/>
      <c r="D998" s="1245"/>
      <c r="E998" s="1246"/>
      <c r="F998" s="1246"/>
      <c r="G998" s="1246"/>
      <c r="H998" s="1246"/>
      <c r="I998" s="1246"/>
      <c r="J998" s="1246"/>
      <c r="K998" s="1246"/>
      <c r="L998" s="1246"/>
      <c r="M998" s="1246"/>
      <c r="N998" s="1246"/>
      <c r="O998" s="1246"/>
      <c r="P998" s="1246"/>
      <c r="Q998" s="1246"/>
      <c r="R998" s="1246"/>
      <c r="S998" s="1246"/>
      <c r="T998" s="1246"/>
      <c r="U998" s="1246"/>
      <c r="V998" s="1246"/>
      <c r="W998" s="1246"/>
      <c r="X998" s="1246"/>
      <c r="Y998" s="1247"/>
      <c r="Z998" s="113"/>
      <c r="AA998" s="727"/>
      <c r="AB998" s="727"/>
      <c r="AC998" s="124"/>
      <c r="AD998" s="1272"/>
      <c r="AE998" s="1273"/>
      <c r="AF998" s="1273"/>
      <c r="AG998" s="1273"/>
      <c r="AH998" s="1273"/>
      <c r="AI998" s="1273"/>
      <c r="AJ998" s="1273"/>
      <c r="AK998" s="1274"/>
      <c r="AL998" s="105"/>
    </row>
    <row r="999" spans="1:38" ht="12.75" customHeight="1">
      <c r="A999" s="51"/>
      <c r="B999" s="118"/>
      <c r="C999" s="119"/>
      <c r="D999" s="207" t="s">
        <v>1082</v>
      </c>
      <c r="E999" s="208"/>
      <c r="F999" s="208"/>
      <c r="G999" s="208"/>
      <c r="H999" s="104"/>
      <c r="I999" s="1299">
        <f>AM905</f>
        <v>78</v>
      </c>
      <c r="J999" s="1300"/>
      <c r="K999" s="51"/>
      <c r="L999" s="104"/>
      <c r="M999" s="208"/>
      <c r="N999" s="208"/>
      <c r="O999" s="208"/>
      <c r="P999" s="208"/>
      <c r="Q999" s="208"/>
      <c r="R999" s="208"/>
      <c r="S999" s="208"/>
      <c r="T999" s="208"/>
      <c r="U999" s="208"/>
      <c r="V999" s="104"/>
      <c r="W999" s="209" t="s">
        <v>1083</v>
      </c>
      <c r="X999" s="1301">
        <f>AT614</f>
        <v>7</v>
      </c>
      <c r="Y999" s="1302"/>
      <c r="Z999" s="1280"/>
      <c r="AA999" s="1281"/>
      <c r="AB999" s="1281"/>
      <c r="AC999" s="1282"/>
      <c r="AD999" s="1275"/>
      <c r="AE999" s="1276"/>
      <c r="AF999" s="1276"/>
      <c r="AG999" s="1276"/>
      <c r="AH999" s="1276"/>
      <c r="AI999" s="1276"/>
      <c r="AJ999" s="1276"/>
      <c r="AK999" s="1277"/>
      <c r="AL999" s="105"/>
    </row>
    <row r="1000" spans="1:38" ht="12.75" customHeight="1">
      <c r="A1000" s="51"/>
      <c r="B1000" s="120"/>
      <c r="C1000" s="206" t="s">
        <v>1156</v>
      </c>
      <c r="D1000" s="1248" t="s">
        <v>1625</v>
      </c>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50"/>
      <c r="Z1000" s="113"/>
      <c r="AA1000" s="1278" t="str">
        <f>IF(X1003&gt;0,"Yes","No")</f>
        <v>Yes</v>
      </c>
      <c r="AB1000" s="1279"/>
      <c r="AC1000" s="124"/>
      <c r="AD1000" s="1269">
        <f>IF((X1003=0)," ",(2*AO907)*AD953)</f>
        <v>19003342.559999999</v>
      </c>
      <c r="AE1000" s="1270"/>
      <c r="AF1000" s="1270"/>
      <c r="AG1000" s="1270"/>
      <c r="AH1000" s="1270"/>
      <c r="AI1000" s="1270"/>
      <c r="AJ1000" s="1270"/>
      <c r="AK1000" s="1271"/>
      <c r="AL1000" s="105"/>
    </row>
    <row r="1001" spans="1:38" s="743" customFormat="1" ht="12.75" customHeight="1">
      <c r="A1001" s="51"/>
      <c r="B1001" s="113"/>
      <c r="C1001" s="726"/>
      <c r="D1001" s="1245" t="s">
        <v>1624</v>
      </c>
      <c r="E1001" s="1246"/>
      <c r="F1001" s="1246"/>
      <c r="G1001" s="1246"/>
      <c r="H1001" s="1246"/>
      <c r="I1001" s="1246"/>
      <c r="J1001" s="1246"/>
      <c r="K1001" s="1246"/>
      <c r="L1001" s="1246"/>
      <c r="M1001" s="1246"/>
      <c r="N1001" s="1246"/>
      <c r="O1001" s="1246"/>
      <c r="P1001" s="1246"/>
      <c r="Q1001" s="1246"/>
      <c r="R1001" s="1246"/>
      <c r="S1001" s="1246"/>
      <c r="T1001" s="1246"/>
      <c r="U1001" s="1246"/>
      <c r="V1001" s="1246"/>
      <c r="W1001" s="1246"/>
      <c r="X1001" s="1246"/>
      <c r="Y1001" s="1247"/>
      <c r="Z1001" s="113"/>
      <c r="AA1001" s="727"/>
      <c r="AB1001" s="727"/>
      <c r="AC1001" s="124"/>
      <c r="AD1001" s="1272"/>
      <c r="AE1001" s="1273"/>
      <c r="AF1001" s="1273"/>
      <c r="AG1001" s="1273"/>
      <c r="AH1001" s="1273"/>
      <c r="AI1001" s="1273"/>
      <c r="AJ1001" s="1273"/>
      <c r="AK1001" s="1274"/>
      <c r="AL1001" s="105"/>
    </row>
    <row r="1002" spans="1:38" ht="12.75" customHeight="1">
      <c r="A1002" s="51"/>
      <c r="B1002" s="113"/>
      <c r="C1002" s="124"/>
      <c r="D1002" s="1245"/>
      <c r="E1002" s="1246"/>
      <c r="F1002" s="1246"/>
      <c r="G1002" s="1246"/>
      <c r="H1002" s="1246"/>
      <c r="I1002" s="1246"/>
      <c r="J1002" s="1246"/>
      <c r="K1002" s="1246"/>
      <c r="L1002" s="1246"/>
      <c r="M1002" s="1246"/>
      <c r="N1002" s="1246"/>
      <c r="O1002" s="1246"/>
      <c r="P1002" s="1246"/>
      <c r="Q1002" s="1246"/>
      <c r="R1002" s="1246"/>
      <c r="S1002" s="1246"/>
      <c r="T1002" s="1246"/>
      <c r="U1002" s="1246"/>
      <c r="V1002" s="1246"/>
      <c r="W1002" s="1246"/>
      <c r="X1002" s="1246"/>
      <c r="Y1002" s="1247"/>
      <c r="Z1002" s="1310"/>
      <c r="AA1002" s="1308"/>
      <c r="AB1002" s="1308"/>
      <c r="AC1002" s="1309"/>
      <c r="AD1002" s="1272"/>
      <c r="AE1002" s="1273"/>
      <c r="AF1002" s="1273"/>
      <c r="AG1002" s="1273"/>
      <c r="AH1002" s="1273"/>
      <c r="AI1002" s="1273"/>
      <c r="AJ1002" s="1273"/>
      <c r="AK1002" s="1274"/>
      <c r="AL1002" s="105"/>
    </row>
    <row r="1003" spans="1:38" ht="12.75" customHeight="1">
      <c r="A1003" s="51"/>
      <c r="B1003" s="118"/>
      <c r="C1003" s="119"/>
      <c r="D1003" s="207" t="s">
        <v>1082</v>
      </c>
      <c r="E1003" s="208"/>
      <c r="F1003" s="208"/>
      <c r="G1003" s="208"/>
      <c r="H1003" s="208"/>
      <c r="I1003" s="1299">
        <f>AM905</f>
        <v>78</v>
      </c>
      <c r="J1003" s="1300"/>
      <c r="K1003" s="51"/>
      <c r="L1003" s="208"/>
      <c r="M1003" s="208"/>
      <c r="N1003" s="208"/>
      <c r="O1003" s="208"/>
      <c r="P1003" s="208"/>
      <c r="Q1003" s="208"/>
      <c r="R1003" s="208"/>
      <c r="S1003" s="208"/>
      <c r="T1003" s="208"/>
      <c r="U1003" s="208"/>
      <c r="V1003" s="208"/>
      <c r="W1003" s="209" t="s">
        <v>1084</v>
      </c>
      <c r="X1003" s="1301">
        <f>AX614</f>
        <v>32</v>
      </c>
      <c r="Y1003" s="1302"/>
      <c r="Z1003" s="1280"/>
      <c r="AA1003" s="1281"/>
      <c r="AB1003" s="1281"/>
      <c r="AC1003" s="1282"/>
      <c r="AD1003" s="1275"/>
      <c r="AE1003" s="1276"/>
      <c r="AF1003" s="1276"/>
      <c r="AG1003" s="1276"/>
      <c r="AH1003" s="1276"/>
      <c r="AI1003" s="1276"/>
      <c r="AJ1003" s="1276"/>
      <c r="AK1003" s="1277"/>
      <c r="AL1003" s="105"/>
    </row>
    <row r="1004" spans="1:38" ht="12.75" customHeight="1">
      <c r="A1004" s="51"/>
      <c r="B1004" s="161"/>
      <c r="C1004" s="162"/>
      <c r="D1004" s="1328" t="s">
        <v>560</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4">
        <f>SUM(AD953:AK1003)</f>
        <v>56778280</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3" t="s">
        <v>876</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592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592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1466</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592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592</v>
      </c>
      <c r="B1053" s="1097"/>
      <c r="C1053" s="328">
        <v>8</v>
      </c>
      <c r="D1053" s="996" t="s">
        <v>1478</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2" priority="2" stopIfTrue="1" operator="equal">
      <formula>"Please Enter Amount:"</formula>
    </cfRule>
  </conditionalFormatting>
  <conditionalFormatting sqref="B1012">
    <cfRule type="cellIs" dxfId="121" priority="3" stopIfTrue="1" operator="equal">
      <formula>#N/A</formula>
    </cfRule>
  </conditionalFormatting>
  <conditionalFormatting sqref="AD996:AD998">
    <cfRule type="cellIs" dxfId="120" priority="5" stopIfTrue="1" operator="equal">
      <formula>"#DIV/0!"</formula>
    </cfRule>
  </conditionalFormatting>
  <conditionalFormatting sqref="AG428:AJ428">
    <cfRule type="expression" dxfId="11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topLeftCell="A93" zoomScaleNormal="100" zoomScaleSheetLayoutView="100" workbookViewId="0">
      <selection activeCell="E4" sqref="A4:XFD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1)Walker &amp; Dunlop (Tax-Exempt Bonds)</v>
      </c>
      <c r="G2" s="217" t="str">
        <f>Application!B619&amp;Application!C619</f>
        <v>2)Walker &amp; Dunlop (Taxable Tail)</v>
      </c>
      <c r="H2" s="217" t="str">
        <f>Application!B620&amp;Application!C620</f>
        <v>3)ABS Mayer Bricker (RR Seller CarryBackLoan)</v>
      </c>
      <c r="I2" s="217" t="str">
        <f>Application!B621&amp;Application!C621</f>
        <v xml:space="preserve">4)Deferred Developer Fee </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250000</v>
      </c>
      <c r="C4" s="225">
        <v>198529</v>
      </c>
      <c r="D4" s="225">
        <v>51471</v>
      </c>
      <c r="E4" s="225">
        <f>C4-F4-H4-I4-J4</f>
        <v>0</v>
      </c>
      <c r="F4" s="225">
        <f>C4</f>
        <v>198529</v>
      </c>
      <c r="G4" s="225">
        <f>D4</f>
        <v>51471</v>
      </c>
      <c r="H4" s="225"/>
      <c r="I4" s="225"/>
      <c r="J4" s="225"/>
      <c r="K4" s="225"/>
      <c r="L4" s="225"/>
      <c r="M4" s="225"/>
      <c r="N4" s="225"/>
      <c r="O4" s="225"/>
      <c r="P4" s="225"/>
      <c r="Q4" s="225"/>
      <c r="R4" s="916">
        <f>SUM(E4:Q4)</f>
        <v>250000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250000</v>
      </c>
      <c r="C8" s="224">
        <f t="shared" ref="C8:Q8" si="0">SUM(C4:C7)</f>
        <v>198529</v>
      </c>
      <c r="D8" s="224">
        <f t="shared" si="0"/>
        <v>51471</v>
      </c>
      <c r="E8" s="224">
        <f t="shared" si="0"/>
        <v>0</v>
      </c>
      <c r="F8" s="224">
        <f t="shared" si="0"/>
        <v>198529</v>
      </c>
      <c r="G8" s="224">
        <f t="shared" si="0"/>
        <v>51471</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250000</v>
      </c>
      <c r="S8" s="226"/>
      <c r="T8" s="226"/>
      <c r="U8" s="221"/>
    </row>
    <row r="9" spans="1:21" s="222" customFormat="1">
      <c r="A9" s="223" t="s">
        <v>645</v>
      </c>
      <c r="B9" s="224">
        <f>SUM(C9+D9)</f>
        <v>34750000</v>
      </c>
      <c r="C9" s="225">
        <f>25759333</f>
        <v>25759333</v>
      </c>
      <c r="D9" s="225">
        <f>34750000-C9</f>
        <v>8990667</v>
      </c>
      <c r="E9" s="225">
        <f>C9-F9-H9-I9-J9</f>
        <v>0</v>
      </c>
      <c r="F9" s="225">
        <f>15508805-2011000-23000+46000-737-2405933+450</f>
        <v>11114585</v>
      </c>
      <c r="G9" s="225">
        <f>D9</f>
        <v>8990667</v>
      </c>
      <c r="H9" s="225">
        <f>Application!AG620</f>
        <v>14644748</v>
      </c>
      <c r="I9" s="225"/>
      <c r="J9" s="225"/>
      <c r="K9" s="225"/>
      <c r="L9" s="225"/>
      <c r="M9" s="225"/>
      <c r="N9" s="225"/>
      <c r="O9" s="225"/>
      <c r="P9" s="225"/>
      <c r="Q9" s="225"/>
      <c r="R9" s="916">
        <f>SUM(E9:Q9)</f>
        <v>34750000</v>
      </c>
      <c r="S9" s="226"/>
      <c r="T9" s="225">
        <f>C9</f>
        <v>25759333</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34750000</v>
      </c>
      <c r="C11" s="224">
        <f t="shared" ref="C11:Q11" si="1">SUM(C9:C10)</f>
        <v>25759333</v>
      </c>
      <c r="D11" s="224">
        <f t="shared" si="1"/>
        <v>8990667</v>
      </c>
      <c r="E11" s="224">
        <f t="shared" si="1"/>
        <v>0</v>
      </c>
      <c r="F11" s="224">
        <f t="shared" si="1"/>
        <v>11114585</v>
      </c>
      <c r="G11" s="224">
        <f t="shared" si="1"/>
        <v>8990667</v>
      </c>
      <c r="H11" s="224">
        <f t="shared" si="1"/>
        <v>14644748</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34750000</v>
      </c>
      <c r="S11" s="226"/>
      <c r="T11" s="228">
        <f>SUM(T9:T10)</f>
        <v>25759333</v>
      </c>
      <c r="U11" s="221"/>
    </row>
    <row r="12" spans="1:21" s="222" customFormat="1">
      <c r="A12" s="227" t="s">
        <v>91</v>
      </c>
      <c r="B12" s="224">
        <f t="shared" ref="B12:Q12" si="2">SUM(B8+B11)</f>
        <v>35000000</v>
      </c>
      <c r="C12" s="224">
        <f t="shared" si="2"/>
        <v>25957862</v>
      </c>
      <c r="D12" s="224">
        <f t="shared" si="2"/>
        <v>9042138</v>
      </c>
      <c r="E12" s="224">
        <f t="shared" si="2"/>
        <v>0</v>
      </c>
      <c r="F12" s="224">
        <f t="shared" si="2"/>
        <v>11313114</v>
      </c>
      <c r="G12" s="224">
        <f t="shared" si="2"/>
        <v>9042138</v>
      </c>
      <c r="H12" s="224">
        <f t="shared" si="2"/>
        <v>14644748</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35000000</v>
      </c>
      <c r="S12" s="226"/>
      <c r="T12" s="226"/>
      <c r="U12" s="221"/>
    </row>
    <row r="13" spans="1:21" s="222" customFormat="1">
      <c r="A13" s="466" t="s">
        <v>1001</v>
      </c>
      <c r="B13" s="224">
        <f>SUM(C13+D13)</f>
        <v>3057352</v>
      </c>
      <c r="C13" s="225">
        <f>2042352+1500000-150000-335000</f>
        <v>3057352</v>
      </c>
      <c r="D13" s="225"/>
      <c r="E13" s="225">
        <f>C13-F13-H13-I13-J13</f>
        <v>3057352</v>
      </c>
      <c r="F13" s="225"/>
      <c r="G13" s="225"/>
      <c r="H13" s="225"/>
      <c r="I13" s="225"/>
      <c r="J13" s="225"/>
      <c r="K13" s="225"/>
      <c r="L13" s="225"/>
      <c r="M13" s="225"/>
      <c r="N13" s="225"/>
      <c r="O13" s="225"/>
      <c r="P13" s="225"/>
      <c r="Q13" s="225"/>
      <c r="R13" s="916">
        <f>SUM(E13:Q13)</f>
        <v>3057352</v>
      </c>
      <c r="S13" s="225">
        <f>C13</f>
        <v>3057352</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f>C18</f>
        <v>0</v>
      </c>
      <c r="T18" s="225"/>
      <c r="U18" s="221"/>
    </row>
    <row r="19" spans="1:21" s="222" customFormat="1">
      <c r="A19" s="223" t="s">
        <v>651</v>
      </c>
      <c r="B19" s="224">
        <f t="shared" si="3"/>
        <v>0</v>
      </c>
      <c r="C19" s="225"/>
      <c r="D19" s="225"/>
      <c r="E19" s="225">
        <f t="shared" ref="E19:E23" si="4">C19-F19-H19-I19-J19</f>
        <v>0</v>
      </c>
      <c r="F19" s="225"/>
      <c r="G19" s="225"/>
      <c r="H19" s="225"/>
      <c r="I19" s="225"/>
      <c r="J19" s="225"/>
      <c r="K19" s="225"/>
      <c r="L19" s="225"/>
      <c r="M19" s="225"/>
      <c r="N19" s="225"/>
      <c r="O19" s="225"/>
      <c r="P19" s="225"/>
      <c r="Q19" s="225"/>
      <c r="R19" s="916">
        <f>SUM(E19:Q19)</f>
        <v>0</v>
      </c>
      <c r="S19" s="225">
        <f t="shared" ref="S19:S24" si="5">C19</f>
        <v>0</v>
      </c>
      <c r="T19" s="225"/>
      <c r="U19" s="221"/>
    </row>
    <row r="20" spans="1:21" s="222" customFormat="1">
      <c r="A20" s="223" t="s">
        <v>144</v>
      </c>
      <c r="B20" s="224">
        <f t="shared" si="3"/>
        <v>0</v>
      </c>
      <c r="C20" s="225"/>
      <c r="D20" s="225"/>
      <c r="E20" s="225">
        <f t="shared" si="4"/>
        <v>0</v>
      </c>
      <c r="F20" s="225"/>
      <c r="G20" s="225"/>
      <c r="H20" s="225"/>
      <c r="I20" s="225"/>
      <c r="J20" s="225"/>
      <c r="K20" s="225"/>
      <c r="L20" s="225"/>
      <c r="M20" s="225"/>
      <c r="N20" s="225"/>
      <c r="O20" s="225"/>
      <c r="P20" s="225"/>
      <c r="Q20" s="225"/>
      <c r="R20" s="916">
        <f t="shared" ref="R20:R26" si="6">SUM(E20:Q20)</f>
        <v>0</v>
      </c>
      <c r="S20" s="225">
        <f t="shared" si="5"/>
        <v>0</v>
      </c>
      <c r="T20" s="225"/>
      <c r="U20" s="221"/>
    </row>
    <row r="21" spans="1:21" s="222" customFormat="1">
      <c r="A21" s="223" t="s">
        <v>145</v>
      </c>
      <c r="B21" s="224">
        <f t="shared" si="3"/>
        <v>0</v>
      </c>
      <c r="C21" s="225"/>
      <c r="D21" s="225"/>
      <c r="E21" s="225">
        <f t="shared" si="4"/>
        <v>0</v>
      </c>
      <c r="F21" s="225"/>
      <c r="G21" s="225"/>
      <c r="H21" s="225"/>
      <c r="I21" s="225"/>
      <c r="J21" s="225"/>
      <c r="K21" s="225"/>
      <c r="L21" s="225"/>
      <c r="M21" s="225"/>
      <c r="N21" s="225"/>
      <c r="O21" s="225"/>
      <c r="P21" s="225"/>
      <c r="Q21" s="225"/>
      <c r="R21" s="916">
        <f t="shared" si="6"/>
        <v>0</v>
      </c>
      <c r="S21" s="225">
        <f t="shared" si="5"/>
        <v>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0</v>
      </c>
      <c r="C23" s="225"/>
      <c r="D23" s="225"/>
      <c r="E23" s="225">
        <f t="shared" si="4"/>
        <v>0</v>
      </c>
      <c r="F23" s="225"/>
      <c r="G23" s="225"/>
      <c r="H23" s="225"/>
      <c r="I23" s="225"/>
      <c r="J23" s="225"/>
      <c r="K23" s="225"/>
      <c r="L23" s="225"/>
      <c r="M23" s="225"/>
      <c r="N23" s="225"/>
      <c r="O23" s="225"/>
      <c r="P23" s="225"/>
      <c r="Q23" s="225"/>
      <c r="R23" s="916">
        <f t="shared" si="6"/>
        <v>0</v>
      </c>
      <c r="S23" s="225">
        <f t="shared" si="5"/>
        <v>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5"/>
        <v>0</v>
      </c>
      <c r="T24" s="225"/>
      <c r="U24" s="221"/>
    </row>
    <row r="25" spans="1:21" s="222" customFormat="1">
      <c r="A25" s="227" t="s">
        <v>140</v>
      </c>
      <c r="B25" s="224">
        <f t="shared" si="3"/>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7500000</v>
      </c>
      <c r="C29" s="225">
        <f>9978000-C33</f>
        <v>7500000</v>
      </c>
      <c r="D29" s="225"/>
      <c r="E29" s="225">
        <f>C29-F29</f>
        <v>5395679</v>
      </c>
      <c r="F29" s="225">
        <v>2104321</v>
      </c>
      <c r="G29" s="225"/>
      <c r="H29" s="225"/>
      <c r="I29" s="225"/>
      <c r="J29" s="225"/>
      <c r="K29" s="225"/>
      <c r="L29" s="225"/>
      <c r="M29" s="225"/>
      <c r="N29" s="225"/>
      <c r="O29" s="225"/>
      <c r="P29" s="225"/>
      <c r="Q29" s="225"/>
      <c r="R29" s="916">
        <f t="shared" si="9"/>
        <v>7500000</v>
      </c>
      <c r="S29" s="225">
        <f>C29</f>
        <v>7500000</v>
      </c>
      <c r="T29" s="225"/>
      <c r="U29" s="221"/>
    </row>
    <row r="30" spans="1:21" s="222" customFormat="1">
      <c r="A30" s="223" t="s">
        <v>651</v>
      </c>
      <c r="B30" s="224">
        <f t="shared" si="8"/>
        <v>598680</v>
      </c>
      <c r="C30" s="225">
        <v>598680</v>
      </c>
      <c r="D30" s="225"/>
      <c r="E30" s="225">
        <f t="shared" ref="E30:E35" si="10">C30</f>
        <v>598680</v>
      </c>
      <c r="F30" s="225"/>
      <c r="G30" s="225"/>
      <c r="H30" s="225"/>
      <c r="I30" s="225"/>
      <c r="J30" s="225"/>
      <c r="K30" s="225"/>
      <c r="L30" s="225"/>
      <c r="M30" s="225"/>
      <c r="N30" s="225"/>
      <c r="O30" s="225"/>
      <c r="P30" s="225"/>
      <c r="Q30" s="225"/>
      <c r="R30" s="916">
        <f t="shared" si="9"/>
        <v>598680</v>
      </c>
      <c r="S30" s="225">
        <f>E30</f>
        <v>598680</v>
      </c>
      <c r="T30" s="225"/>
      <c r="U30" s="221"/>
    </row>
    <row r="31" spans="1:21" s="222" customFormat="1">
      <c r="A31" s="223" t="s">
        <v>144</v>
      </c>
      <c r="B31" s="224">
        <f t="shared" si="8"/>
        <v>299340</v>
      </c>
      <c r="C31" s="225">
        <v>299340</v>
      </c>
      <c r="D31" s="225"/>
      <c r="E31" s="225">
        <f t="shared" si="10"/>
        <v>299340</v>
      </c>
      <c r="F31" s="225"/>
      <c r="G31" s="225"/>
      <c r="H31" s="225"/>
      <c r="I31" s="225"/>
      <c r="J31" s="225"/>
      <c r="K31" s="225"/>
      <c r="L31" s="225"/>
      <c r="M31" s="225"/>
      <c r="N31" s="225"/>
      <c r="O31" s="225"/>
      <c r="P31" s="225"/>
      <c r="Q31" s="225"/>
      <c r="R31" s="916">
        <f t="shared" si="9"/>
        <v>299340</v>
      </c>
      <c r="S31" s="225">
        <f>E31</f>
        <v>299340</v>
      </c>
      <c r="T31" s="225"/>
      <c r="U31" s="221"/>
    </row>
    <row r="32" spans="1:21" s="222" customFormat="1">
      <c r="A32" s="223" t="s">
        <v>145</v>
      </c>
      <c r="B32" s="224">
        <f t="shared" si="8"/>
        <v>498900</v>
      </c>
      <c r="C32" s="225">
        <v>498900</v>
      </c>
      <c r="D32" s="225"/>
      <c r="E32" s="225">
        <f t="shared" si="10"/>
        <v>498900</v>
      </c>
      <c r="F32" s="225"/>
      <c r="G32" s="225"/>
      <c r="H32" s="225"/>
      <c r="I32" s="225"/>
      <c r="J32" s="225"/>
      <c r="K32" s="225"/>
      <c r="L32" s="225"/>
      <c r="M32" s="225"/>
      <c r="N32" s="225"/>
      <c r="O32" s="225"/>
      <c r="P32" s="225"/>
      <c r="Q32" s="225"/>
      <c r="R32" s="916">
        <f t="shared" si="9"/>
        <v>498900</v>
      </c>
      <c r="S32" s="225">
        <f>E32</f>
        <v>498900</v>
      </c>
      <c r="T32" s="225"/>
      <c r="U32" s="221"/>
    </row>
    <row r="33" spans="1:21" s="222" customFormat="1">
      <c r="A33" s="223" t="s">
        <v>146</v>
      </c>
      <c r="B33" s="224">
        <f t="shared" si="8"/>
        <v>2478000</v>
      </c>
      <c r="C33" s="225">
        <v>2478000</v>
      </c>
      <c r="D33" s="225"/>
      <c r="E33" s="225">
        <f t="shared" si="10"/>
        <v>2478000</v>
      </c>
      <c r="F33" s="225"/>
      <c r="G33" s="225"/>
      <c r="H33" s="955"/>
      <c r="I33" s="225"/>
      <c r="J33" s="225"/>
      <c r="K33" s="225"/>
      <c r="L33" s="225"/>
      <c r="M33" s="225"/>
      <c r="N33" s="225"/>
      <c r="O33" s="225"/>
      <c r="P33" s="225"/>
      <c r="Q33" s="225"/>
      <c r="R33" s="916">
        <f t="shared" si="9"/>
        <v>2478000</v>
      </c>
      <c r="S33" s="225">
        <f>E33</f>
        <v>2478000</v>
      </c>
      <c r="T33" s="225"/>
      <c r="U33" s="221"/>
    </row>
    <row r="34" spans="1:21" s="222" customFormat="1">
      <c r="A34" s="223" t="s">
        <v>147</v>
      </c>
      <c r="B34" s="224">
        <f t="shared" si="8"/>
        <v>182722</v>
      </c>
      <c r="C34" s="225">
        <v>182722</v>
      </c>
      <c r="D34" s="225"/>
      <c r="E34" s="225">
        <f t="shared" si="10"/>
        <v>182722</v>
      </c>
      <c r="F34" s="225"/>
      <c r="G34" s="225"/>
      <c r="H34" s="225"/>
      <c r="I34" s="225"/>
      <c r="J34" s="225"/>
      <c r="K34" s="225"/>
      <c r="L34" s="225"/>
      <c r="M34" s="225"/>
      <c r="N34" s="225"/>
      <c r="O34" s="225"/>
      <c r="P34" s="225"/>
      <c r="Q34" s="225"/>
      <c r="R34" s="916">
        <f t="shared" si="9"/>
        <v>182722</v>
      </c>
      <c r="S34" s="225">
        <f>E34</f>
        <v>182722</v>
      </c>
      <c r="T34" s="225"/>
      <c r="U34" s="221"/>
    </row>
    <row r="35" spans="1:21" s="222" customFormat="1">
      <c r="A35" s="956" t="s">
        <v>1794</v>
      </c>
      <c r="B35" s="224">
        <f t="shared" si="8"/>
        <v>124725</v>
      </c>
      <c r="C35" s="225">
        <v>124725</v>
      </c>
      <c r="D35" s="225"/>
      <c r="E35" s="225">
        <f t="shared" si="10"/>
        <v>124725</v>
      </c>
      <c r="F35" s="225"/>
      <c r="G35" s="225"/>
      <c r="H35" s="225"/>
      <c r="I35" s="225"/>
      <c r="J35" s="225"/>
      <c r="K35" s="225"/>
      <c r="L35" s="225"/>
      <c r="M35" s="225"/>
      <c r="N35" s="225"/>
      <c r="O35" s="225"/>
      <c r="P35" s="225"/>
      <c r="Q35" s="225"/>
      <c r="R35" s="916">
        <f t="shared" si="9"/>
        <v>124725</v>
      </c>
      <c r="S35" s="225">
        <f>R35</f>
        <v>124725</v>
      </c>
      <c r="T35" s="225"/>
      <c r="U35" s="221"/>
    </row>
    <row r="36" spans="1:21" s="222" customFormat="1">
      <c r="A36" s="227" t="s">
        <v>150</v>
      </c>
      <c r="B36" s="224">
        <f t="shared" si="8"/>
        <v>11682367</v>
      </c>
      <c r="C36" s="224">
        <f>SUM(C28:C35)</f>
        <v>11682367</v>
      </c>
      <c r="D36" s="224">
        <f t="shared" ref="D36:Q36" si="11">SUM(D28:D35)</f>
        <v>0</v>
      </c>
      <c r="E36" s="224">
        <f t="shared" si="11"/>
        <v>9578046</v>
      </c>
      <c r="F36" s="224">
        <f t="shared" si="11"/>
        <v>2104321</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11682367</v>
      </c>
      <c r="S36" s="228">
        <f>SUM(S28:S35)</f>
        <v>11682367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545000</v>
      </c>
      <c r="C38" s="225">
        <v>545000</v>
      </c>
      <c r="D38" s="225"/>
      <c r="E38" s="225">
        <f t="shared" ref="E38:E39" si="12">C38-F38-H38-I38-J38</f>
        <v>545000</v>
      </c>
      <c r="F38" s="225"/>
      <c r="G38" s="225"/>
      <c r="H38" s="225"/>
      <c r="I38" s="225"/>
      <c r="J38" s="225"/>
      <c r="K38" s="225"/>
      <c r="L38" s="225"/>
      <c r="M38" s="225"/>
      <c r="N38" s="225"/>
      <c r="O38" s="225"/>
      <c r="P38" s="225"/>
      <c r="Q38" s="225"/>
      <c r="R38" s="916">
        <f>SUM(E38:Q38)</f>
        <v>545000</v>
      </c>
      <c r="S38" s="225">
        <f t="shared" ref="S38:S39" si="13">C38</f>
        <v>545000</v>
      </c>
      <c r="T38" s="225"/>
      <c r="U38" s="221"/>
    </row>
    <row r="39" spans="1:21" s="222" customFormat="1">
      <c r="A39" s="223" t="s">
        <v>153</v>
      </c>
      <c r="B39" s="224">
        <f>SUM(C39+D39)</f>
        <v>105000</v>
      </c>
      <c r="C39" s="225">
        <v>105000</v>
      </c>
      <c r="D39" s="225"/>
      <c r="E39" s="225">
        <f t="shared" si="12"/>
        <v>105000</v>
      </c>
      <c r="F39" s="225"/>
      <c r="G39" s="225"/>
      <c r="H39" s="225"/>
      <c r="I39" s="225"/>
      <c r="J39" s="225"/>
      <c r="K39" s="225"/>
      <c r="L39" s="225"/>
      <c r="M39" s="225"/>
      <c r="N39" s="225"/>
      <c r="O39" s="225"/>
      <c r="P39" s="225"/>
      <c r="Q39" s="225"/>
      <c r="R39" s="916">
        <f>SUM(E39:Q39)</f>
        <v>105000</v>
      </c>
      <c r="S39" s="225">
        <f t="shared" si="13"/>
        <v>105000</v>
      </c>
      <c r="T39" s="225"/>
      <c r="U39" s="221"/>
    </row>
    <row r="40" spans="1:21" s="222" customFormat="1">
      <c r="A40" s="227" t="s">
        <v>154</v>
      </c>
      <c r="B40" s="224">
        <f>SUM(C40:D40)</f>
        <v>650000</v>
      </c>
      <c r="C40" s="224">
        <f>SUM(C37:C39)</f>
        <v>650000</v>
      </c>
      <c r="D40" s="224">
        <f>SUM(D37:D39)</f>
        <v>0</v>
      </c>
      <c r="E40" s="224">
        <f t="shared" ref="E40:T40" si="14">SUM(E38:E39)</f>
        <v>650000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650000</v>
      </c>
      <c r="S40" s="228">
        <f t="shared" si="14"/>
        <v>650000</v>
      </c>
      <c r="T40" s="228">
        <f t="shared" si="14"/>
        <v>0</v>
      </c>
      <c r="U40" s="221"/>
    </row>
    <row r="41" spans="1:21" s="222" customFormat="1">
      <c r="A41" s="227" t="s">
        <v>155</v>
      </c>
      <c r="B41" s="224">
        <f>SUM(C41:D41)</f>
        <v>145000</v>
      </c>
      <c r="C41" s="225">
        <v>145000</v>
      </c>
      <c r="D41" s="225"/>
      <c r="E41" s="225">
        <f>C41-F41-H41-I41-J41</f>
        <v>145000</v>
      </c>
      <c r="F41" s="225"/>
      <c r="G41" s="225"/>
      <c r="H41" s="225"/>
      <c r="I41" s="225"/>
      <c r="J41" s="225"/>
      <c r="K41" s="225"/>
      <c r="L41" s="225"/>
      <c r="M41" s="225"/>
      <c r="N41" s="225"/>
      <c r="O41" s="225"/>
      <c r="P41" s="225"/>
      <c r="Q41" s="225"/>
      <c r="R41" s="916">
        <f>SUM(E41:Q41)</f>
        <v>145000</v>
      </c>
      <c r="S41" s="225">
        <f>C41</f>
        <v>145000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3800000</v>
      </c>
      <c r="C43" s="225">
        <v>3800000</v>
      </c>
      <c r="D43" s="225"/>
      <c r="E43" s="225">
        <f t="shared" ref="E43:E50" si="16">C43-F43-H43-I43-J43</f>
        <v>0</v>
      </c>
      <c r="F43" s="225">
        <f t="shared" ref="F43:F48" si="17">C43</f>
        <v>3800000</v>
      </c>
      <c r="G43" s="225"/>
      <c r="H43" s="225"/>
      <c r="I43" s="225"/>
      <c r="J43" s="225"/>
      <c r="K43" s="225"/>
      <c r="L43" s="225"/>
      <c r="M43" s="225"/>
      <c r="N43" s="225"/>
      <c r="O43" s="225"/>
      <c r="P43" s="225"/>
      <c r="Q43" s="225"/>
      <c r="R43" s="916">
        <f t="shared" ref="R43:R52" si="18">SUM(E43:Q43)</f>
        <v>3800000</v>
      </c>
      <c r="S43" s="225">
        <f t="shared" ref="S43:S52" si="19">C43</f>
        <v>3800000</v>
      </c>
      <c r="T43" s="225"/>
      <c r="U43" s="221"/>
    </row>
    <row r="44" spans="1:21" s="222" customFormat="1">
      <c r="A44" s="223" t="s">
        <v>158</v>
      </c>
      <c r="B44" s="224">
        <f t="shared" si="15"/>
        <v>482501</v>
      </c>
      <c r="C44" s="225">
        <v>482501</v>
      </c>
      <c r="D44" s="225"/>
      <c r="E44" s="225">
        <f t="shared" si="16"/>
        <v>0</v>
      </c>
      <c r="F44" s="225">
        <f t="shared" si="17"/>
        <v>482501</v>
      </c>
      <c r="G44" s="225"/>
      <c r="H44" s="225"/>
      <c r="I44" s="225"/>
      <c r="J44" s="225"/>
      <c r="K44" s="225"/>
      <c r="L44" s="225"/>
      <c r="M44" s="225"/>
      <c r="N44" s="225"/>
      <c r="O44" s="225"/>
      <c r="P44" s="225"/>
      <c r="Q44" s="225"/>
      <c r="R44" s="916">
        <f t="shared" si="18"/>
        <v>482501</v>
      </c>
      <c r="S44" s="225">
        <f t="shared" si="19"/>
        <v>482501</v>
      </c>
      <c r="T44" s="225"/>
      <c r="U44" s="221"/>
    </row>
    <row r="45" spans="1:21" s="222" customFormat="1">
      <c r="A45" s="307" t="s">
        <v>159</v>
      </c>
      <c r="B45" s="224">
        <f t="shared" si="15"/>
        <v>65000</v>
      </c>
      <c r="C45" s="225">
        <v>65000</v>
      </c>
      <c r="D45" s="225"/>
      <c r="E45" s="225">
        <f t="shared" si="16"/>
        <v>0</v>
      </c>
      <c r="F45" s="225">
        <f t="shared" si="17"/>
        <v>65000</v>
      </c>
      <c r="G45" s="225"/>
      <c r="H45" s="225"/>
      <c r="I45" s="225"/>
      <c r="J45" s="225"/>
      <c r="K45" s="225"/>
      <c r="L45" s="225"/>
      <c r="M45" s="225"/>
      <c r="N45" s="225"/>
      <c r="O45" s="225"/>
      <c r="P45" s="225"/>
      <c r="Q45" s="225"/>
      <c r="R45" s="916">
        <f t="shared" si="18"/>
        <v>65000</v>
      </c>
      <c r="S45" s="225">
        <f t="shared" si="19"/>
        <v>65000</v>
      </c>
      <c r="T45" s="225"/>
      <c r="U45" s="221"/>
    </row>
    <row r="46" spans="1:21" s="222" customFormat="1">
      <c r="A46" s="223" t="s">
        <v>160</v>
      </c>
      <c r="B46" s="224">
        <f t="shared" si="15"/>
        <v>50000</v>
      </c>
      <c r="C46" s="225">
        <v>50000</v>
      </c>
      <c r="D46" s="225"/>
      <c r="E46" s="225">
        <f t="shared" si="16"/>
        <v>0</v>
      </c>
      <c r="F46" s="225">
        <f t="shared" si="17"/>
        <v>50000</v>
      </c>
      <c r="G46" s="225"/>
      <c r="H46" s="225"/>
      <c r="I46" s="225"/>
      <c r="J46" s="225"/>
      <c r="K46" s="225"/>
      <c r="L46" s="225"/>
      <c r="M46" s="225"/>
      <c r="N46" s="225"/>
      <c r="O46" s="225"/>
      <c r="P46" s="225"/>
      <c r="Q46" s="225"/>
      <c r="R46" s="916">
        <f t="shared" si="18"/>
        <v>50000</v>
      </c>
      <c r="S46" s="225">
        <f t="shared" si="19"/>
        <v>50000</v>
      </c>
      <c r="T46" s="225"/>
      <c r="U46" s="221"/>
    </row>
    <row r="47" spans="1:21" s="222" customFormat="1">
      <c r="A47" s="223" t="s">
        <v>62</v>
      </c>
      <c r="B47" s="224">
        <f t="shared" si="15"/>
        <v>146000</v>
      </c>
      <c r="C47" s="225">
        <v>146000</v>
      </c>
      <c r="D47" s="225"/>
      <c r="E47" s="225">
        <f t="shared" si="16"/>
        <v>0</v>
      </c>
      <c r="F47" s="225">
        <f t="shared" si="17"/>
        <v>146000</v>
      </c>
      <c r="G47" s="225"/>
      <c r="H47" s="225"/>
      <c r="I47" s="225"/>
      <c r="J47" s="225"/>
      <c r="K47" s="225"/>
      <c r="L47" s="225"/>
      <c r="M47" s="225"/>
      <c r="N47" s="225"/>
      <c r="O47" s="225"/>
      <c r="P47" s="225"/>
      <c r="Q47" s="225"/>
      <c r="R47" s="916">
        <f t="shared" si="18"/>
        <v>146000</v>
      </c>
      <c r="S47" s="225">
        <f t="shared" si="19"/>
        <v>146000</v>
      </c>
      <c r="T47" s="225"/>
      <c r="U47" s="221"/>
    </row>
    <row r="48" spans="1:21" s="222" customFormat="1">
      <c r="A48" s="223" t="s">
        <v>163</v>
      </c>
      <c r="B48" s="224">
        <f t="shared" si="15"/>
        <v>40000</v>
      </c>
      <c r="C48" s="225">
        <v>40000</v>
      </c>
      <c r="D48" s="225"/>
      <c r="E48" s="225">
        <f t="shared" si="16"/>
        <v>0</v>
      </c>
      <c r="F48" s="225">
        <f t="shared" si="17"/>
        <v>40000</v>
      </c>
      <c r="G48" s="225"/>
      <c r="H48" s="225"/>
      <c r="I48" s="225"/>
      <c r="J48" s="225"/>
      <c r="K48" s="225"/>
      <c r="L48" s="225"/>
      <c r="M48" s="225"/>
      <c r="N48" s="225"/>
      <c r="O48" s="225"/>
      <c r="P48" s="225"/>
      <c r="Q48" s="225"/>
      <c r="R48" s="916">
        <f t="shared" si="18"/>
        <v>40000</v>
      </c>
      <c r="S48" s="225">
        <f t="shared" si="19"/>
        <v>40000</v>
      </c>
      <c r="T48" s="225"/>
      <c r="U48" s="221"/>
    </row>
    <row r="49" spans="1:21" s="222" customFormat="1">
      <c r="A49" s="457" t="s">
        <v>161</v>
      </c>
      <c r="B49" s="224">
        <f t="shared" si="15"/>
        <v>114500</v>
      </c>
      <c r="C49" s="225">
        <v>90926</v>
      </c>
      <c r="D49" s="225">
        <v>23574</v>
      </c>
      <c r="E49" s="225">
        <f t="shared" si="16"/>
        <v>90926</v>
      </c>
      <c r="F49" s="225"/>
      <c r="G49" s="225">
        <f>D49</f>
        <v>23574</v>
      </c>
      <c r="H49" s="225"/>
      <c r="I49" s="225"/>
      <c r="J49" s="225"/>
      <c r="K49" s="225"/>
      <c r="L49" s="225"/>
      <c r="M49" s="225"/>
      <c r="N49" s="225"/>
      <c r="O49" s="225"/>
      <c r="P49" s="225"/>
      <c r="Q49" s="225"/>
      <c r="R49" s="916">
        <f t="shared" si="18"/>
        <v>114500</v>
      </c>
      <c r="S49" s="225">
        <f t="shared" si="19"/>
        <v>90926</v>
      </c>
      <c r="T49" s="225"/>
      <c r="U49" s="221"/>
    </row>
    <row r="50" spans="1:21" s="222" customFormat="1">
      <c r="A50" s="223" t="s">
        <v>162</v>
      </c>
      <c r="B50" s="224">
        <f t="shared" si="15"/>
        <v>86000</v>
      </c>
      <c r="C50" s="225">
        <v>86000</v>
      </c>
      <c r="D50" s="225"/>
      <c r="E50" s="225">
        <f t="shared" si="16"/>
        <v>86000</v>
      </c>
      <c r="F50" s="225"/>
      <c r="G50" s="225"/>
      <c r="H50" s="225"/>
      <c r="I50" s="225"/>
      <c r="J50" s="225"/>
      <c r="K50" s="225"/>
      <c r="L50" s="225"/>
      <c r="M50" s="225"/>
      <c r="N50" s="225"/>
      <c r="O50" s="225"/>
      <c r="P50" s="225"/>
      <c r="Q50" s="225"/>
      <c r="R50" s="916">
        <f t="shared" si="18"/>
        <v>86000</v>
      </c>
      <c r="S50" s="225">
        <f t="shared" si="19"/>
        <v>86000</v>
      </c>
      <c r="T50" s="225"/>
      <c r="U50" s="221"/>
    </row>
    <row r="51" spans="1:21" s="222" customFormat="1">
      <c r="A51" s="230" t="s">
        <v>37</v>
      </c>
      <c r="B51" s="224">
        <f t="shared" si="15"/>
        <v>0</v>
      </c>
      <c r="C51" s="225"/>
      <c r="D51" s="225"/>
      <c r="E51" s="225"/>
      <c r="F51" s="225"/>
      <c r="G51" s="225"/>
      <c r="H51" s="225"/>
      <c r="I51" s="225"/>
      <c r="J51" s="225"/>
      <c r="K51" s="225"/>
      <c r="L51" s="225"/>
      <c r="M51" s="225"/>
      <c r="N51" s="225"/>
      <c r="O51" s="225"/>
      <c r="P51" s="225"/>
      <c r="Q51" s="225"/>
      <c r="R51" s="916">
        <f t="shared" si="18"/>
        <v>0</v>
      </c>
      <c r="S51" s="225">
        <f t="shared" si="19"/>
        <v>0</v>
      </c>
      <c r="T51" s="225"/>
      <c r="U51" s="221"/>
    </row>
    <row r="52" spans="1:21" s="222" customFormat="1">
      <c r="A52" s="230" t="s">
        <v>37</v>
      </c>
      <c r="B52" s="224">
        <f t="shared" si="15"/>
        <v>0</v>
      </c>
      <c r="C52" s="225"/>
      <c r="D52" s="225"/>
      <c r="E52" s="225"/>
      <c r="F52" s="225"/>
      <c r="G52" s="225"/>
      <c r="H52" s="225"/>
      <c r="I52" s="225"/>
      <c r="J52" s="225"/>
      <c r="K52" s="225"/>
      <c r="L52" s="225"/>
      <c r="M52" s="225"/>
      <c r="N52" s="225"/>
      <c r="O52" s="225"/>
      <c r="P52" s="225"/>
      <c r="Q52" s="225"/>
      <c r="R52" s="916">
        <f t="shared" si="18"/>
        <v>0</v>
      </c>
      <c r="S52" s="225">
        <f t="shared" si="19"/>
        <v>0</v>
      </c>
      <c r="T52" s="225"/>
      <c r="U52" s="221"/>
    </row>
    <row r="53" spans="1:21" s="232" customFormat="1">
      <c r="A53" s="227" t="s">
        <v>164</v>
      </c>
      <c r="B53" s="228">
        <f>SUM(C53:D53)</f>
        <v>4784001</v>
      </c>
      <c r="C53" s="228">
        <f t="shared" ref="C53:T53" si="20">SUM(C43:C52)</f>
        <v>4760427</v>
      </c>
      <c r="D53" s="228">
        <f t="shared" si="20"/>
        <v>23574</v>
      </c>
      <c r="E53" s="228">
        <f t="shared" si="20"/>
        <v>176926</v>
      </c>
      <c r="F53" s="228">
        <f t="shared" si="20"/>
        <v>4583501</v>
      </c>
      <c r="G53" s="228">
        <f t="shared" si="20"/>
        <v>23574</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4784001</v>
      </c>
      <c r="S53" s="228">
        <f t="shared" si="20"/>
        <v>4760427</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202175</v>
      </c>
      <c r="C55" s="225">
        <v>155646</v>
      </c>
      <c r="D55" s="225">
        <v>46529</v>
      </c>
      <c r="E55" s="225">
        <f t="shared" ref="E55:E57" si="22">C55-F55-H55-I55-J55</f>
        <v>0</v>
      </c>
      <c r="F55" s="225">
        <f t="shared" ref="F55:G57" si="23">C55</f>
        <v>155646</v>
      </c>
      <c r="G55" s="225">
        <f t="shared" si="23"/>
        <v>46529</v>
      </c>
      <c r="H55" s="225"/>
      <c r="I55" s="225"/>
      <c r="J55" s="225"/>
      <c r="K55" s="225"/>
      <c r="L55" s="225"/>
      <c r="M55" s="225"/>
      <c r="N55" s="225"/>
      <c r="O55" s="225"/>
      <c r="P55" s="225"/>
      <c r="Q55" s="225"/>
      <c r="R55" s="916">
        <f t="shared" ref="R55:R61" si="24">SUM(E55:Q55)</f>
        <v>202175</v>
      </c>
      <c r="S55" s="226"/>
      <c r="T55" s="226"/>
      <c r="U55" s="221"/>
    </row>
    <row r="56" spans="1:21" s="313" customFormat="1">
      <c r="A56" s="307" t="s">
        <v>159</v>
      </c>
      <c r="B56" s="314">
        <f t="shared" si="21"/>
        <v>175039</v>
      </c>
      <c r="C56" s="311">
        <v>130586</v>
      </c>
      <c r="D56" s="311">
        <v>44453</v>
      </c>
      <c r="E56" s="225">
        <f t="shared" si="22"/>
        <v>0</v>
      </c>
      <c r="F56" s="311">
        <f t="shared" si="23"/>
        <v>130586</v>
      </c>
      <c r="G56" s="311">
        <f t="shared" si="23"/>
        <v>44453</v>
      </c>
      <c r="H56" s="311"/>
      <c r="I56" s="311"/>
      <c r="J56" s="311"/>
      <c r="K56" s="311"/>
      <c r="L56" s="311"/>
      <c r="M56" s="311"/>
      <c r="N56" s="311"/>
      <c r="O56" s="311"/>
      <c r="P56" s="311"/>
      <c r="Q56" s="311"/>
      <c r="R56" s="916">
        <f t="shared" si="24"/>
        <v>175039</v>
      </c>
      <c r="S56" s="315"/>
      <c r="T56" s="315"/>
      <c r="U56" s="312"/>
    </row>
    <row r="57" spans="1:21" s="222" customFormat="1">
      <c r="A57" s="223" t="s">
        <v>163</v>
      </c>
      <c r="B57" s="224">
        <f t="shared" si="21"/>
        <v>47082</v>
      </c>
      <c r="C57" s="225">
        <v>22178</v>
      </c>
      <c r="D57" s="225">
        <v>24904</v>
      </c>
      <c r="E57" s="225">
        <f t="shared" si="22"/>
        <v>0</v>
      </c>
      <c r="F57" s="225">
        <f t="shared" si="23"/>
        <v>22178</v>
      </c>
      <c r="G57" s="225">
        <f t="shared" si="23"/>
        <v>24904</v>
      </c>
      <c r="H57" s="225"/>
      <c r="I57" s="225"/>
      <c r="J57" s="225"/>
      <c r="K57" s="225"/>
      <c r="L57" s="225"/>
      <c r="M57" s="225"/>
      <c r="N57" s="225"/>
      <c r="O57" s="225"/>
      <c r="P57" s="225"/>
      <c r="Q57" s="225"/>
      <c r="R57" s="916">
        <f t="shared" si="24"/>
        <v>47082</v>
      </c>
      <c r="S57" s="226"/>
      <c r="T57" s="226"/>
      <c r="U57" s="221"/>
    </row>
    <row r="58" spans="1:21" s="222" customFormat="1">
      <c r="A58" s="457" t="s">
        <v>161</v>
      </c>
      <c r="B58" s="224">
        <f t="shared" si="21"/>
        <v>0</v>
      </c>
      <c r="C58" s="225"/>
      <c r="D58" s="225"/>
      <c r="E58" s="225"/>
      <c r="F58" s="225"/>
      <c r="G58" s="225"/>
      <c r="H58" s="225"/>
      <c r="I58" s="225"/>
      <c r="J58" s="225"/>
      <c r="K58" s="225"/>
      <c r="L58" s="225"/>
      <c r="M58" s="225"/>
      <c r="N58" s="225"/>
      <c r="O58" s="225"/>
      <c r="P58" s="225"/>
      <c r="Q58" s="225"/>
      <c r="R58" s="916">
        <f t="shared" si="24"/>
        <v>0</v>
      </c>
      <c r="S58" s="226"/>
      <c r="T58" s="226"/>
      <c r="U58" s="221"/>
    </row>
    <row r="59" spans="1:21" s="222" customFormat="1">
      <c r="A59" s="223" t="s">
        <v>162</v>
      </c>
      <c r="B59" s="224">
        <f t="shared" si="21"/>
        <v>0</v>
      </c>
      <c r="C59" s="225"/>
      <c r="D59" s="225"/>
      <c r="E59" s="225"/>
      <c r="F59" s="225"/>
      <c r="G59" s="225"/>
      <c r="H59" s="225"/>
      <c r="I59" s="225"/>
      <c r="J59" s="225"/>
      <c r="K59" s="225"/>
      <c r="L59" s="225"/>
      <c r="M59" s="225"/>
      <c r="N59" s="225"/>
      <c r="O59" s="225"/>
      <c r="P59" s="225"/>
      <c r="Q59" s="225"/>
      <c r="R59" s="916">
        <f t="shared" si="24"/>
        <v>0</v>
      </c>
      <c r="S59" s="226"/>
      <c r="T59" s="226"/>
      <c r="U59" s="221"/>
    </row>
    <row r="60" spans="1:21" s="222" customFormat="1">
      <c r="A60" s="230" t="s">
        <v>37</v>
      </c>
      <c r="B60" s="224">
        <f t="shared" si="21"/>
        <v>0</v>
      </c>
      <c r="C60" s="225"/>
      <c r="D60" s="225"/>
      <c r="E60" s="225"/>
      <c r="F60" s="225"/>
      <c r="G60" s="225"/>
      <c r="H60" s="225"/>
      <c r="I60" s="225"/>
      <c r="J60" s="225"/>
      <c r="K60" s="225"/>
      <c r="L60" s="225"/>
      <c r="M60" s="225"/>
      <c r="N60" s="225"/>
      <c r="O60" s="225"/>
      <c r="P60" s="225"/>
      <c r="Q60" s="225"/>
      <c r="R60" s="916">
        <f t="shared" si="24"/>
        <v>0</v>
      </c>
      <c r="S60" s="226"/>
      <c r="T60" s="226"/>
      <c r="U60" s="221"/>
    </row>
    <row r="61" spans="1:21" s="222" customFormat="1">
      <c r="A61" s="230" t="s">
        <v>37</v>
      </c>
      <c r="B61" s="224">
        <f t="shared" si="21"/>
        <v>0</v>
      </c>
      <c r="C61" s="225"/>
      <c r="D61" s="225"/>
      <c r="E61" s="225"/>
      <c r="F61" s="225"/>
      <c r="G61" s="225"/>
      <c r="H61" s="225"/>
      <c r="I61" s="225"/>
      <c r="J61" s="225"/>
      <c r="K61" s="225"/>
      <c r="L61" s="225"/>
      <c r="M61" s="225"/>
      <c r="N61" s="225"/>
      <c r="O61" s="225"/>
      <c r="P61" s="225"/>
      <c r="Q61" s="225"/>
      <c r="R61" s="916">
        <f t="shared" si="24"/>
        <v>0</v>
      </c>
      <c r="S61" s="226"/>
      <c r="T61" s="226"/>
      <c r="U61" s="221"/>
    </row>
    <row r="62" spans="1:21" s="222" customFormat="1" ht="13.7" customHeight="1">
      <c r="A62" s="227" t="s">
        <v>320</v>
      </c>
      <c r="B62" s="224">
        <f>SUM(C62:D62)</f>
        <v>424296</v>
      </c>
      <c r="C62" s="224">
        <f t="shared" ref="C62:Q62" si="25">SUM(C55:C61)</f>
        <v>308410</v>
      </c>
      <c r="D62" s="224">
        <f t="shared" si="25"/>
        <v>115886</v>
      </c>
      <c r="E62" s="224">
        <f t="shared" si="25"/>
        <v>0</v>
      </c>
      <c r="F62" s="224">
        <f t="shared" si="25"/>
        <v>308410</v>
      </c>
      <c r="G62" s="224">
        <f t="shared" si="25"/>
        <v>115886</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8">
        <f>SUM(R55:R61)</f>
        <v>424296</v>
      </c>
      <c r="S62" s="226"/>
      <c r="T62" s="226"/>
      <c r="U62" s="221"/>
    </row>
    <row r="63" spans="1:21" s="222" customFormat="1">
      <c r="A63" s="233" t="s">
        <v>321</v>
      </c>
      <c r="B63" s="224">
        <f>SUM(B8+B11+B13+B14+B15+B25+B26+B36+B40+B41+B53+B62)</f>
        <v>55743016</v>
      </c>
      <c r="C63" s="224">
        <f t="shared" ref="C63:Q63" si="26">SUM(C8+C11+C13+C14+C15+C25+C26+C36+C40+C41+C53+C62)</f>
        <v>46561418</v>
      </c>
      <c r="D63" s="224">
        <f t="shared" si="26"/>
        <v>9181598</v>
      </c>
      <c r="E63" s="224">
        <f t="shared" si="26"/>
        <v>13607324</v>
      </c>
      <c r="F63" s="224">
        <f t="shared" si="26"/>
        <v>18309346</v>
      </c>
      <c r="G63" s="224">
        <f t="shared" si="26"/>
        <v>9181598</v>
      </c>
      <c r="H63" s="224">
        <f t="shared" si="26"/>
        <v>14644748</v>
      </c>
      <c r="I63" s="224">
        <f t="shared" si="26"/>
        <v>0</v>
      </c>
      <c r="J63" s="224">
        <f t="shared" si="26"/>
        <v>0</v>
      </c>
      <c r="K63" s="224">
        <f t="shared" si="26"/>
        <v>0</v>
      </c>
      <c r="L63" s="224">
        <f t="shared" si="26"/>
        <v>0</v>
      </c>
      <c r="M63" s="224">
        <f t="shared" si="26"/>
        <v>0</v>
      </c>
      <c r="N63" s="224">
        <f t="shared" si="26"/>
        <v>0</v>
      </c>
      <c r="O63" s="224">
        <f t="shared" si="26"/>
        <v>0</v>
      </c>
      <c r="P63" s="224">
        <f t="shared" si="26"/>
        <v>0</v>
      </c>
      <c r="Q63" s="224">
        <f t="shared" si="26"/>
        <v>0</v>
      </c>
      <c r="R63" s="558">
        <f>SUM(R8+R11+R13+R14+R15+R25+R26+R36+R40+R41+R53+R62)</f>
        <v>55743016</v>
      </c>
      <c r="S63" s="224">
        <f>SUM(S10+S13+S14+S15+S25+S26+S36+S40+S41+S53)</f>
        <v>20295146</v>
      </c>
      <c r="T63" s="224">
        <f>SUM(T11+T13+T14+T15+T25+T26+T36+T40+T41+T53)</f>
        <v>25759333</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230000</v>
      </c>
      <c r="C65" s="225">
        <v>182647</v>
      </c>
      <c r="D65" s="225">
        <v>47353</v>
      </c>
      <c r="E65" s="225">
        <f t="shared" ref="E65:E66" si="27">C65-F65-H65-I65-J65</f>
        <v>182647</v>
      </c>
      <c r="F65" s="225"/>
      <c r="G65" s="225">
        <f>D65</f>
        <v>47353</v>
      </c>
      <c r="H65" s="225"/>
      <c r="I65" s="225"/>
      <c r="J65" s="225"/>
      <c r="K65" s="225"/>
      <c r="L65" s="225"/>
      <c r="M65" s="225"/>
      <c r="N65" s="225"/>
      <c r="O65" s="225"/>
      <c r="P65" s="225"/>
      <c r="Q65" s="225"/>
      <c r="R65" s="916">
        <f>SUM(E65:Q65)</f>
        <v>230000</v>
      </c>
      <c r="S65" s="225">
        <f t="shared" ref="S65:S66" si="28">C65</f>
        <v>182647</v>
      </c>
      <c r="T65" s="225"/>
      <c r="U65" s="221"/>
    </row>
    <row r="66" spans="1:21" s="222" customFormat="1">
      <c r="A66" s="230" t="s">
        <v>37</v>
      </c>
      <c r="B66" s="224">
        <f>SUM(C66+D66)</f>
        <v>0</v>
      </c>
      <c r="C66" s="225"/>
      <c r="D66" s="225"/>
      <c r="E66" s="225">
        <f t="shared" si="27"/>
        <v>0</v>
      </c>
      <c r="F66" s="225"/>
      <c r="G66" s="225"/>
      <c r="H66" s="225"/>
      <c r="I66" s="225"/>
      <c r="J66" s="225"/>
      <c r="K66" s="225"/>
      <c r="L66" s="225"/>
      <c r="M66" s="225"/>
      <c r="N66" s="225"/>
      <c r="O66" s="225"/>
      <c r="P66" s="225"/>
      <c r="Q66" s="225"/>
      <c r="R66" s="916">
        <f>SUM(E66:Q66)</f>
        <v>0</v>
      </c>
      <c r="S66" s="225">
        <f t="shared" si="28"/>
        <v>0</v>
      </c>
      <c r="T66" s="225"/>
      <c r="U66" s="221"/>
    </row>
    <row r="67" spans="1:21" s="222" customFormat="1">
      <c r="A67" s="227" t="s">
        <v>652</v>
      </c>
      <c r="B67" s="224">
        <f>SUM(C67:D67)</f>
        <v>230000</v>
      </c>
      <c r="C67" s="224">
        <f>SUM(C64:C66)</f>
        <v>182647</v>
      </c>
      <c r="D67" s="224">
        <f>SUM(D64:D66)</f>
        <v>47353</v>
      </c>
      <c r="E67" s="224">
        <f t="shared" ref="E67:T67" si="29">SUM(E65:E66)</f>
        <v>182647</v>
      </c>
      <c r="F67" s="224">
        <f t="shared" si="29"/>
        <v>0</v>
      </c>
      <c r="G67" s="224">
        <f t="shared" si="29"/>
        <v>47353</v>
      </c>
      <c r="H67" s="224">
        <f t="shared" si="29"/>
        <v>0</v>
      </c>
      <c r="I67" s="224">
        <f t="shared" si="29"/>
        <v>0</v>
      </c>
      <c r="J67" s="224">
        <f t="shared" si="29"/>
        <v>0</v>
      </c>
      <c r="K67" s="224">
        <f t="shared" si="29"/>
        <v>0</v>
      </c>
      <c r="L67" s="224">
        <f t="shared" si="29"/>
        <v>0</v>
      </c>
      <c r="M67" s="224">
        <f t="shared" si="29"/>
        <v>0</v>
      </c>
      <c r="N67" s="224">
        <f t="shared" si="29"/>
        <v>0</v>
      </c>
      <c r="O67" s="224">
        <f t="shared" si="29"/>
        <v>0</v>
      </c>
      <c r="P67" s="224">
        <f t="shared" si="29"/>
        <v>0</v>
      </c>
      <c r="Q67" s="224">
        <f t="shared" si="29"/>
        <v>0</v>
      </c>
      <c r="R67" s="558">
        <f>SUM(R65:R66)</f>
        <v>230000</v>
      </c>
      <c r="S67" s="228">
        <f>SUM(S65:S66)</f>
        <v>182647</v>
      </c>
      <c r="T67" s="228">
        <f t="shared" si="2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30">C69-F69-H69-I69-J69</f>
        <v>0</v>
      </c>
      <c r="F69" s="225">
        <f>C69</f>
        <v>0</v>
      </c>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30"/>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30"/>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315654</v>
      </c>
      <c r="C72" s="225">
        <v>315654</v>
      </c>
      <c r="D72" s="225"/>
      <c r="E72" s="225">
        <f>C72-F72-H72-I72-J72</f>
        <v>0</v>
      </c>
      <c r="F72" s="225">
        <f>C72</f>
        <v>315654</v>
      </c>
      <c r="G72" s="225"/>
      <c r="H72" s="225"/>
      <c r="I72" s="225"/>
      <c r="J72" s="225"/>
      <c r="K72" s="225"/>
      <c r="L72" s="225"/>
      <c r="M72" s="225"/>
      <c r="N72" s="225"/>
      <c r="O72" s="225"/>
      <c r="P72" s="225"/>
      <c r="Q72" s="225"/>
      <c r="R72" s="916">
        <f>SUM(E72:Q72)</f>
        <v>315654</v>
      </c>
      <c r="S72" s="226"/>
      <c r="T72" s="226"/>
      <c r="U72" s="221"/>
    </row>
    <row r="73" spans="1:21" s="222" customFormat="1">
      <c r="A73" s="230" t="s">
        <v>37</v>
      </c>
      <c r="B73" s="224">
        <f>SUM(C73+D73)</f>
        <v>0</v>
      </c>
      <c r="C73" s="225"/>
      <c r="D73" s="225"/>
      <c r="E73" s="225">
        <f t="shared" si="30"/>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315654</v>
      </c>
      <c r="C74" s="224">
        <f>SUM(C69:C73)</f>
        <v>315654</v>
      </c>
      <c r="D74" s="224">
        <f>SUM(D69:D73)</f>
        <v>0</v>
      </c>
      <c r="E74" s="224">
        <f t="shared" ref="E74:Q74" si="31">SUM(E69:E73)</f>
        <v>0</v>
      </c>
      <c r="F74" s="224">
        <f t="shared" si="31"/>
        <v>315654</v>
      </c>
      <c r="G74" s="224">
        <f t="shared" si="31"/>
        <v>0</v>
      </c>
      <c r="H74" s="224">
        <f t="shared" si="31"/>
        <v>0</v>
      </c>
      <c r="I74" s="224">
        <f t="shared" si="31"/>
        <v>0</v>
      </c>
      <c r="J74" s="224">
        <f t="shared" si="31"/>
        <v>0</v>
      </c>
      <c r="K74" s="224">
        <f t="shared" si="31"/>
        <v>0</v>
      </c>
      <c r="L74" s="224">
        <f t="shared" si="31"/>
        <v>0</v>
      </c>
      <c r="M74" s="224">
        <f t="shared" si="31"/>
        <v>0</v>
      </c>
      <c r="N74" s="224">
        <f t="shared" si="31"/>
        <v>0</v>
      </c>
      <c r="O74" s="224">
        <f t="shared" si="31"/>
        <v>0</v>
      </c>
      <c r="P74" s="224">
        <f t="shared" si="31"/>
        <v>0</v>
      </c>
      <c r="Q74" s="224">
        <f t="shared" si="31"/>
        <v>0</v>
      </c>
      <c r="R74" s="558">
        <f>SUM(R69:R73)</f>
        <v>315654</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1168000</v>
      </c>
      <c r="C76" s="225">
        <v>1168000</v>
      </c>
      <c r="D76" s="225"/>
      <c r="E76" s="225">
        <f t="shared" ref="E76:E77" si="32">C76-F76-H76-I76-J76</f>
        <v>1168000</v>
      </c>
      <c r="F76" s="225"/>
      <c r="G76" s="225"/>
      <c r="H76" s="225"/>
      <c r="I76" s="225"/>
      <c r="J76" s="225"/>
      <c r="K76" s="225"/>
      <c r="L76" s="225"/>
      <c r="M76" s="225"/>
      <c r="N76" s="225"/>
      <c r="O76" s="225"/>
      <c r="P76" s="225"/>
      <c r="Q76" s="225"/>
      <c r="R76" s="916">
        <f>SUM(E76:Q76)</f>
        <v>1168000</v>
      </c>
      <c r="S76" s="225">
        <f t="shared" ref="S76:S77" si="33">C76</f>
        <v>1168000</v>
      </c>
      <c r="T76" s="225"/>
      <c r="U76" s="221"/>
    </row>
    <row r="77" spans="1:21" s="222" customFormat="1">
      <c r="A77" s="457" t="s">
        <v>63</v>
      </c>
      <c r="B77" s="224">
        <f>SUM(C77:D77)</f>
        <v>332000</v>
      </c>
      <c r="C77" s="225">
        <v>332000</v>
      </c>
      <c r="D77" s="225"/>
      <c r="E77" s="225">
        <f t="shared" si="32"/>
        <v>332000</v>
      </c>
      <c r="F77" s="225"/>
      <c r="G77" s="225"/>
      <c r="H77" s="225"/>
      <c r="I77" s="225"/>
      <c r="J77" s="225"/>
      <c r="K77" s="225"/>
      <c r="L77" s="225"/>
      <c r="M77" s="225"/>
      <c r="N77" s="225"/>
      <c r="O77" s="225"/>
      <c r="P77" s="225"/>
      <c r="Q77" s="225"/>
      <c r="R77" s="916">
        <f>SUM(E77:Q77)</f>
        <v>332000</v>
      </c>
      <c r="S77" s="225">
        <f t="shared" si="33"/>
        <v>332000</v>
      </c>
      <c r="T77" s="225"/>
      <c r="U77" s="221"/>
    </row>
    <row r="78" spans="1:21" s="222" customFormat="1">
      <c r="A78" s="227" t="s">
        <v>1468</v>
      </c>
      <c r="B78" s="224">
        <f>SUM(C78:D78)</f>
        <v>1500000</v>
      </c>
      <c r="C78" s="890">
        <f>SUM(C76:C77)</f>
        <v>1500000</v>
      </c>
      <c r="D78" s="890">
        <f t="shared" ref="D78:T78" si="34">SUM(D76:D77)</f>
        <v>0</v>
      </c>
      <c r="E78" s="890">
        <f t="shared" si="34"/>
        <v>1500000</v>
      </c>
      <c r="F78" s="890">
        <f t="shared" si="34"/>
        <v>0</v>
      </c>
      <c r="G78" s="890">
        <f t="shared" si="34"/>
        <v>0</v>
      </c>
      <c r="H78" s="890">
        <f t="shared" si="34"/>
        <v>0</v>
      </c>
      <c r="I78" s="890">
        <f t="shared" si="34"/>
        <v>0</v>
      </c>
      <c r="J78" s="890">
        <f t="shared" si="34"/>
        <v>0</v>
      </c>
      <c r="K78" s="890">
        <f t="shared" si="34"/>
        <v>0</v>
      </c>
      <c r="L78" s="890">
        <f t="shared" si="34"/>
        <v>0</v>
      </c>
      <c r="M78" s="890">
        <f t="shared" si="34"/>
        <v>0</v>
      </c>
      <c r="N78" s="890">
        <f t="shared" si="34"/>
        <v>0</v>
      </c>
      <c r="O78" s="890">
        <f t="shared" si="34"/>
        <v>0</v>
      </c>
      <c r="P78" s="890">
        <f t="shared" si="34"/>
        <v>0</v>
      </c>
      <c r="Q78" s="890">
        <f t="shared" si="34"/>
        <v>0</v>
      </c>
      <c r="R78" s="890">
        <f t="shared" si="34"/>
        <v>1500000</v>
      </c>
      <c r="S78" s="890">
        <f t="shared" si="34"/>
        <v>1500000</v>
      </c>
      <c r="T78" s="890">
        <f t="shared" si="34"/>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5">SUM(C80+D80)</f>
        <v>54915</v>
      </c>
      <c r="C80" s="225">
        <v>54915</v>
      </c>
      <c r="D80" s="225"/>
      <c r="E80" s="225">
        <f t="shared" ref="E80:E94" si="36">C80-F80-H80-I80-J80</f>
        <v>54915</v>
      </c>
      <c r="F80" s="225"/>
      <c r="G80" s="225"/>
      <c r="H80" s="225"/>
      <c r="I80" s="225"/>
      <c r="J80" s="225"/>
      <c r="K80" s="225"/>
      <c r="L80" s="225"/>
      <c r="M80" s="225"/>
      <c r="N80" s="225"/>
      <c r="O80" s="225"/>
      <c r="P80" s="225"/>
      <c r="Q80" s="225"/>
      <c r="R80" s="916">
        <f t="shared" ref="R80:R94" si="37">SUM(E80:Q80)</f>
        <v>54915</v>
      </c>
      <c r="S80" s="226"/>
      <c r="T80" s="226"/>
      <c r="U80" s="221"/>
    </row>
    <row r="81" spans="1:21" s="222" customFormat="1">
      <c r="A81" s="223" t="s">
        <v>846</v>
      </c>
      <c r="B81" s="224">
        <f t="shared" si="35"/>
        <v>82516</v>
      </c>
      <c r="C81" s="225">
        <v>82516</v>
      </c>
      <c r="D81" s="225"/>
      <c r="E81" s="225">
        <f t="shared" si="36"/>
        <v>82516</v>
      </c>
      <c r="F81" s="225"/>
      <c r="G81" s="225"/>
      <c r="H81" s="225"/>
      <c r="I81" s="225"/>
      <c r="J81" s="225"/>
      <c r="K81" s="225"/>
      <c r="L81" s="225"/>
      <c r="M81" s="225"/>
      <c r="N81" s="225"/>
      <c r="O81" s="225"/>
      <c r="P81" s="225"/>
      <c r="Q81" s="225"/>
      <c r="R81" s="916">
        <f t="shared" si="37"/>
        <v>82516</v>
      </c>
      <c r="S81" s="225">
        <f t="shared" ref="S81:S84" si="38">C81</f>
        <v>82516</v>
      </c>
      <c r="T81" s="225"/>
      <c r="U81" s="221"/>
    </row>
    <row r="82" spans="1:21" s="222" customFormat="1">
      <c r="A82" s="223" t="s">
        <v>847</v>
      </c>
      <c r="B82" s="224">
        <f t="shared" si="35"/>
        <v>165000</v>
      </c>
      <c r="C82" s="225">
        <v>165000</v>
      </c>
      <c r="D82" s="225"/>
      <c r="E82" s="225">
        <f t="shared" si="36"/>
        <v>165000</v>
      </c>
      <c r="F82" s="225"/>
      <c r="G82" s="225"/>
      <c r="H82" s="225"/>
      <c r="I82" s="225"/>
      <c r="J82" s="225"/>
      <c r="K82" s="225"/>
      <c r="L82" s="225"/>
      <c r="M82" s="225"/>
      <c r="N82" s="225"/>
      <c r="O82" s="225"/>
      <c r="P82" s="225"/>
      <c r="Q82" s="225"/>
      <c r="R82" s="916">
        <f t="shared" si="37"/>
        <v>165000</v>
      </c>
      <c r="S82" s="225">
        <f t="shared" si="38"/>
        <v>165000</v>
      </c>
      <c r="T82" s="225"/>
      <c r="U82" s="221"/>
    </row>
    <row r="83" spans="1:21" s="222" customFormat="1">
      <c r="A83" s="223" t="s">
        <v>848</v>
      </c>
      <c r="B83" s="224">
        <f t="shared" si="35"/>
        <v>585000</v>
      </c>
      <c r="C83" s="225">
        <v>585000</v>
      </c>
      <c r="D83" s="225"/>
      <c r="E83" s="225">
        <f t="shared" si="36"/>
        <v>585000</v>
      </c>
      <c r="F83" s="225"/>
      <c r="G83" s="225"/>
      <c r="H83" s="225"/>
      <c r="I83" s="225"/>
      <c r="J83" s="225"/>
      <c r="K83" s="225"/>
      <c r="L83" s="225"/>
      <c r="M83" s="225"/>
      <c r="N83" s="225"/>
      <c r="O83" s="225"/>
      <c r="P83" s="225"/>
      <c r="Q83" s="225"/>
      <c r="R83" s="916">
        <f t="shared" si="37"/>
        <v>585000</v>
      </c>
      <c r="S83" s="225">
        <f t="shared" si="38"/>
        <v>585000</v>
      </c>
      <c r="T83" s="225"/>
      <c r="U83" s="221"/>
    </row>
    <row r="84" spans="1:21" s="222" customFormat="1">
      <c r="A84" s="223" t="s">
        <v>849</v>
      </c>
      <c r="B84" s="224">
        <f t="shared" si="35"/>
        <v>0</v>
      </c>
      <c r="C84" s="225"/>
      <c r="D84" s="225"/>
      <c r="E84" s="225">
        <f t="shared" si="36"/>
        <v>0</v>
      </c>
      <c r="F84" s="225"/>
      <c r="G84" s="225"/>
      <c r="H84" s="225"/>
      <c r="I84" s="225"/>
      <c r="J84" s="225"/>
      <c r="K84" s="225"/>
      <c r="L84" s="225"/>
      <c r="M84" s="225"/>
      <c r="N84" s="225"/>
      <c r="O84" s="225"/>
      <c r="P84" s="225"/>
      <c r="Q84" s="225"/>
      <c r="R84" s="916">
        <f t="shared" si="37"/>
        <v>0</v>
      </c>
      <c r="S84" s="225">
        <f t="shared" si="38"/>
        <v>0</v>
      </c>
      <c r="T84" s="225"/>
      <c r="U84" s="221"/>
    </row>
    <row r="85" spans="1:21" s="222" customFormat="1">
      <c r="A85" s="223" t="s">
        <v>850</v>
      </c>
      <c r="B85" s="224">
        <f t="shared" si="35"/>
        <v>191000</v>
      </c>
      <c r="C85" s="225">
        <v>92222</v>
      </c>
      <c r="D85" s="225">
        <v>98778</v>
      </c>
      <c r="E85" s="225">
        <f t="shared" si="36"/>
        <v>92222</v>
      </c>
      <c r="F85" s="225"/>
      <c r="G85" s="225">
        <f>D85</f>
        <v>98778</v>
      </c>
      <c r="H85" s="225"/>
      <c r="I85" s="225"/>
      <c r="J85" s="225"/>
      <c r="K85" s="225"/>
      <c r="L85" s="225"/>
      <c r="M85" s="225"/>
      <c r="N85" s="225"/>
      <c r="O85" s="225"/>
      <c r="P85" s="225"/>
      <c r="Q85" s="225"/>
      <c r="R85" s="916">
        <f t="shared" si="37"/>
        <v>191000</v>
      </c>
      <c r="S85" s="226"/>
      <c r="T85" s="226"/>
      <c r="U85" s="221"/>
    </row>
    <row r="86" spans="1:21" s="222" customFormat="1">
      <c r="A86" s="223" t="s">
        <v>851</v>
      </c>
      <c r="B86" s="224">
        <f t="shared" si="35"/>
        <v>1275000</v>
      </c>
      <c r="C86" s="225">
        <v>960000</v>
      </c>
      <c r="D86" s="225">
        <v>315000</v>
      </c>
      <c r="E86" s="225">
        <f t="shared" si="36"/>
        <v>960000</v>
      </c>
      <c r="F86" s="225"/>
      <c r="G86" s="225">
        <f>D86</f>
        <v>315000</v>
      </c>
      <c r="H86" s="225"/>
      <c r="I86" s="225"/>
      <c r="J86" s="225"/>
      <c r="K86" s="225"/>
      <c r="L86" s="225"/>
      <c r="M86" s="225"/>
      <c r="N86" s="225"/>
      <c r="O86" s="225"/>
      <c r="P86" s="225"/>
      <c r="Q86" s="225"/>
      <c r="R86" s="916">
        <f t="shared" si="37"/>
        <v>1275000</v>
      </c>
      <c r="S86" s="225">
        <f t="shared" ref="S86:S94" si="39">C86</f>
        <v>960000</v>
      </c>
      <c r="T86" s="225"/>
      <c r="U86" s="221"/>
    </row>
    <row r="87" spans="1:21" s="222" customFormat="1">
      <c r="A87" s="223" t="s">
        <v>852</v>
      </c>
      <c r="B87" s="224">
        <f t="shared" si="35"/>
        <v>18000</v>
      </c>
      <c r="C87" s="225">
        <v>18000</v>
      </c>
      <c r="D87" s="225"/>
      <c r="E87" s="225">
        <f t="shared" si="36"/>
        <v>18000</v>
      </c>
      <c r="F87" s="225"/>
      <c r="G87" s="225"/>
      <c r="H87" s="225"/>
      <c r="I87" s="225"/>
      <c r="J87" s="225"/>
      <c r="K87" s="225"/>
      <c r="L87" s="225"/>
      <c r="M87" s="225"/>
      <c r="N87" s="225"/>
      <c r="O87" s="225"/>
      <c r="P87" s="225"/>
      <c r="Q87" s="225"/>
      <c r="R87" s="916">
        <f t="shared" si="37"/>
        <v>18000</v>
      </c>
      <c r="S87" s="225">
        <f t="shared" si="39"/>
        <v>18000</v>
      </c>
      <c r="T87" s="225"/>
      <c r="U87" s="221"/>
    </row>
    <row r="88" spans="1:21" s="222" customFormat="1">
      <c r="A88" s="234" t="s">
        <v>404</v>
      </c>
      <c r="B88" s="224">
        <f t="shared" si="35"/>
        <v>65000</v>
      </c>
      <c r="C88" s="225">
        <v>65000</v>
      </c>
      <c r="D88" s="225"/>
      <c r="E88" s="225">
        <f t="shared" si="36"/>
        <v>65000</v>
      </c>
      <c r="F88" s="225"/>
      <c r="G88" s="225"/>
      <c r="H88" s="225"/>
      <c r="I88" s="225"/>
      <c r="J88" s="225"/>
      <c r="K88" s="225"/>
      <c r="L88" s="225"/>
      <c r="M88" s="225"/>
      <c r="N88" s="225"/>
      <c r="O88" s="225"/>
      <c r="P88" s="225"/>
      <c r="Q88" s="225"/>
      <c r="R88" s="916">
        <f t="shared" si="37"/>
        <v>65000</v>
      </c>
      <c r="S88" s="225">
        <f t="shared" si="39"/>
        <v>65000</v>
      </c>
      <c r="T88" s="225"/>
      <c r="U88" s="221"/>
    </row>
    <row r="89" spans="1:21" s="222" customFormat="1">
      <c r="A89" s="889" t="s">
        <v>1470</v>
      </c>
      <c r="B89" s="224">
        <f t="shared" si="35"/>
        <v>37500</v>
      </c>
      <c r="C89" s="225">
        <v>29779</v>
      </c>
      <c r="D89" s="225">
        <v>7721</v>
      </c>
      <c r="E89" s="225">
        <f t="shared" si="36"/>
        <v>29779</v>
      </c>
      <c r="F89" s="225"/>
      <c r="G89" s="225">
        <f>D89</f>
        <v>7721</v>
      </c>
      <c r="H89" s="225"/>
      <c r="I89" s="225"/>
      <c r="J89" s="225"/>
      <c r="K89" s="225"/>
      <c r="L89" s="225"/>
      <c r="M89" s="225"/>
      <c r="N89" s="225"/>
      <c r="O89" s="225"/>
      <c r="P89" s="225"/>
      <c r="Q89" s="225"/>
      <c r="R89" s="916">
        <f t="shared" si="37"/>
        <v>37500</v>
      </c>
      <c r="S89" s="225">
        <f t="shared" si="39"/>
        <v>29779</v>
      </c>
      <c r="T89" s="225"/>
      <c r="U89" s="221"/>
    </row>
    <row r="90" spans="1:21" s="222" customFormat="1">
      <c r="A90" s="230" t="s">
        <v>37</v>
      </c>
      <c r="B90" s="224">
        <f t="shared" si="35"/>
        <v>0</v>
      </c>
      <c r="C90" s="225"/>
      <c r="D90" s="225"/>
      <c r="E90" s="225">
        <f t="shared" si="36"/>
        <v>0</v>
      </c>
      <c r="F90" s="225"/>
      <c r="G90" s="225"/>
      <c r="H90" s="225"/>
      <c r="I90" s="225"/>
      <c r="J90" s="225"/>
      <c r="K90" s="225"/>
      <c r="L90" s="225"/>
      <c r="M90" s="225"/>
      <c r="N90" s="225"/>
      <c r="O90" s="225"/>
      <c r="P90" s="225"/>
      <c r="Q90" s="225"/>
      <c r="R90" s="916">
        <f t="shared" si="37"/>
        <v>0</v>
      </c>
      <c r="S90" s="225">
        <f t="shared" si="39"/>
        <v>0</v>
      </c>
      <c r="T90" s="225"/>
      <c r="U90" s="221"/>
    </row>
    <row r="91" spans="1:21" s="222" customFormat="1">
      <c r="A91" s="230" t="s">
        <v>37</v>
      </c>
      <c r="B91" s="224">
        <f t="shared" si="35"/>
        <v>0</v>
      </c>
      <c r="C91" s="225"/>
      <c r="D91" s="225"/>
      <c r="E91" s="225">
        <f t="shared" si="36"/>
        <v>0</v>
      </c>
      <c r="F91" s="225"/>
      <c r="G91" s="225"/>
      <c r="H91" s="225"/>
      <c r="I91" s="225"/>
      <c r="J91" s="225"/>
      <c r="K91" s="225"/>
      <c r="L91" s="225"/>
      <c r="M91" s="225"/>
      <c r="N91" s="225"/>
      <c r="O91" s="225"/>
      <c r="P91" s="225"/>
      <c r="Q91" s="225"/>
      <c r="R91" s="916">
        <f t="shared" si="37"/>
        <v>0</v>
      </c>
      <c r="S91" s="225">
        <f t="shared" si="39"/>
        <v>0</v>
      </c>
      <c r="T91" s="225"/>
      <c r="U91" s="221"/>
    </row>
    <row r="92" spans="1:21" s="222" customFormat="1">
      <c r="A92" s="230" t="s">
        <v>37</v>
      </c>
      <c r="B92" s="224">
        <f t="shared" si="35"/>
        <v>0</v>
      </c>
      <c r="C92" s="225"/>
      <c r="D92" s="225"/>
      <c r="E92" s="225">
        <f t="shared" si="36"/>
        <v>0</v>
      </c>
      <c r="F92" s="225"/>
      <c r="G92" s="225"/>
      <c r="H92" s="225"/>
      <c r="I92" s="225"/>
      <c r="J92" s="225"/>
      <c r="K92" s="225"/>
      <c r="L92" s="225"/>
      <c r="M92" s="225"/>
      <c r="N92" s="225"/>
      <c r="O92" s="225"/>
      <c r="P92" s="225"/>
      <c r="Q92" s="225"/>
      <c r="R92" s="916">
        <f t="shared" si="37"/>
        <v>0</v>
      </c>
      <c r="S92" s="225">
        <f t="shared" si="39"/>
        <v>0</v>
      </c>
      <c r="T92" s="225"/>
      <c r="U92" s="221"/>
    </row>
    <row r="93" spans="1:21" s="222" customFormat="1">
      <c r="A93" s="230" t="s">
        <v>37</v>
      </c>
      <c r="B93" s="224">
        <f t="shared" si="35"/>
        <v>0</v>
      </c>
      <c r="C93" s="225"/>
      <c r="D93" s="225"/>
      <c r="E93" s="225">
        <f t="shared" si="36"/>
        <v>0</v>
      </c>
      <c r="F93" s="225"/>
      <c r="G93" s="225"/>
      <c r="H93" s="225"/>
      <c r="I93" s="225"/>
      <c r="J93" s="225"/>
      <c r="K93" s="225"/>
      <c r="L93" s="225"/>
      <c r="M93" s="225"/>
      <c r="N93" s="225"/>
      <c r="O93" s="225"/>
      <c r="P93" s="225"/>
      <c r="Q93" s="225"/>
      <c r="R93" s="916">
        <f t="shared" si="37"/>
        <v>0</v>
      </c>
      <c r="S93" s="225">
        <f t="shared" si="39"/>
        <v>0</v>
      </c>
      <c r="T93" s="225"/>
      <c r="U93" s="221"/>
    </row>
    <row r="94" spans="1:21" s="222" customFormat="1">
      <c r="A94" s="230" t="s">
        <v>37</v>
      </c>
      <c r="B94" s="224">
        <f t="shared" si="35"/>
        <v>0</v>
      </c>
      <c r="C94" s="225"/>
      <c r="D94" s="225"/>
      <c r="E94" s="225">
        <f t="shared" si="36"/>
        <v>0</v>
      </c>
      <c r="F94" s="225"/>
      <c r="G94" s="225"/>
      <c r="H94" s="225"/>
      <c r="I94" s="225"/>
      <c r="J94" s="225"/>
      <c r="K94" s="225"/>
      <c r="L94" s="225"/>
      <c r="M94" s="225"/>
      <c r="N94" s="225"/>
      <c r="O94" s="225"/>
      <c r="P94" s="225"/>
      <c r="Q94" s="225"/>
      <c r="R94" s="916">
        <f t="shared" si="37"/>
        <v>0</v>
      </c>
      <c r="S94" s="225">
        <f t="shared" si="39"/>
        <v>0</v>
      </c>
      <c r="T94" s="225"/>
      <c r="U94" s="221"/>
    </row>
    <row r="95" spans="1:21" s="222" customFormat="1">
      <c r="A95" s="227" t="s">
        <v>853</v>
      </c>
      <c r="B95" s="224">
        <f>SUM(C95:D95)</f>
        <v>2473931</v>
      </c>
      <c r="C95" s="224">
        <f t="shared" ref="C95:Q95" si="40">SUM(C80:C94)</f>
        <v>2052432</v>
      </c>
      <c r="D95" s="224">
        <f t="shared" si="40"/>
        <v>421499</v>
      </c>
      <c r="E95" s="224">
        <f t="shared" si="40"/>
        <v>2052432</v>
      </c>
      <c r="F95" s="224">
        <f t="shared" si="40"/>
        <v>0</v>
      </c>
      <c r="G95" s="224">
        <f t="shared" si="40"/>
        <v>421499</v>
      </c>
      <c r="H95" s="224">
        <f t="shared" si="40"/>
        <v>0</v>
      </c>
      <c r="I95" s="224">
        <f t="shared" si="40"/>
        <v>0</v>
      </c>
      <c r="J95" s="224">
        <f t="shared" si="40"/>
        <v>0</v>
      </c>
      <c r="K95" s="224">
        <f t="shared" si="40"/>
        <v>0</v>
      </c>
      <c r="L95" s="224">
        <f t="shared" si="40"/>
        <v>0</v>
      </c>
      <c r="M95" s="224">
        <f t="shared" si="40"/>
        <v>0</v>
      </c>
      <c r="N95" s="224">
        <f t="shared" si="40"/>
        <v>0</v>
      </c>
      <c r="O95" s="224">
        <f t="shared" si="40"/>
        <v>0</v>
      </c>
      <c r="P95" s="224">
        <f t="shared" si="40"/>
        <v>0</v>
      </c>
      <c r="Q95" s="224">
        <f t="shared" si="40"/>
        <v>0</v>
      </c>
      <c r="R95" s="558">
        <f>SUM(R80:R94)</f>
        <v>2473931</v>
      </c>
      <c r="S95" s="228">
        <f>SUM(S81:S84,S86:S94)</f>
        <v>1905295</v>
      </c>
      <c r="T95" s="224">
        <f>SUM(T81:T84,T86:T94)</f>
        <v>0</v>
      </c>
      <c r="U95" s="221"/>
    </row>
    <row r="96" spans="1:21" s="222" customFormat="1">
      <c r="A96" s="227" t="s">
        <v>854</v>
      </c>
      <c r="B96" s="224">
        <f>SUM(C96:D96)</f>
        <v>60262601</v>
      </c>
      <c r="C96" s="224">
        <f>SUM(C63+C67+C74+C78+C95)</f>
        <v>50612151</v>
      </c>
      <c r="D96" s="224">
        <f t="shared" ref="D96:R96" si="41">SUM(D63+D67+D74+D78+D95)</f>
        <v>9650450</v>
      </c>
      <c r="E96" s="224">
        <f t="shared" si="41"/>
        <v>17342403</v>
      </c>
      <c r="F96" s="224">
        <f t="shared" si="41"/>
        <v>18625000</v>
      </c>
      <c r="G96" s="224">
        <f t="shared" si="41"/>
        <v>9650450</v>
      </c>
      <c r="H96" s="224">
        <f t="shared" si="41"/>
        <v>14644748</v>
      </c>
      <c r="I96" s="224">
        <f t="shared" si="41"/>
        <v>0</v>
      </c>
      <c r="J96" s="224">
        <f t="shared" si="41"/>
        <v>0</v>
      </c>
      <c r="K96" s="224">
        <f t="shared" si="41"/>
        <v>0</v>
      </c>
      <c r="L96" s="224">
        <f t="shared" si="41"/>
        <v>0</v>
      </c>
      <c r="M96" s="224">
        <f t="shared" si="41"/>
        <v>0</v>
      </c>
      <c r="N96" s="224">
        <f t="shared" si="41"/>
        <v>0</v>
      </c>
      <c r="O96" s="224">
        <f t="shared" si="41"/>
        <v>0</v>
      </c>
      <c r="P96" s="224">
        <f t="shared" si="41"/>
        <v>0</v>
      </c>
      <c r="Q96" s="224">
        <f t="shared" si="41"/>
        <v>0</v>
      </c>
      <c r="R96" s="224">
        <f t="shared" si="41"/>
        <v>60262601</v>
      </c>
      <c r="S96" s="224">
        <f>SUM(S63+S67+S78+S95)</f>
        <v>23883088</v>
      </c>
      <c r="T96" s="224">
        <f>SUM(T63+T67+T78+T95)</f>
        <v>25759333</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2">SUM(C98+D98)</f>
        <v>6701726.834999999</v>
      </c>
      <c r="C98" s="225">
        <f>S98+T98</f>
        <v>6701726.834999999</v>
      </c>
      <c r="D98" s="225"/>
      <c r="E98" s="225">
        <v>1250000</v>
      </c>
      <c r="F98" s="225">
        <v>1250000</v>
      </c>
      <c r="G98" s="225">
        <f>D98</f>
        <v>0</v>
      </c>
      <c r="H98" s="225"/>
      <c r="I98" s="225">
        <f>C98-2500000</f>
        <v>4201726.834999999</v>
      </c>
      <c r="J98" s="225">
        <f>Application!AG622</f>
        <v>0</v>
      </c>
      <c r="K98" s="225"/>
      <c r="L98" s="225"/>
      <c r="M98" s="225"/>
      <c r="N98" s="225"/>
      <c r="O98" s="225">
        <f>P98/0.15</f>
        <v>0</v>
      </c>
      <c r="P98" s="225"/>
      <c r="Q98" s="225"/>
      <c r="R98" s="916">
        <f t="shared" ref="R98:R103" si="43">SUM(E98:Q98)</f>
        <v>6701726.834999999</v>
      </c>
      <c r="S98" s="225">
        <f>(S96*0.15)*0.9</f>
        <v>3224216.88</v>
      </c>
      <c r="T98" s="225">
        <f>(T96*0.15)*0.9</f>
        <v>3477509.9549999996</v>
      </c>
      <c r="U98" s="221"/>
    </row>
    <row r="99" spans="1:21" s="222" customFormat="1">
      <c r="A99" s="223" t="s">
        <v>857</v>
      </c>
      <c r="B99" s="224">
        <f t="shared" si="42"/>
        <v>0</v>
      </c>
      <c r="C99" s="225"/>
      <c r="D99" s="225"/>
      <c r="E99" s="225"/>
      <c r="F99" s="225"/>
      <c r="G99" s="225"/>
      <c r="H99" s="225"/>
      <c r="I99" s="225"/>
      <c r="J99" s="225"/>
      <c r="K99" s="225"/>
      <c r="L99" s="225"/>
      <c r="M99" s="225"/>
      <c r="N99" s="225"/>
      <c r="O99" s="225"/>
      <c r="P99" s="225"/>
      <c r="Q99" s="225"/>
      <c r="R99" s="916">
        <f t="shared" si="43"/>
        <v>0</v>
      </c>
      <c r="S99" s="225"/>
      <c r="T99" s="225"/>
      <c r="U99" s="221"/>
    </row>
    <row r="100" spans="1:21" s="222" customFormat="1">
      <c r="A100" s="223" t="s">
        <v>858</v>
      </c>
      <c r="B100" s="224">
        <f t="shared" si="42"/>
        <v>0</v>
      </c>
      <c r="C100" s="225"/>
      <c r="D100" s="225"/>
      <c r="E100" s="225"/>
      <c r="F100" s="225"/>
      <c r="G100" s="225"/>
      <c r="H100" s="225"/>
      <c r="I100" s="225"/>
      <c r="J100" s="225"/>
      <c r="K100" s="225"/>
      <c r="L100" s="225"/>
      <c r="M100" s="225"/>
      <c r="N100" s="225"/>
      <c r="O100" s="225"/>
      <c r="P100" s="225"/>
      <c r="Q100" s="225"/>
      <c r="R100" s="916">
        <f t="shared" si="43"/>
        <v>0</v>
      </c>
      <c r="S100" s="225"/>
      <c r="T100" s="225"/>
      <c r="U100" s="221"/>
    </row>
    <row r="101" spans="1:21" s="222" customFormat="1" ht="12" customHeight="1">
      <c r="A101" s="223" t="s">
        <v>859</v>
      </c>
      <c r="B101" s="224">
        <f t="shared" si="42"/>
        <v>0</v>
      </c>
      <c r="C101" s="225"/>
      <c r="D101" s="225"/>
      <c r="E101" s="225"/>
      <c r="F101" s="225"/>
      <c r="G101" s="225"/>
      <c r="H101" s="225"/>
      <c r="I101" s="225"/>
      <c r="J101" s="225"/>
      <c r="K101" s="225"/>
      <c r="L101" s="225"/>
      <c r="M101" s="225"/>
      <c r="N101" s="225"/>
      <c r="O101" s="225"/>
      <c r="P101" s="225"/>
      <c r="Q101" s="225"/>
      <c r="R101" s="916">
        <f t="shared" si="43"/>
        <v>0</v>
      </c>
      <c r="S101" s="225"/>
      <c r="T101" s="225"/>
      <c r="U101" s="221"/>
    </row>
    <row r="102" spans="1:21" s="222" customFormat="1">
      <c r="A102" s="457" t="s">
        <v>1129</v>
      </c>
      <c r="B102" s="224">
        <f t="shared" si="42"/>
        <v>0</v>
      </c>
      <c r="C102" s="225"/>
      <c r="D102" s="225"/>
      <c r="E102" s="225"/>
      <c r="F102" s="225"/>
      <c r="G102" s="225"/>
      <c r="H102" s="225"/>
      <c r="I102" s="225"/>
      <c r="J102" s="225"/>
      <c r="K102" s="225"/>
      <c r="L102" s="225"/>
      <c r="M102" s="225"/>
      <c r="N102" s="225"/>
      <c r="O102" s="225"/>
      <c r="P102" s="225"/>
      <c r="Q102" s="225"/>
      <c r="R102" s="916">
        <f t="shared" si="43"/>
        <v>0</v>
      </c>
      <c r="S102" s="225"/>
      <c r="T102" s="225"/>
      <c r="U102" s="221"/>
    </row>
    <row r="103" spans="1:21" s="222" customFormat="1">
      <c r="A103" s="230" t="s">
        <v>37</v>
      </c>
      <c r="B103" s="224">
        <f t="shared" si="42"/>
        <v>0</v>
      </c>
      <c r="C103" s="225"/>
      <c r="D103" s="225"/>
      <c r="E103" s="225"/>
      <c r="F103" s="225"/>
      <c r="G103" s="225"/>
      <c r="H103" s="225"/>
      <c r="I103" s="225"/>
      <c r="J103" s="225"/>
      <c r="K103" s="225"/>
      <c r="L103" s="225"/>
      <c r="M103" s="225"/>
      <c r="N103" s="225"/>
      <c r="O103" s="225"/>
      <c r="P103" s="225"/>
      <c r="Q103" s="225"/>
      <c r="R103" s="916">
        <f t="shared" si="43"/>
        <v>0</v>
      </c>
      <c r="S103" s="225"/>
      <c r="T103" s="225"/>
      <c r="U103" s="221"/>
    </row>
    <row r="104" spans="1:21" s="222" customFormat="1">
      <c r="A104" s="227" t="s">
        <v>861</v>
      </c>
      <c r="B104" s="224">
        <f>SUM(C104:D104)</f>
        <v>6701726.834999999</v>
      </c>
      <c r="C104" s="224">
        <f t="shared" ref="C104:T104" si="44">SUM(C98:C103)</f>
        <v>6701726.834999999</v>
      </c>
      <c r="D104" s="224">
        <f t="shared" si="44"/>
        <v>0</v>
      </c>
      <c r="E104" s="224">
        <f t="shared" si="44"/>
        <v>1250000</v>
      </c>
      <c r="F104" s="224">
        <f t="shared" si="44"/>
        <v>1250000</v>
      </c>
      <c r="G104" s="224">
        <f t="shared" si="44"/>
        <v>0</v>
      </c>
      <c r="H104" s="224">
        <f t="shared" si="44"/>
        <v>0</v>
      </c>
      <c r="I104" s="224">
        <f t="shared" si="44"/>
        <v>4201726.834999999</v>
      </c>
      <c r="J104" s="224">
        <f t="shared" si="44"/>
        <v>0</v>
      </c>
      <c r="K104" s="224">
        <f t="shared" si="44"/>
        <v>0</v>
      </c>
      <c r="L104" s="224">
        <f t="shared" si="44"/>
        <v>0</v>
      </c>
      <c r="M104" s="224">
        <f t="shared" si="44"/>
        <v>0</v>
      </c>
      <c r="N104" s="224">
        <f t="shared" si="44"/>
        <v>0</v>
      </c>
      <c r="O104" s="224">
        <f t="shared" si="44"/>
        <v>0</v>
      </c>
      <c r="P104" s="224">
        <f t="shared" si="44"/>
        <v>0</v>
      </c>
      <c r="Q104" s="224">
        <f t="shared" si="44"/>
        <v>0</v>
      </c>
      <c r="R104" s="558">
        <f>SUM(R98:R103)</f>
        <v>6701726.834999999</v>
      </c>
      <c r="S104" s="228">
        <f t="shared" si="44"/>
        <v>3224216.88</v>
      </c>
      <c r="T104" s="228">
        <f t="shared" si="44"/>
        <v>3477509.9549999996</v>
      </c>
      <c r="U104" s="221"/>
    </row>
    <row r="105" spans="1:21" s="222" customFormat="1">
      <c r="A105" s="227" t="s">
        <v>862</v>
      </c>
      <c r="B105" s="228">
        <f>SUM(C105:D105)</f>
        <v>66964327.835000001</v>
      </c>
      <c r="C105" s="228">
        <f t="shared" ref="C105:R105" si="45">SUM(C96+C104)</f>
        <v>57313877.835000001</v>
      </c>
      <c r="D105" s="228">
        <f t="shared" si="45"/>
        <v>9650450</v>
      </c>
      <c r="E105" s="228">
        <f t="shared" si="45"/>
        <v>18592403</v>
      </c>
      <c r="F105" s="228">
        <f t="shared" si="45"/>
        <v>19875000</v>
      </c>
      <c r="G105" s="228">
        <f t="shared" si="45"/>
        <v>9650450</v>
      </c>
      <c r="H105" s="228">
        <f t="shared" si="45"/>
        <v>14644748</v>
      </c>
      <c r="I105" s="228">
        <f t="shared" si="45"/>
        <v>4201726.834999999</v>
      </c>
      <c r="J105" s="228">
        <f t="shared" si="45"/>
        <v>0</v>
      </c>
      <c r="K105" s="228">
        <f t="shared" si="45"/>
        <v>0</v>
      </c>
      <c r="L105" s="228">
        <f t="shared" si="45"/>
        <v>0</v>
      </c>
      <c r="M105" s="228">
        <f t="shared" si="45"/>
        <v>0</v>
      </c>
      <c r="N105" s="228">
        <f t="shared" si="45"/>
        <v>0</v>
      </c>
      <c r="O105" s="228">
        <f t="shared" si="45"/>
        <v>0</v>
      </c>
      <c r="P105" s="228">
        <f t="shared" si="45"/>
        <v>0</v>
      </c>
      <c r="Q105" s="228">
        <f t="shared" si="45"/>
        <v>0</v>
      </c>
      <c r="R105" s="558">
        <f t="shared" si="45"/>
        <v>66964327.835000001</v>
      </c>
      <c r="S105" s="228">
        <f>S96+S104</f>
        <v>27107304.879999999</v>
      </c>
      <c r="T105" s="228">
        <f>T96+T104</f>
        <v>29236842.954999998</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27107304.879999999</v>
      </c>
      <c r="T107" s="242">
        <f>T105+T106</f>
        <v>29236842.954999998</v>
      </c>
    </row>
    <row r="108" spans="1:21" s="310" customFormat="1">
      <c r="A108" s="241" t="s">
        <v>974</v>
      </c>
      <c r="B108" s="236"/>
      <c r="C108" s="236"/>
      <c r="D108" s="236"/>
      <c r="E108" s="481">
        <f>Application!AG631</f>
        <v>18592403</v>
      </c>
      <c r="F108" s="481">
        <f>Application!AG618</f>
        <v>19875000</v>
      </c>
      <c r="G108" s="481">
        <f>Application!AG619</f>
        <v>9650450</v>
      </c>
      <c r="H108" s="481">
        <f>Application!AG620</f>
        <v>14644748</v>
      </c>
      <c r="I108" s="481">
        <f>Application!AG621</f>
        <v>4201726.834999999</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7" t="s">
        <v>1492</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1137</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1138</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2.75">
      <c r="A129" s="534" t="s">
        <v>319</v>
      </c>
      <c r="B129" s="544"/>
      <c r="C129" s="534"/>
      <c r="D129" s="1603" t="s">
        <v>1142</v>
      </c>
      <c r="E129" s="1603"/>
      <c r="F129" s="1603"/>
      <c r="G129" s="1603"/>
      <c r="H129" s="160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9"/>
      <c r="E131" s="1579"/>
      <c r="F131" s="1579"/>
      <c r="G131" s="1579"/>
      <c r="H131" s="1579"/>
      <c r="I131" s="534"/>
      <c r="J131" s="1579"/>
      <c r="K131" s="1579"/>
      <c r="L131" s="1579"/>
      <c r="M131" s="1579"/>
      <c r="N131" s="534"/>
      <c r="O131" s="534"/>
      <c r="P131" s="534"/>
      <c r="Q131" s="534"/>
      <c r="R131" s="534"/>
      <c r="S131" s="534"/>
      <c r="T131" s="535"/>
      <c r="U131" s="537"/>
    </row>
    <row r="132" spans="1:21" ht="12" customHeight="1">
      <c r="A132" s="548"/>
      <c r="B132" s="534"/>
      <c r="C132" s="534"/>
      <c r="D132" s="1609" t="s">
        <v>1145</v>
      </c>
      <c r="E132" s="1609"/>
      <c r="F132" s="1609"/>
      <c r="G132" s="1609"/>
      <c r="H132" s="1609"/>
      <c r="I132" s="534"/>
      <c r="J132" s="1609" t="s">
        <v>1146</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2.75">
      <c r="A139" s="1605" t="s">
        <v>1149</v>
      </c>
      <c r="B139" s="1606"/>
      <c r="C139" s="160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54" stopIfTrue="1">
      <formula>T9&gt;C9</formula>
    </cfRule>
  </conditionalFormatting>
  <conditionalFormatting sqref="S10">
    <cfRule type="expression" dxfId="117" priority="253" stopIfTrue="1">
      <formula>(S10+T10)&gt;C10</formula>
    </cfRule>
  </conditionalFormatting>
  <conditionalFormatting sqref="R8">
    <cfRule type="cellIs" dxfId="116" priority="242" stopIfTrue="1" operator="notEqual">
      <formula>$B8</formula>
    </cfRule>
    <cfRule type="cellIs" priority="245" stopIfTrue="1" operator="notEqual">
      <formula>$B8</formula>
    </cfRule>
  </conditionalFormatting>
  <conditionalFormatting sqref="R4:R7">
    <cfRule type="cellIs" dxfId="115" priority="244" stopIfTrue="1" operator="notEqual">
      <formula>$B4</formula>
    </cfRule>
  </conditionalFormatting>
  <conditionalFormatting sqref="R9:R10">
    <cfRule type="cellIs" dxfId="114" priority="243" stopIfTrue="1" operator="notEqual">
      <formula>$B9</formula>
    </cfRule>
  </conditionalFormatting>
  <conditionalFormatting sqref="R11:R12">
    <cfRule type="cellIs" dxfId="113" priority="240" stopIfTrue="1" operator="notEqual">
      <formula>$B11</formula>
    </cfRule>
    <cfRule type="cellIs" priority="241" stopIfTrue="1" operator="notEqual">
      <formula>$B11</formula>
    </cfRule>
  </conditionalFormatting>
  <conditionalFormatting sqref="R13:R15">
    <cfRule type="cellIs" dxfId="112" priority="239" stopIfTrue="1" operator="notEqual">
      <formula>$B13</formula>
    </cfRule>
  </conditionalFormatting>
  <conditionalFormatting sqref="R25">
    <cfRule type="cellIs" dxfId="111" priority="237" stopIfTrue="1" operator="notEqual">
      <formula>$B25</formula>
    </cfRule>
    <cfRule type="cellIs" priority="238" stopIfTrue="1" operator="notEqual">
      <formula>$B25</formula>
    </cfRule>
  </conditionalFormatting>
  <conditionalFormatting sqref="R17:R24">
    <cfRule type="cellIs" dxfId="110" priority="236" stopIfTrue="1" operator="notEqual">
      <formula>$B17</formula>
    </cfRule>
  </conditionalFormatting>
  <conditionalFormatting sqref="R26">
    <cfRule type="cellIs" dxfId="109" priority="235" stopIfTrue="1" operator="notEqual">
      <formula>$B26</formula>
    </cfRule>
  </conditionalFormatting>
  <conditionalFormatting sqref="R36">
    <cfRule type="cellIs" dxfId="108" priority="233" stopIfTrue="1" operator="notEqual">
      <formula>$B36</formula>
    </cfRule>
    <cfRule type="cellIs" priority="234" stopIfTrue="1" operator="notEqual">
      <formula>$B36</formula>
    </cfRule>
  </conditionalFormatting>
  <conditionalFormatting sqref="R28:R35">
    <cfRule type="cellIs" dxfId="107" priority="232" stopIfTrue="1" operator="notEqual">
      <formula>$B28</formula>
    </cfRule>
  </conditionalFormatting>
  <conditionalFormatting sqref="R40">
    <cfRule type="cellIs" dxfId="106" priority="230" stopIfTrue="1" operator="notEqual">
      <formula>$B40</formula>
    </cfRule>
    <cfRule type="cellIs" priority="231" stopIfTrue="1" operator="notEqual">
      <formula>$B40</formula>
    </cfRule>
  </conditionalFormatting>
  <conditionalFormatting sqref="R38:R39">
    <cfRule type="cellIs" dxfId="105" priority="229" stopIfTrue="1" operator="notEqual">
      <formula>$B38</formula>
    </cfRule>
  </conditionalFormatting>
  <conditionalFormatting sqref="R41">
    <cfRule type="cellIs" dxfId="104" priority="228" stopIfTrue="1" operator="notEqual">
      <formula>$B41</formula>
    </cfRule>
  </conditionalFormatting>
  <conditionalFormatting sqref="R53">
    <cfRule type="cellIs" dxfId="103" priority="226" stopIfTrue="1" operator="notEqual">
      <formula>$B53</formula>
    </cfRule>
    <cfRule type="cellIs" priority="227" stopIfTrue="1" operator="notEqual">
      <formula>$B53</formula>
    </cfRule>
  </conditionalFormatting>
  <conditionalFormatting sqref="R43:R52">
    <cfRule type="cellIs" dxfId="102" priority="225" stopIfTrue="1" operator="notEqual">
      <formula>$B43</formula>
    </cfRule>
  </conditionalFormatting>
  <conditionalFormatting sqref="R62:R63">
    <cfRule type="cellIs" dxfId="101" priority="223" stopIfTrue="1" operator="notEqual">
      <formula>$B62</formula>
    </cfRule>
    <cfRule type="cellIs" priority="224" stopIfTrue="1" operator="notEqual">
      <formula>$B62</formula>
    </cfRule>
  </conditionalFormatting>
  <conditionalFormatting sqref="R55:R61">
    <cfRule type="cellIs" dxfId="100" priority="222" stopIfTrue="1" operator="notEqual">
      <formula>$B55</formula>
    </cfRule>
  </conditionalFormatting>
  <conditionalFormatting sqref="R67">
    <cfRule type="cellIs" dxfId="99" priority="220" stopIfTrue="1" operator="notEqual">
      <formula>$B67</formula>
    </cfRule>
    <cfRule type="cellIs" priority="221" stopIfTrue="1" operator="notEqual">
      <formula>$B67</formula>
    </cfRule>
  </conditionalFormatting>
  <conditionalFormatting sqref="R65:R66">
    <cfRule type="cellIs" dxfId="98" priority="219" stopIfTrue="1" operator="notEqual">
      <formula>$B65</formula>
    </cfRule>
  </conditionalFormatting>
  <conditionalFormatting sqref="R74">
    <cfRule type="cellIs" dxfId="97" priority="217" stopIfTrue="1" operator="notEqual">
      <formula>$B74</formula>
    </cfRule>
    <cfRule type="cellIs" priority="218" stopIfTrue="1" operator="notEqual">
      <formula>$B74</formula>
    </cfRule>
  </conditionalFormatting>
  <conditionalFormatting sqref="R95">
    <cfRule type="cellIs" dxfId="96" priority="215" stopIfTrue="1" operator="notEqual">
      <formula>$B95</formula>
    </cfRule>
    <cfRule type="cellIs" priority="216" stopIfTrue="1" operator="notEqual">
      <formula>$B95</formula>
    </cfRule>
  </conditionalFormatting>
  <conditionalFormatting sqref="R69:R73">
    <cfRule type="cellIs" dxfId="95" priority="214" stopIfTrue="1" operator="notEqual">
      <formula>$B69</formula>
    </cfRule>
  </conditionalFormatting>
  <conditionalFormatting sqref="R76:R77">
    <cfRule type="cellIs" dxfId="94" priority="213" stopIfTrue="1" operator="notEqual">
      <formula>$B76</formula>
    </cfRule>
  </conditionalFormatting>
  <conditionalFormatting sqref="R80:R94">
    <cfRule type="cellIs" dxfId="93" priority="212" stopIfTrue="1" operator="notEqual">
      <formula>$B80</formula>
    </cfRule>
  </conditionalFormatting>
  <conditionalFormatting sqref="R104:R105">
    <cfRule type="cellIs" dxfId="92" priority="210" stopIfTrue="1" operator="notEqual">
      <formula>$B104</formula>
    </cfRule>
    <cfRule type="cellIs" priority="211" stopIfTrue="1" operator="notEqual">
      <formula>$B104</formula>
    </cfRule>
  </conditionalFormatting>
  <conditionalFormatting sqref="R98:R103">
    <cfRule type="cellIs" dxfId="91" priority="209" stopIfTrue="1" operator="notEqual">
      <formula>$B98</formula>
    </cfRule>
  </conditionalFormatting>
  <conditionalFormatting sqref="E105:Q105">
    <cfRule type="cellIs" dxfId="90" priority="208" stopIfTrue="1" operator="notEqual">
      <formula>E$108</formula>
    </cfRule>
  </conditionalFormatting>
  <conditionalFormatting sqref="S13">
    <cfRule type="expression" dxfId="89" priority="205" stopIfTrue="1">
      <formula>(S13+T13)&gt;C13</formula>
    </cfRule>
  </conditionalFormatting>
  <conditionalFormatting sqref="S14">
    <cfRule type="expression" dxfId="88" priority="202" stopIfTrue="1">
      <formula>(S14+T14)&gt;C14</formula>
    </cfRule>
  </conditionalFormatting>
  <conditionalFormatting sqref="S17">
    <cfRule type="expression" dxfId="87" priority="201" stopIfTrue="1">
      <formula>(S17+T17)&gt;C17</formula>
    </cfRule>
  </conditionalFormatting>
  <conditionalFormatting sqref="S18">
    <cfRule type="expression" dxfId="86" priority="193" stopIfTrue="1">
      <formula>(S18+T18)&gt;C18</formula>
    </cfRule>
  </conditionalFormatting>
  <conditionalFormatting sqref="S26">
    <cfRule type="expression" dxfId="85" priority="179" stopIfTrue="1">
      <formula>(S26+T26)&gt;C26</formula>
    </cfRule>
  </conditionalFormatting>
  <conditionalFormatting sqref="S28">
    <cfRule type="expression" dxfId="84" priority="177" stopIfTrue="1">
      <formula>(S28+T28)&gt;C28</formula>
    </cfRule>
  </conditionalFormatting>
  <conditionalFormatting sqref="S29">
    <cfRule type="expression" dxfId="83" priority="175" stopIfTrue="1">
      <formula>(S29+T29)&gt;C29</formula>
    </cfRule>
  </conditionalFormatting>
  <conditionalFormatting sqref="S30">
    <cfRule type="expression" dxfId="82" priority="174" stopIfTrue="1">
      <formula>(S30+T30)&gt;C30</formula>
    </cfRule>
  </conditionalFormatting>
  <conditionalFormatting sqref="S31">
    <cfRule type="expression" dxfId="81" priority="173" stopIfTrue="1">
      <formula>(S31+T31)&gt;C31</formula>
    </cfRule>
  </conditionalFormatting>
  <conditionalFormatting sqref="S32">
    <cfRule type="expression" dxfId="80" priority="172" stopIfTrue="1">
      <formula>(S32+T32)&gt;C32</formula>
    </cfRule>
  </conditionalFormatting>
  <conditionalFormatting sqref="S33">
    <cfRule type="expression" dxfId="79" priority="171" stopIfTrue="1">
      <formula>(S33+T33)&gt;C33</formula>
    </cfRule>
  </conditionalFormatting>
  <conditionalFormatting sqref="S34">
    <cfRule type="expression" dxfId="78" priority="170" stopIfTrue="1">
      <formula>(S34+T34)&gt;C34</formula>
    </cfRule>
  </conditionalFormatting>
  <conditionalFormatting sqref="S35">
    <cfRule type="expression" dxfId="77" priority="169" stopIfTrue="1">
      <formula>(S35+T35)&gt;C35</formula>
    </cfRule>
  </conditionalFormatting>
  <conditionalFormatting sqref="S98">
    <cfRule type="expression" dxfId="76" priority="98" stopIfTrue="1">
      <formula>(S98+T98)&gt;C98</formula>
    </cfRule>
  </conditionalFormatting>
  <conditionalFormatting sqref="S99">
    <cfRule type="expression" dxfId="75" priority="97" stopIfTrue="1">
      <formula>(S99+T99)&gt;C99</formula>
    </cfRule>
  </conditionalFormatting>
  <conditionalFormatting sqref="S100">
    <cfRule type="expression" dxfId="74" priority="96" stopIfTrue="1">
      <formula>(S100+T100)&gt;C100</formula>
    </cfRule>
  </conditionalFormatting>
  <conditionalFormatting sqref="S101">
    <cfRule type="expression" dxfId="73" priority="95" stopIfTrue="1">
      <formula>(S101+T101)&gt;C101</formula>
    </cfRule>
  </conditionalFormatting>
  <conditionalFormatting sqref="S102">
    <cfRule type="expression" dxfId="72" priority="94" stopIfTrue="1">
      <formula>(S102+T102)&gt;C102</formula>
    </cfRule>
  </conditionalFormatting>
  <conditionalFormatting sqref="S103">
    <cfRule type="expression" dxfId="71" priority="93" stopIfTrue="1">
      <formula>(S103+T103)&gt;C103</formula>
    </cfRule>
  </conditionalFormatting>
  <conditionalFormatting sqref="C10">
    <cfRule type="expression" dxfId="70" priority="85">
      <formula>"(S10+T10)&gt;C10 "</formula>
    </cfRule>
  </conditionalFormatting>
  <conditionalFormatting sqref="T10">
    <cfRule type="expression" dxfId="69" priority="83" stopIfTrue="1">
      <formula>(S10+T10)&gt;C10</formula>
    </cfRule>
  </conditionalFormatting>
  <conditionalFormatting sqref="T13">
    <cfRule type="expression" dxfId="68" priority="81" stopIfTrue="1">
      <formula>(S13+T13)&gt;C13</formula>
    </cfRule>
  </conditionalFormatting>
  <conditionalFormatting sqref="T14">
    <cfRule type="expression" dxfId="67" priority="80" stopIfTrue="1">
      <formula>(S14+T14)&gt;C14</formula>
    </cfRule>
  </conditionalFormatting>
  <conditionalFormatting sqref="T17">
    <cfRule type="expression" dxfId="66" priority="79" stopIfTrue="1">
      <formula>(S17+T17)&gt;C17</formula>
    </cfRule>
  </conditionalFormatting>
  <conditionalFormatting sqref="T18">
    <cfRule type="expression" dxfId="65" priority="62" stopIfTrue="1">
      <formula>(S18+T18)&gt;C18</formula>
    </cfRule>
  </conditionalFormatting>
  <conditionalFormatting sqref="T19">
    <cfRule type="expression" dxfId="64" priority="61" stopIfTrue="1">
      <formula>(S19+T19)&gt;C19</formula>
    </cfRule>
  </conditionalFormatting>
  <conditionalFormatting sqref="T20">
    <cfRule type="expression" dxfId="63" priority="60" stopIfTrue="1">
      <formula>(S20+T20)&gt;C20</formula>
    </cfRule>
  </conditionalFormatting>
  <conditionalFormatting sqref="T21">
    <cfRule type="expression" dxfId="62" priority="59" stopIfTrue="1">
      <formula>(S21+T21)&gt;C21</formula>
    </cfRule>
  </conditionalFormatting>
  <conditionalFormatting sqref="T22">
    <cfRule type="expression" dxfId="61" priority="58" stopIfTrue="1">
      <formula>(S22+T22)&gt;C22</formula>
    </cfRule>
  </conditionalFormatting>
  <conditionalFormatting sqref="T23">
    <cfRule type="expression" dxfId="60" priority="57" stopIfTrue="1">
      <formula>(S23+T23)&gt;C23</formula>
    </cfRule>
  </conditionalFormatting>
  <conditionalFormatting sqref="T24">
    <cfRule type="expression" dxfId="59" priority="56" stopIfTrue="1">
      <formula>(S24+T24)&gt;C24</formula>
    </cfRule>
  </conditionalFormatting>
  <conditionalFormatting sqref="T26">
    <cfRule type="expression" dxfId="58" priority="54" stopIfTrue="1">
      <formula>(S26+T26)&gt;C26</formula>
    </cfRule>
  </conditionalFormatting>
  <conditionalFormatting sqref="T28">
    <cfRule type="expression" dxfId="57" priority="53" stopIfTrue="1">
      <formula>(S28+T28)&gt;C28</formula>
    </cfRule>
  </conditionalFormatting>
  <conditionalFormatting sqref="T29">
    <cfRule type="expression" dxfId="56" priority="51" stopIfTrue="1">
      <formula>(S29+T29)&gt;C29</formula>
    </cfRule>
  </conditionalFormatting>
  <conditionalFormatting sqref="T30">
    <cfRule type="expression" dxfId="55" priority="50" stopIfTrue="1">
      <formula>(S30+T30)&gt;C30</formula>
    </cfRule>
  </conditionalFormatting>
  <conditionalFormatting sqref="T31">
    <cfRule type="expression" dxfId="54" priority="49" stopIfTrue="1">
      <formula>(S31+T31)&gt;C31</formula>
    </cfRule>
  </conditionalFormatting>
  <conditionalFormatting sqref="T32">
    <cfRule type="expression" dxfId="53" priority="48" stopIfTrue="1">
      <formula>(S32+T32)&gt;C32</formula>
    </cfRule>
  </conditionalFormatting>
  <conditionalFormatting sqref="T33">
    <cfRule type="expression" dxfId="52" priority="47" stopIfTrue="1">
      <formula>(S33+T33)&gt;C33</formula>
    </cfRule>
  </conditionalFormatting>
  <conditionalFormatting sqref="T34">
    <cfRule type="expression" dxfId="51" priority="46" stopIfTrue="1">
      <formula>(S34+T34)&gt;C34</formula>
    </cfRule>
  </conditionalFormatting>
  <conditionalFormatting sqref="T35">
    <cfRule type="expression" dxfId="50" priority="45" stopIfTrue="1">
      <formula>(S35+T35)&gt;C35</formula>
    </cfRule>
  </conditionalFormatting>
  <conditionalFormatting sqref="T38">
    <cfRule type="expression" dxfId="49" priority="44" stopIfTrue="1">
      <formula>(S38+T38)&gt;C38</formula>
    </cfRule>
  </conditionalFormatting>
  <conditionalFormatting sqref="T39">
    <cfRule type="expression" dxfId="48" priority="43" stopIfTrue="1">
      <formula>(S39+T39)&gt;C39</formula>
    </cfRule>
  </conditionalFormatting>
  <conditionalFormatting sqref="T41">
    <cfRule type="expression" dxfId="47" priority="42" stopIfTrue="1">
      <formula>(S41+T41)&gt;C41</formula>
    </cfRule>
  </conditionalFormatting>
  <conditionalFormatting sqref="T43">
    <cfRule type="expression" dxfId="46" priority="41" stopIfTrue="1">
      <formula>(S43+T43)&gt;C43</formula>
    </cfRule>
  </conditionalFormatting>
  <conditionalFormatting sqref="T44">
    <cfRule type="expression" dxfId="45" priority="40" stopIfTrue="1">
      <formula>(S44+T44)&gt;C44</formula>
    </cfRule>
  </conditionalFormatting>
  <conditionalFormatting sqref="T45">
    <cfRule type="expression" dxfId="44" priority="39" stopIfTrue="1">
      <formula>(S45+T45)&gt;C45</formula>
    </cfRule>
  </conditionalFormatting>
  <conditionalFormatting sqref="T46">
    <cfRule type="expression" dxfId="43" priority="38" stopIfTrue="1">
      <formula>(S46+T46)&gt;C46</formula>
    </cfRule>
  </conditionalFormatting>
  <conditionalFormatting sqref="T47">
    <cfRule type="expression" dxfId="42" priority="37" stopIfTrue="1">
      <formula>(S47+T47)&gt;C47</formula>
    </cfRule>
  </conditionalFormatting>
  <conditionalFormatting sqref="T48">
    <cfRule type="expression" dxfId="41" priority="36" stopIfTrue="1">
      <formula>(S48+T48)&gt;C48</formula>
    </cfRule>
  </conditionalFormatting>
  <conditionalFormatting sqref="T49">
    <cfRule type="expression" dxfId="40" priority="35" stopIfTrue="1">
      <formula>(S49+T49)&gt;C49</formula>
    </cfRule>
  </conditionalFormatting>
  <conditionalFormatting sqref="T50">
    <cfRule type="expression" dxfId="39" priority="34" stopIfTrue="1">
      <formula>(S50+T50)&gt;C50</formula>
    </cfRule>
  </conditionalFormatting>
  <conditionalFormatting sqref="T51">
    <cfRule type="expression" dxfId="38" priority="33" stopIfTrue="1">
      <formula>(S51+T51)&gt;C51</formula>
    </cfRule>
  </conditionalFormatting>
  <conditionalFormatting sqref="T52">
    <cfRule type="expression" dxfId="37" priority="32" stopIfTrue="1">
      <formula>(S52+T52)&gt;C52</formula>
    </cfRule>
  </conditionalFormatting>
  <conditionalFormatting sqref="T65">
    <cfRule type="expression" dxfId="36" priority="31" stopIfTrue="1">
      <formula>(S65+T65)&gt;C65</formula>
    </cfRule>
  </conditionalFormatting>
  <conditionalFormatting sqref="T66">
    <cfRule type="expression" dxfId="35" priority="30" stopIfTrue="1">
      <formula>(S66+T66)&gt;C66</formula>
    </cfRule>
  </conditionalFormatting>
  <conditionalFormatting sqref="T76">
    <cfRule type="expression" dxfId="34" priority="29" stopIfTrue="1">
      <formula>(S76+T76)&gt;C76</formula>
    </cfRule>
  </conditionalFormatting>
  <conditionalFormatting sqref="T77">
    <cfRule type="expression" dxfId="33" priority="28" stopIfTrue="1">
      <formula>(S77+T77)&gt;C77</formula>
    </cfRule>
  </conditionalFormatting>
  <conditionalFormatting sqref="T81">
    <cfRule type="expression" dxfId="32" priority="27" stopIfTrue="1">
      <formula>(S81+T81)&gt;C81</formula>
    </cfRule>
  </conditionalFormatting>
  <conditionalFormatting sqref="T82">
    <cfRule type="expression" dxfId="31" priority="26" stopIfTrue="1">
      <formula>(S82+T82)&gt;C82</formula>
    </cfRule>
  </conditionalFormatting>
  <conditionalFormatting sqref="T83">
    <cfRule type="expression" dxfId="30" priority="25" stopIfTrue="1">
      <formula>(S83+T83)&gt;C83</formula>
    </cfRule>
  </conditionalFormatting>
  <conditionalFormatting sqref="T84">
    <cfRule type="expression" dxfId="29" priority="24" stopIfTrue="1">
      <formula>(S84+T84)&gt;C84</formula>
    </cfRule>
  </conditionalFormatting>
  <conditionalFormatting sqref="T86">
    <cfRule type="expression" dxfId="28" priority="23" stopIfTrue="1">
      <formula>(S86+T86)&gt;C86</formula>
    </cfRule>
  </conditionalFormatting>
  <conditionalFormatting sqref="T87">
    <cfRule type="expression" dxfId="27" priority="22" stopIfTrue="1">
      <formula>(S87+T87)&gt;C87</formula>
    </cfRule>
  </conditionalFormatting>
  <conditionalFormatting sqref="T88">
    <cfRule type="expression" dxfId="26" priority="21" stopIfTrue="1">
      <formula>(S88+T88)&gt;C88</formula>
    </cfRule>
  </conditionalFormatting>
  <conditionalFormatting sqref="T89">
    <cfRule type="expression" dxfId="25" priority="20" stopIfTrue="1">
      <formula>(S89+T89)&gt;C89</formula>
    </cfRule>
  </conditionalFormatting>
  <conditionalFormatting sqref="T90">
    <cfRule type="expression" dxfId="24" priority="19" stopIfTrue="1">
      <formula>(S90+T90)&gt;C90</formula>
    </cfRule>
  </conditionalFormatting>
  <conditionalFormatting sqref="T91">
    <cfRule type="expression" dxfId="23" priority="18" stopIfTrue="1">
      <formula>(S91+T91)&gt;C91</formula>
    </cfRule>
  </conditionalFormatting>
  <conditionalFormatting sqref="T92">
    <cfRule type="expression" dxfId="22" priority="17" stopIfTrue="1">
      <formula>(S92+T92)&gt;C92</formula>
    </cfRule>
  </conditionalFormatting>
  <conditionalFormatting sqref="T93">
    <cfRule type="expression" dxfId="21" priority="16" stopIfTrue="1">
      <formula>(S93+T93)&gt;C93</formula>
    </cfRule>
  </conditionalFormatting>
  <conditionalFormatting sqref="T94">
    <cfRule type="expression" dxfId="20" priority="15" stopIfTrue="1">
      <formula>(S94+T94)&gt;C94</formula>
    </cfRule>
  </conditionalFormatting>
  <conditionalFormatting sqref="T98">
    <cfRule type="expression" dxfId="19" priority="14" stopIfTrue="1">
      <formula>(S98+T98)&gt;C98</formula>
    </cfRule>
  </conditionalFormatting>
  <conditionalFormatting sqref="T99">
    <cfRule type="expression" dxfId="18" priority="13" stopIfTrue="1">
      <formula>(S99+T99)&gt;C99</formula>
    </cfRule>
  </conditionalFormatting>
  <conditionalFormatting sqref="T100">
    <cfRule type="expression" dxfId="17" priority="12" stopIfTrue="1">
      <formula>(S100+T100)&gt;C100</formula>
    </cfRule>
  </conditionalFormatting>
  <conditionalFormatting sqref="T101">
    <cfRule type="expression" dxfId="16" priority="11" stopIfTrue="1">
      <formula>(S101+T101)&gt;C101</formula>
    </cfRule>
  </conditionalFormatting>
  <conditionalFormatting sqref="T102">
    <cfRule type="expression" dxfId="15" priority="10" stopIfTrue="1">
      <formula>(S102+T102)&gt;C102</formula>
    </cfRule>
  </conditionalFormatting>
  <conditionalFormatting sqref="T103">
    <cfRule type="expression" dxfId="14" priority="9" stopIfTrue="1">
      <formula>(S103+T103)&gt;C103</formula>
    </cfRule>
  </conditionalFormatting>
  <conditionalFormatting sqref="S19:S24">
    <cfRule type="expression" dxfId="13" priority="8" stopIfTrue="1">
      <formula>(S19+T19)&gt;C19</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28" zoomScaleNormal="100" zoomScaleSheetLayoutView="100" workbookViewId="0">
      <selection activeCell="C36" sqref="C3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1495</v>
      </c>
      <c r="B1" s="1619"/>
      <c r="C1" s="1619"/>
      <c r="D1" s="1619"/>
      <c r="E1" s="1619"/>
      <c r="F1" s="1619"/>
      <c r="G1" s="1619"/>
      <c r="H1" s="1619"/>
      <c r="I1" s="1619"/>
      <c r="J1" s="1620"/>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198529</v>
      </c>
      <c r="C4" s="590">
        <f>B4</f>
        <v>198529</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198529</v>
      </c>
      <c r="C8" s="589">
        <f>SUM(C4:C7)</f>
        <v>198529</v>
      </c>
      <c r="D8" s="589">
        <f>SUM(D4:D7)</f>
        <v>0</v>
      </c>
      <c r="E8" s="591"/>
      <c r="F8" s="591"/>
      <c r="G8" s="591"/>
      <c r="H8" s="591"/>
      <c r="I8" s="591"/>
      <c r="J8" s="591"/>
      <c r="K8" s="587"/>
    </row>
    <row r="9" spans="1:11" s="588" customFormat="1">
      <c r="A9" s="592" t="s">
        <v>645</v>
      </c>
      <c r="B9" s="589">
        <f>'Sources and Uses Budget'!C9</f>
        <v>25759333</v>
      </c>
      <c r="C9" s="590">
        <f>B9</f>
        <v>25759333</v>
      </c>
      <c r="D9" s="590"/>
      <c r="E9" s="591"/>
      <c r="F9" s="591"/>
      <c r="G9" s="591"/>
      <c r="H9" s="589">
        <f>'Sources and Uses Budget'!T9</f>
        <v>25759333</v>
      </c>
      <c r="I9" s="590">
        <f>H9</f>
        <v>25759333</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25759333</v>
      </c>
      <c r="C11" s="589">
        <f>SUM(C9:C10)</f>
        <v>25759333</v>
      </c>
      <c r="D11" s="589">
        <f>SUM(D9:D10)</f>
        <v>0</v>
      </c>
      <c r="E11" s="591"/>
      <c r="F11" s="591"/>
      <c r="G11" s="591"/>
      <c r="H11" s="589">
        <f>'Sources and Uses Budget'!T11</f>
        <v>25759333</v>
      </c>
      <c r="I11" s="589">
        <f>SUM(I9:I10)</f>
        <v>25759333</v>
      </c>
      <c r="J11" s="589">
        <f>SUM(J9:J10)</f>
        <v>0</v>
      </c>
      <c r="K11" s="587"/>
    </row>
    <row r="12" spans="1:11" s="588" customFormat="1">
      <c r="A12" s="593" t="s">
        <v>91</v>
      </c>
      <c r="B12" s="589">
        <f>'Sources and Uses Budget'!C12</f>
        <v>25957862</v>
      </c>
      <c r="C12" s="589">
        <f>SUM(C8+C11)</f>
        <v>25957862</v>
      </c>
      <c r="D12" s="589">
        <f>SUM(D8+D11)</f>
        <v>0</v>
      </c>
      <c r="E12" s="591"/>
      <c r="F12" s="591"/>
      <c r="G12" s="591"/>
      <c r="H12" s="591"/>
      <c r="I12" s="591"/>
      <c r="J12" s="591"/>
      <c r="K12" s="587"/>
    </row>
    <row r="13" spans="1:11" s="588" customFormat="1">
      <c r="A13" s="594" t="s">
        <v>1001</v>
      </c>
      <c r="B13" s="589">
        <f>'Sources and Uses Budget'!C13</f>
        <v>3057352</v>
      </c>
      <c r="C13" s="590">
        <f>B13</f>
        <v>3057352</v>
      </c>
      <c r="D13" s="590"/>
      <c r="E13" s="589">
        <f>'Sources and Uses Budget'!S13</f>
        <v>3057352</v>
      </c>
      <c r="F13" s="590">
        <f>E13</f>
        <v>3057352</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f>B18</f>
        <v>0</v>
      </c>
      <c r="D18" s="590"/>
      <c r="E18" s="589">
        <f>'Sources and Uses Budget'!S18</f>
        <v>0</v>
      </c>
      <c r="F18" s="590">
        <f>E18</f>
        <v>0</v>
      </c>
      <c r="G18" s="590"/>
      <c r="H18" s="589">
        <f>'Sources and Uses Budget'!T18</f>
        <v>0</v>
      </c>
      <c r="I18" s="590"/>
      <c r="J18" s="590"/>
      <c r="K18" s="587"/>
    </row>
    <row r="19" spans="1:11" s="588" customFormat="1">
      <c r="A19" s="592" t="s">
        <v>651</v>
      </c>
      <c r="B19" s="589">
        <f>'Sources and Uses Budget'!C19</f>
        <v>0</v>
      </c>
      <c r="C19" s="590">
        <f>B19</f>
        <v>0</v>
      </c>
      <c r="D19" s="590"/>
      <c r="E19" s="589">
        <f>'Sources and Uses Budget'!S19</f>
        <v>0</v>
      </c>
      <c r="F19" s="590">
        <f t="shared" ref="F19:F23" si="0">E19</f>
        <v>0</v>
      </c>
      <c r="G19" s="590"/>
      <c r="H19" s="589">
        <f>'Sources and Uses Budget'!T19</f>
        <v>0</v>
      </c>
      <c r="I19" s="590"/>
      <c r="J19" s="590"/>
      <c r="K19" s="587"/>
    </row>
    <row r="20" spans="1:11" s="588" customFormat="1">
      <c r="A20" s="592" t="s">
        <v>144</v>
      </c>
      <c r="B20" s="589">
        <f>'Sources and Uses Budget'!C20</f>
        <v>0</v>
      </c>
      <c r="C20" s="590">
        <f t="shared" ref="C20:C24" si="1">B20</f>
        <v>0</v>
      </c>
      <c r="D20" s="590"/>
      <c r="E20" s="589">
        <f>'Sources and Uses Budget'!S20</f>
        <v>0</v>
      </c>
      <c r="F20" s="590">
        <f t="shared" si="0"/>
        <v>0</v>
      </c>
      <c r="G20" s="590"/>
      <c r="H20" s="589">
        <f>'Sources and Uses Budget'!T20</f>
        <v>0</v>
      </c>
      <c r="I20" s="590"/>
      <c r="J20" s="590"/>
      <c r="K20" s="587"/>
    </row>
    <row r="21" spans="1:11" s="588" customFormat="1">
      <c r="A21" s="592" t="s">
        <v>145</v>
      </c>
      <c r="B21" s="589">
        <f>'Sources and Uses Budget'!C21</f>
        <v>0</v>
      </c>
      <c r="C21" s="590">
        <f t="shared" si="1"/>
        <v>0</v>
      </c>
      <c r="D21" s="590"/>
      <c r="E21" s="589">
        <f>'Sources and Uses Budget'!S21</f>
        <v>0</v>
      </c>
      <c r="F21" s="590">
        <f t="shared" si="0"/>
        <v>0</v>
      </c>
      <c r="G21" s="590"/>
      <c r="H21" s="589">
        <f>'Sources and Uses Budget'!T21</f>
        <v>0</v>
      </c>
      <c r="I21" s="590"/>
      <c r="J21" s="590"/>
      <c r="K21" s="587"/>
    </row>
    <row r="22" spans="1:11" s="588" customFormat="1">
      <c r="A22" s="592" t="s">
        <v>146</v>
      </c>
      <c r="B22" s="589">
        <f>'Sources and Uses Budget'!C22</f>
        <v>0</v>
      </c>
      <c r="C22" s="590">
        <f t="shared" si="1"/>
        <v>0</v>
      </c>
      <c r="D22" s="590"/>
      <c r="E22" s="589">
        <f>'Sources and Uses Budget'!S22</f>
        <v>0</v>
      </c>
      <c r="F22" s="590">
        <f t="shared" si="0"/>
        <v>0</v>
      </c>
      <c r="G22" s="590"/>
      <c r="H22" s="589">
        <f>'Sources and Uses Budget'!T22</f>
        <v>0</v>
      </c>
      <c r="I22" s="590"/>
      <c r="J22" s="590"/>
      <c r="K22" s="587"/>
    </row>
    <row r="23" spans="1:11" s="588" customFormat="1">
      <c r="A23" s="592" t="s">
        <v>147</v>
      </c>
      <c r="B23" s="589">
        <f>'Sources and Uses Budget'!C23</f>
        <v>0</v>
      </c>
      <c r="C23" s="590">
        <f t="shared" si="1"/>
        <v>0</v>
      </c>
      <c r="D23" s="590"/>
      <c r="E23" s="589">
        <f>'Sources and Uses Budget'!S23</f>
        <v>0</v>
      </c>
      <c r="F23" s="590">
        <f t="shared" si="0"/>
        <v>0</v>
      </c>
      <c r="G23" s="590"/>
      <c r="H23" s="589">
        <f>'Sources and Uses Budget'!T23</f>
        <v>0</v>
      </c>
      <c r="I23" s="590"/>
      <c r="J23" s="590"/>
      <c r="K23" s="587"/>
    </row>
    <row r="24" spans="1:11" s="588" customFormat="1">
      <c r="A24" s="595" t="str">
        <f>'Sources and Uses Budget'!$A24</f>
        <v>Other: (Specify)</v>
      </c>
      <c r="B24" s="589">
        <f>'Sources and Uses Budget'!C24</f>
        <v>0</v>
      </c>
      <c r="C24" s="590">
        <f t="shared" si="1"/>
        <v>0</v>
      </c>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7500000</v>
      </c>
      <c r="C29" s="590">
        <f t="shared" ref="C29:C35" si="2">B29</f>
        <v>7500000</v>
      </c>
      <c r="D29" s="590"/>
      <c r="E29" s="589">
        <f>'Sources and Uses Budget'!S29</f>
        <v>7500000</v>
      </c>
      <c r="F29" s="590">
        <f t="shared" ref="F29:F35" si="3">E29</f>
        <v>7500000</v>
      </c>
      <c r="G29" s="590"/>
      <c r="H29" s="589">
        <f>'Sources and Uses Budget'!T29</f>
        <v>0</v>
      </c>
      <c r="I29" s="590"/>
      <c r="J29" s="590"/>
      <c r="K29" s="587"/>
    </row>
    <row r="30" spans="1:11" s="588" customFormat="1">
      <c r="A30" s="223" t="s">
        <v>651</v>
      </c>
      <c r="B30" s="589">
        <f>'Sources and Uses Budget'!C30</f>
        <v>598680</v>
      </c>
      <c r="C30" s="590">
        <f t="shared" si="2"/>
        <v>598680</v>
      </c>
      <c r="D30" s="590"/>
      <c r="E30" s="589">
        <f>'Sources and Uses Budget'!S30</f>
        <v>598680</v>
      </c>
      <c r="F30" s="590">
        <f t="shared" si="3"/>
        <v>598680</v>
      </c>
      <c r="G30" s="590"/>
      <c r="H30" s="589">
        <f>'Sources and Uses Budget'!T30</f>
        <v>0</v>
      </c>
      <c r="I30" s="590"/>
      <c r="J30" s="590"/>
      <c r="K30" s="587"/>
    </row>
    <row r="31" spans="1:11" s="588" customFormat="1">
      <c r="A31" s="223" t="s">
        <v>144</v>
      </c>
      <c r="B31" s="589">
        <f>'Sources and Uses Budget'!C31</f>
        <v>299340</v>
      </c>
      <c r="C31" s="590">
        <f t="shared" si="2"/>
        <v>299340</v>
      </c>
      <c r="D31" s="590"/>
      <c r="E31" s="589">
        <f>'Sources and Uses Budget'!S31</f>
        <v>299340</v>
      </c>
      <c r="F31" s="590">
        <f t="shared" si="3"/>
        <v>299340</v>
      </c>
      <c r="G31" s="590"/>
      <c r="H31" s="589">
        <f>'Sources and Uses Budget'!T31</f>
        <v>0</v>
      </c>
      <c r="I31" s="590"/>
      <c r="J31" s="590"/>
      <c r="K31" s="587"/>
    </row>
    <row r="32" spans="1:11" s="588" customFormat="1">
      <c r="A32" s="223" t="s">
        <v>145</v>
      </c>
      <c r="B32" s="589">
        <f>'Sources and Uses Budget'!C32</f>
        <v>498900</v>
      </c>
      <c r="C32" s="590">
        <f t="shared" si="2"/>
        <v>498900</v>
      </c>
      <c r="D32" s="590"/>
      <c r="E32" s="589">
        <f>'Sources and Uses Budget'!S32</f>
        <v>498900</v>
      </c>
      <c r="F32" s="590">
        <f t="shared" si="3"/>
        <v>498900</v>
      </c>
      <c r="G32" s="590"/>
      <c r="H32" s="589">
        <f>'Sources and Uses Budget'!T32</f>
        <v>0</v>
      </c>
      <c r="I32" s="590"/>
      <c r="J32" s="590"/>
      <c r="K32" s="587"/>
    </row>
    <row r="33" spans="1:11" s="588" customFormat="1">
      <c r="A33" s="223" t="s">
        <v>146</v>
      </c>
      <c r="B33" s="589">
        <f>'Sources and Uses Budget'!C33</f>
        <v>2478000</v>
      </c>
      <c r="C33" s="590">
        <f t="shared" si="2"/>
        <v>2478000</v>
      </c>
      <c r="D33" s="590"/>
      <c r="E33" s="589">
        <f>'Sources and Uses Budget'!S33</f>
        <v>2478000</v>
      </c>
      <c r="F33" s="590">
        <f t="shared" si="3"/>
        <v>2478000</v>
      </c>
      <c r="G33" s="590"/>
      <c r="H33" s="589">
        <f>'Sources and Uses Budget'!T33</f>
        <v>0</v>
      </c>
      <c r="I33" s="590"/>
      <c r="J33" s="590"/>
      <c r="K33" s="587"/>
    </row>
    <row r="34" spans="1:11" s="588" customFormat="1">
      <c r="A34" s="223" t="s">
        <v>147</v>
      </c>
      <c r="B34" s="589">
        <f>'Sources and Uses Budget'!C34</f>
        <v>182722</v>
      </c>
      <c r="C34" s="590">
        <f t="shared" si="2"/>
        <v>182722</v>
      </c>
      <c r="D34" s="590"/>
      <c r="E34" s="589">
        <f>'Sources and Uses Budget'!S34</f>
        <v>182722</v>
      </c>
      <c r="F34" s="590">
        <f t="shared" si="3"/>
        <v>182722</v>
      </c>
      <c r="G34" s="590"/>
      <c r="H34" s="589">
        <f>'Sources and Uses Budget'!T34</f>
        <v>0</v>
      </c>
      <c r="I34" s="590"/>
      <c r="J34" s="590"/>
      <c r="K34" s="587"/>
    </row>
    <row r="35" spans="1:11" s="588" customFormat="1">
      <c r="A35" s="595" t="str">
        <f>'Sources and Uses Budget'!$A35</f>
        <v>Other: Performance Bond</v>
      </c>
      <c r="B35" s="589">
        <f>'Sources and Uses Budget'!C35</f>
        <v>124725</v>
      </c>
      <c r="C35" s="590">
        <f t="shared" si="2"/>
        <v>124725</v>
      </c>
      <c r="D35" s="590"/>
      <c r="E35" s="589">
        <f>'Sources and Uses Budget'!S35</f>
        <v>124725</v>
      </c>
      <c r="F35" s="590">
        <f t="shared" si="3"/>
        <v>124725</v>
      </c>
      <c r="G35" s="590"/>
      <c r="H35" s="589">
        <f>'Sources and Uses Budget'!T35</f>
        <v>0</v>
      </c>
      <c r="I35" s="590"/>
      <c r="J35" s="590"/>
      <c r="K35" s="587"/>
    </row>
    <row r="36" spans="1:11" s="588" customFormat="1">
      <c r="A36" s="597" t="s">
        <v>150</v>
      </c>
      <c r="B36" s="589">
        <f>'Sources and Uses Budget'!C36</f>
        <v>11682367</v>
      </c>
      <c r="C36" s="589">
        <f>SUM(C28:C35)</f>
        <v>11682367</v>
      </c>
      <c r="D36" s="589">
        <f>SUM(D28:D35)</f>
        <v>0</v>
      </c>
      <c r="E36" s="589">
        <f>'Sources and Uses Budget'!S36</f>
        <v>11682367</v>
      </c>
      <c r="F36" s="596">
        <f>SUM(F28:F35)</f>
        <v>11682367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545000</v>
      </c>
      <c r="C38" s="590">
        <f t="shared" ref="C38:C39" si="4">B38</f>
        <v>545000</v>
      </c>
      <c r="D38" s="590"/>
      <c r="E38" s="589">
        <f>'Sources and Uses Budget'!S38</f>
        <v>545000</v>
      </c>
      <c r="F38" s="590">
        <f t="shared" ref="F38:F39" si="5">E38</f>
        <v>545000</v>
      </c>
      <c r="G38" s="590"/>
      <c r="H38" s="589">
        <f>'Sources and Uses Budget'!T38</f>
        <v>0</v>
      </c>
      <c r="I38" s="590"/>
      <c r="J38" s="590"/>
      <c r="K38" s="587"/>
    </row>
    <row r="39" spans="1:11" s="588" customFormat="1">
      <c r="A39" s="592" t="s">
        <v>153</v>
      </c>
      <c r="B39" s="589">
        <f>'Sources and Uses Budget'!C39</f>
        <v>105000</v>
      </c>
      <c r="C39" s="590">
        <f t="shared" si="4"/>
        <v>105000</v>
      </c>
      <c r="D39" s="590"/>
      <c r="E39" s="589">
        <f>'Sources and Uses Budget'!S39</f>
        <v>105000</v>
      </c>
      <c r="F39" s="590">
        <f t="shared" si="5"/>
        <v>105000</v>
      </c>
      <c r="G39" s="590"/>
      <c r="H39" s="589">
        <f>'Sources and Uses Budget'!T39</f>
        <v>0</v>
      </c>
      <c r="I39" s="590"/>
      <c r="J39" s="590"/>
      <c r="K39" s="587"/>
    </row>
    <row r="40" spans="1:11" s="588" customFormat="1">
      <c r="A40" s="593" t="s">
        <v>154</v>
      </c>
      <c r="B40" s="589">
        <f>'Sources and Uses Budget'!C40</f>
        <v>650000</v>
      </c>
      <c r="C40" s="589">
        <f>SUM(C37:C39)</f>
        <v>650000</v>
      </c>
      <c r="D40" s="589">
        <f>SUM(D37:D39)</f>
        <v>0</v>
      </c>
      <c r="E40" s="589">
        <f>'Sources and Uses Budget'!S40</f>
        <v>650000</v>
      </c>
      <c r="F40" s="596">
        <f>SUM(F38:F39)</f>
        <v>650000</v>
      </c>
      <c r="G40" s="596">
        <f>SUM(G38:G39)</f>
        <v>0</v>
      </c>
      <c r="H40" s="589">
        <f>'Sources and Uses Budget'!T40</f>
        <v>0</v>
      </c>
      <c r="I40" s="596">
        <f>SUM(I38:I39)</f>
        <v>0</v>
      </c>
      <c r="J40" s="596">
        <f>SUM(J38:J39)</f>
        <v>0</v>
      </c>
      <c r="K40" s="587"/>
    </row>
    <row r="41" spans="1:11" s="588" customFormat="1">
      <c r="A41" s="593" t="s">
        <v>155</v>
      </c>
      <c r="B41" s="589">
        <f>'Sources and Uses Budget'!C41</f>
        <v>145000</v>
      </c>
      <c r="C41" s="590">
        <f>B41</f>
        <v>145000</v>
      </c>
      <c r="D41" s="590"/>
      <c r="E41" s="589">
        <f>'Sources and Uses Budget'!S41</f>
        <v>145000</v>
      </c>
      <c r="F41" s="590">
        <f>E41</f>
        <v>145000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3800000</v>
      </c>
      <c r="C43" s="590">
        <f t="shared" ref="C43:C50" si="6">B43</f>
        <v>3800000</v>
      </c>
      <c r="D43" s="590"/>
      <c r="E43" s="589">
        <f>'Sources and Uses Budget'!S43</f>
        <v>3800000</v>
      </c>
      <c r="F43" s="590">
        <f t="shared" ref="F43:F50" si="7">E43</f>
        <v>3800000</v>
      </c>
      <c r="G43" s="590"/>
      <c r="H43" s="589">
        <f>'Sources and Uses Budget'!T43</f>
        <v>0</v>
      </c>
      <c r="I43" s="590"/>
      <c r="J43" s="590"/>
      <c r="K43" s="587"/>
    </row>
    <row r="44" spans="1:11" s="588" customFormat="1">
      <c r="A44" s="592" t="s">
        <v>158</v>
      </c>
      <c r="B44" s="589">
        <f>'Sources and Uses Budget'!C44</f>
        <v>482501</v>
      </c>
      <c r="C44" s="590">
        <f t="shared" si="6"/>
        <v>482501</v>
      </c>
      <c r="D44" s="590"/>
      <c r="E44" s="589">
        <f>'Sources and Uses Budget'!S44</f>
        <v>482501</v>
      </c>
      <c r="F44" s="590">
        <f t="shared" si="7"/>
        <v>482501</v>
      </c>
      <c r="G44" s="590"/>
      <c r="H44" s="589">
        <f>'Sources and Uses Budget'!T44</f>
        <v>0</v>
      </c>
      <c r="I44" s="590"/>
      <c r="J44" s="590"/>
      <c r="K44" s="587"/>
    </row>
    <row r="45" spans="1:11" s="588" customFormat="1" ht="12" customHeight="1">
      <c r="A45" s="592" t="s">
        <v>159</v>
      </c>
      <c r="B45" s="589">
        <f>'Sources and Uses Budget'!C45</f>
        <v>65000</v>
      </c>
      <c r="C45" s="590">
        <f t="shared" si="6"/>
        <v>65000</v>
      </c>
      <c r="D45" s="590"/>
      <c r="E45" s="589">
        <f>'Sources and Uses Budget'!S45</f>
        <v>65000</v>
      </c>
      <c r="F45" s="590">
        <f t="shared" si="7"/>
        <v>65000</v>
      </c>
      <c r="G45" s="590"/>
      <c r="H45" s="589">
        <f>'Sources and Uses Budget'!T45</f>
        <v>0</v>
      </c>
      <c r="I45" s="590"/>
      <c r="J45" s="590"/>
      <c r="K45" s="587"/>
    </row>
    <row r="46" spans="1:11" s="588" customFormat="1">
      <c r="A46" s="592" t="s">
        <v>160</v>
      </c>
      <c r="B46" s="589">
        <f>'Sources and Uses Budget'!C46</f>
        <v>50000</v>
      </c>
      <c r="C46" s="590">
        <f t="shared" si="6"/>
        <v>50000</v>
      </c>
      <c r="D46" s="590"/>
      <c r="E46" s="589">
        <f>'Sources and Uses Budget'!S46</f>
        <v>50000</v>
      </c>
      <c r="F46" s="590">
        <f t="shared" si="7"/>
        <v>50000</v>
      </c>
      <c r="G46" s="590"/>
      <c r="H46" s="589">
        <f>'Sources and Uses Budget'!T46</f>
        <v>0</v>
      </c>
      <c r="I46" s="590"/>
      <c r="J46" s="590"/>
      <c r="K46" s="587"/>
    </row>
    <row r="47" spans="1:11" s="588" customFormat="1">
      <c r="A47" s="457" t="s">
        <v>62</v>
      </c>
      <c r="B47" s="589">
        <f>'Sources and Uses Budget'!C47</f>
        <v>146000</v>
      </c>
      <c r="C47" s="590">
        <f t="shared" si="6"/>
        <v>146000</v>
      </c>
      <c r="D47" s="590"/>
      <c r="E47" s="589">
        <f>'Sources and Uses Budget'!S47</f>
        <v>146000</v>
      </c>
      <c r="F47" s="590">
        <f t="shared" si="7"/>
        <v>146000</v>
      </c>
      <c r="G47" s="590"/>
      <c r="H47" s="589">
        <f>'Sources and Uses Budget'!T47</f>
        <v>0</v>
      </c>
      <c r="I47" s="590"/>
      <c r="J47" s="590"/>
      <c r="K47" s="587"/>
    </row>
    <row r="48" spans="1:11" s="588" customFormat="1">
      <c r="A48" s="592" t="s">
        <v>163</v>
      </c>
      <c r="B48" s="589">
        <f>'Sources and Uses Budget'!C48</f>
        <v>40000</v>
      </c>
      <c r="C48" s="590">
        <f t="shared" si="6"/>
        <v>40000</v>
      </c>
      <c r="D48" s="590"/>
      <c r="E48" s="589">
        <f>'Sources and Uses Budget'!S48</f>
        <v>40000</v>
      </c>
      <c r="F48" s="590">
        <f t="shared" si="7"/>
        <v>40000</v>
      </c>
      <c r="G48" s="590"/>
      <c r="H48" s="589">
        <f>'Sources and Uses Budget'!T48</f>
        <v>0</v>
      </c>
      <c r="I48" s="590"/>
      <c r="J48" s="590"/>
      <c r="K48" s="587"/>
    </row>
    <row r="49" spans="1:11" s="588" customFormat="1">
      <c r="A49" s="592" t="s">
        <v>161</v>
      </c>
      <c r="B49" s="589">
        <f>'Sources and Uses Budget'!C49</f>
        <v>90926</v>
      </c>
      <c r="C49" s="590">
        <f t="shared" si="6"/>
        <v>90926</v>
      </c>
      <c r="D49" s="590"/>
      <c r="E49" s="589">
        <f>'Sources and Uses Budget'!S49</f>
        <v>90926</v>
      </c>
      <c r="F49" s="590">
        <f t="shared" si="7"/>
        <v>90926</v>
      </c>
      <c r="G49" s="590"/>
      <c r="H49" s="589">
        <f>'Sources and Uses Budget'!T49</f>
        <v>0</v>
      </c>
      <c r="I49" s="590"/>
      <c r="J49" s="590"/>
      <c r="K49" s="587"/>
    </row>
    <row r="50" spans="1:11" s="588" customFormat="1">
      <c r="A50" s="592" t="s">
        <v>162</v>
      </c>
      <c r="B50" s="589">
        <f>'Sources and Uses Budget'!C50</f>
        <v>86000</v>
      </c>
      <c r="C50" s="590">
        <f t="shared" si="6"/>
        <v>86000</v>
      </c>
      <c r="D50" s="590"/>
      <c r="E50" s="589">
        <f>'Sources and Uses Budget'!S50</f>
        <v>86000</v>
      </c>
      <c r="F50" s="590">
        <f t="shared" si="7"/>
        <v>86000</v>
      </c>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4760427</v>
      </c>
      <c r="C53" s="596">
        <f>SUM(C43:C52)</f>
        <v>4760427</v>
      </c>
      <c r="D53" s="596">
        <f>SUM(D43:D52)</f>
        <v>0</v>
      </c>
      <c r="E53" s="589">
        <f>'Sources and Uses Budget'!S53</f>
        <v>4760427</v>
      </c>
      <c r="F53" s="596">
        <f>SUM(F43:F52)</f>
        <v>4760427</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155646</v>
      </c>
      <c r="C55" s="590">
        <f t="shared" ref="C55:C57" si="8">B55</f>
        <v>155646</v>
      </c>
      <c r="D55" s="590"/>
      <c r="E55" s="591"/>
      <c r="F55" s="591"/>
      <c r="G55" s="591"/>
      <c r="H55" s="591"/>
      <c r="I55" s="591"/>
      <c r="J55" s="591"/>
      <c r="K55" s="587"/>
    </row>
    <row r="56" spans="1:11" s="588" customFormat="1" ht="12" customHeight="1">
      <c r="A56" s="592" t="s">
        <v>159</v>
      </c>
      <c r="B56" s="589">
        <f>'Sources and Uses Budget'!C56</f>
        <v>130586</v>
      </c>
      <c r="C56" s="590">
        <f t="shared" si="8"/>
        <v>130586</v>
      </c>
      <c r="D56" s="590"/>
      <c r="E56" s="591"/>
      <c r="F56" s="591"/>
      <c r="G56" s="591"/>
      <c r="H56" s="591"/>
      <c r="I56" s="591"/>
      <c r="J56" s="591"/>
      <c r="K56" s="587"/>
    </row>
    <row r="57" spans="1:11" s="588" customFormat="1">
      <c r="A57" s="592" t="s">
        <v>163</v>
      </c>
      <c r="B57" s="589">
        <f>'Sources and Uses Budget'!C57</f>
        <v>22178</v>
      </c>
      <c r="C57" s="590">
        <f t="shared" si="8"/>
        <v>22178</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308410</v>
      </c>
      <c r="C62" s="589">
        <f>SUM(C55:C61)</f>
        <v>308410</v>
      </c>
      <c r="D62" s="589">
        <f>SUM(D55:D61)</f>
        <v>0</v>
      </c>
      <c r="E62" s="591"/>
      <c r="F62" s="591"/>
      <c r="G62" s="591"/>
      <c r="H62" s="591"/>
      <c r="I62" s="591"/>
      <c r="J62" s="591"/>
      <c r="K62" s="587"/>
    </row>
    <row r="63" spans="1:11" s="588" customFormat="1">
      <c r="A63" s="600" t="s">
        <v>321</v>
      </c>
      <c r="B63" s="589">
        <f>'Sources and Uses Budget'!C63</f>
        <v>46561418</v>
      </c>
      <c r="C63" s="589">
        <f>SUM(C8+C11+C13+C14+C15+C25+C26+C36+C40+C41+C53+C62)</f>
        <v>46561418</v>
      </c>
      <c r="D63" s="589">
        <f>SUM(D8+D11+D13+D14+D15+D25+D26+D36+D40+D41+D53+D62)</f>
        <v>0</v>
      </c>
      <c r="E63" s="589">
        <f>'Sources and Uses Budget'!S63</f>
        <v>20295146</v>
      </c>
      <c r="F63" s="589">
        <f>SUM(F10+F13+F14+F15+F25+F26+F36+F40+F41+F53)</f>
        <v>20295146</v>
      </c>
      <c r="G63" s="589">
        <f>SUM(G10+G13+G14+G15+G25+G26+G36+G40+G41+G53)</f>
        <v>0</v>
      </c>
      <c r="H63" s="589">
        <f>'Sources and Uses Budget'!T63</f>
        <v>25759333</v>
      </c>
      <c r="I63" s="589">
        <f>SUM(I11+I13+I14+I15+I25+I26+I36+I40+I41+I53)</f>
        <v>25759333</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182647</v>
      </c>
      <c r="C65" s="590">
        <f t="shared" ref="C65:C66" si="9">B65</f>
        <v>182647</v>
      </c>
      <c r="D65" s="590"/>
      <c r="E65" s="589">
        <f>'Sources and Uses Budget'!S65</f>
        <v>182647</v>
      </c>
      <c r="F65" s="590">
        <f>E65</f>
        <v>182647</v>
      </c>
      <c r="G65" s="590"/>
      <c r="H65" s="589">
        <f>'Sources and Uses Budget'!T65</f>
        <v>0</v>
      </c>
      <c r="I65" s="590"/>
      <c r="J65" s="590"/>
      <c r="K65" s="587"/>
    </row>
    <row r="66" spans="1:11" s="588" customFormat="1">
      <c r="A66" s="595" t="str">
        <f>'Sources and Uses Budget'!$A73</f>
        <v>Other: (Specify)</v>
      </c>
      <c r="B66" s="589">
        <f>'Sources and Uses Budget'!C66</f>
        <v>0</v>
      </c>
      <c r="C66" s="590">
        <f t="shared" si="9"/>
        <v>0</v>
      </c>
      <c r="D66" s="590"/>
      <c r="E66" s="589">
        <f>'Sources and Uses Budget'!S66</f>
        <v>0</v>
      </c>
      <c r="F66" s="590"/>
      <c r="G66" s="590"/>
      <c r="H66" s="589">
        <f>'Sources and Uses Budget'!T66</f>
        <v>0</v>
      </c>
      <c r="I66" s="590"/>
      <c r="J66" s="590"/>
      <c r="K66" s="587"/>
    </row>
    <row r="67" spans="1:11" s="588" customFormat="1">
      <c r="A67" s="593" t="s">
        <v>652</v>
      </c>
      <c r="B67" s="589">
        <f>'Sources and Uses Budget'!C67</f>
        <v>182647</v>
      </c>
      <c r="C67" s="589">
        <f>SUM(C64:C66)</f>
        <v>182647</v>
      </c>
      <c r="D67" s="589">
        <f>SUM(D64:D66)</f>
        <v>0</v>
      </c>
      <c r="E67" s="589">
        <f>'Sources and Uses Budget'!S67</f>
        <v>182647</v>
      </c>
      <c r="F67" s="596">
        <f>SUM(F65:F66)</f>
        <v>182647</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 t="shared" ref="C69:C73" si="10">B69</f>
        <v>0</v>
      </c>
      <c r="D69" s="590"/>
      <c r="E69" s="591"/>
      <c r="F69" s="591"/>
      <c r="G69" s="591"/>
      <c r="H69" s="591"/>
      <c r="I69" s="591"/>
      <c r="J69" s="591"/>
      <c r="K69" s="587"/>
    </row>
    <row r="70" spans="1:11" s="588" customFormat="1">
      <c r="A70" s="592" t="s">
        <v>655</v>
      </c>
      <c r="B70" s="589">
        <f>'Sources and Uses Budget'!C70</f>
        <v>0</v>
      </c>
      <c r="C70" s="590">
        <f t="shared" si="10"/>
        <v>0</v>
      </c>
      <c r="D70" s="590"/>
      <c r="E70" s="591"/>
      <c r="F70" s="591"/>
      <c r="G70" s="591"/>
      <c r="H70" s="591"/>
      <c r="I70" s="591"/>
      <c r="J70" s="591"/>
      <c r="K70" s="587"/>
    </row>
    <row r="71" spans="1:11" s="588" customFormat="1">
      <c r="A71" s="763" t="s">
        <v>1124</v>
      </c>
      <c r="B71" s="589">
        <f>'Sources and Uses Budget'!C71</f>
        <v>0</v>
      </c>
      <c r="C71" s="590">
        <f t="shared" si="10"/>
        <v>0</v>
      </c>
      <c r="D71" s="590"/>
      <c r="E71" s="591"/>
      <c r="F71" s="591"/>
      <c r="G71" s="591"/>
      <c r="H71" s="591"/>
      <c r="I71" s="591"/>
      <c r="J71" s="591"/>
      <c r="K71" s="587"/>
    </row>
    <row r="72" spans="1:11" s="588" customFormat="1">
      <c r="A72" s="592" t="s">
        <v>656</v>
      </c>
      <c r="B72" s="589">
        <f>'Sources and Uses Budget'!C72</f>
        <v>315654</v>
      </c>
      <c r="C72" s="590">
        <f t="shared" si="10"/>
        <v>315654</v>
      </c>
      <c r="D72" s="590"/>
      <c r="E72" s="591"/>
      <c r="F72" s="591"/>
      <c r="G72" s="591"/>
      <c r="H72" s="591"/>
      <c r="I72" s="591"/>
      <c r="J72" s="591"/>
      <c r="K72" s="587"/>
    </row>
    <row r="73" spans="1:11" s="588" customFormat="1">
      <c r="A73" s="595" t="str">
        <f>'Sources and Uses Budget'!$A73</f>
        <v>Other: (Specify)</v>
      </c>
      <c r="B73" s="589">
        <f>'Sources and Uses Budget'!C73</f>
        <v>0</v>
      </c>
      <c r="C73" s="590">
        <f t="shared" si="10"/>
        <v>0</v>
      </c>
      <c r="D73" s="590"/>
      <c r="E73" s="591"/>
      <c r="F73" s="591"/>
      <c r="G73" s="591"/>
      <c r="H73" s="591"/>
      <c r="I73" s="591"/>
      <c r="J73" s="591"/>
      <c r="K73" s="587"/>
    </row>
    <row r="74" spans="1:11" s="588" customFormat="1">
      <c r="A74" s="593" t="s">
        <v>657</v>
      </c>
      <c r="B74" s="589">
        <f>'Sources and Uses Budget'!C74</f>
        <v>315654</v>
      </c>
      <c r="C74" s="589">
        <f>SUM(C69:C73)</f>
        <v>315654</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1168000</v>
      </c>
      <c r="C76" s="590">
        <f t="shared" ref="C76:C77" si="11">B76</f>
        <v>1168000</v>
      </c>
      <c r="D76" s="590"/>
      <c r="E76" s="589">
        <f>'Sources and Uses Budget'!S76</f>
        <v>1168000</v>
      </c>
      <c r="F76" s="590">
        <f t="shared" ref="F76:F77" si="12">E76</f>
        <v>1168000</v>
      </c>
      <c r="G76" s="590"/>
      <c r="H76" s="589">
        <f>'Sources and Uses Budget'!T76</f>
        <v>0</v>
      </c>
      <c r="I76" s="590"/>
      <c r="J76" s="590"/>
      <c r="K76" s="587"/>
    </row>
    <row r="77" spans="1:11" s="588" customFormat="1">
      <c r="A77" s="592" t="s">
        <v>63</v>
      </c>
      <c r="B77" s="589">
        <f>'Sources and Uses Budget'!C77</f>
        <v>332000</v>
      </c>
      <c r="C77" s="590">
        <f t="shared" si="11"/>
        <v>332000</v>
      </c>
      <c r="D77" s="590"/>
      <c r="E77" s="589">
        <f>'Sources and Uses Budget'!S77</f>
        <v>332000</v>
      </c>
      <c r="F77" s="590">
        <f t="shared" si="12"/>
        <v>332000</v>
      </c>
      <c r="G77" s="590"/>
      <c r="H77" s="589">
        <f>'Sources and Uses Budget'!T77</f>
        <v>0</v>
      </c>
      <c r="I77" s="590"/>
      <c r="J77" s="590"/>
      <c r="K77" s="587"/>
    </row>
    <row r="78" spans="1:11" s="588" customFormat="1">
      <c r="A78" s="593" t="s">
        <v>1468</v>
      </c>
      <c r="B78" s="589">
        <f>'Sources and Uses Budget'!C78</f>
        <v>1500000</v>
      </c>
      <c r="C78" s="589">
        <f>SUM(C76:C77)</f>
        <v>1500000</v>
      </c>
      <c r="D78" s="589">
        <f>SUM(D76:D77)</f>
        <v>0</v>
      </c>
      <c r="E78" s="589">
        <f>'Sources and Uses Budget'!S78</f>
        <v>1500000</v>
      </c>
      <c r="F78" s="589">
        <f>SUM(F76:F77)</f>
        <v>1500000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54915</v>
      </c>
      <c r="C80" s="590">
        <f t="shared" ref="C80:C83" si="13">B80</f>
        <v>54915</v>
      </c>
      <c r="D80" s="590"/>
      <c r="E80" s="591"/>
      <c r="F80" s="591"/>
      <c r="G80" s="591"/>
      <c r="H80" s="591"/>
      <c r="I80" s="591"/>
      <c r="J80" s="591"/>
      <c r="K80" s="587"/>
    </row>
    <row r="81" spans="1:11" s="588" customFormat="1">
      <c r="A81" s="223" t="s">
        <v>846</v>
      </c>
      <c r="B81" s="589">
        <f>'Sources and Uses Budget'!C81</f>
        <v>82516</v>
      </c>
      <c r="C81" s="590">
        <f t="shared" si="13"/>
        <v>82516</v>
      </c>
      <c r="D81" s="590"/>
      <c r="E81" s="589">
        <f>'Sources and Uses Budget'!S81</f>
        <v>82516</v>
      </c>
      <c r="F81" s="590">
        <f t="shared" ref="F81:F84" si="14">E81</f>
        <v>82516</v>
      </c>
      <c r="G81" s="590"/>
      <c r="H81" s="589">
        <f>'Sources and Uses Budget'!T81</f>
        <v>0</v>
      </c>
      <c r="I81" s="590"/>
      <c r="J81" s="590"/>
      <c r="K81" s="587"/>
    </row>
    <row r="82" spans="1:11" s="588" customFormat="1">
      <c r="A82" s="223" t="s">
        <v>847</v>
      </c>
      <c r="B82" s="589">
        <f>'Sources and Uses Budget'!C82</f>
        <v>165000</v>
      </c>
      <c r="C82" s="590">
        <f t="shared" si="13"/>
        <v>165000</v>
      </c>
      <c r="D82" s="590"/>
      <c r="E82" s="589">
        <f>'Sources and Uses Budget'!S82</f>
        <v>165000</v>
      </c>
      <c r="F82" s="590">
        <f t="shared" si="14"/>
        <v>165000</v>
      </c>
      <c r="G82" s="590"/>
      <c r="H82" s="589">
        <f>'Sources and Uses Budget'!T82</f>
        <v>0</v>
      </c>
      <c r="I82" s="590"/>
      <c r="J82" s="590"/>
      <c r="K82" s="587"/>
    </row>
    <row r="83" spans="1:11" s="588" customFormat="1">
      <c r="A83" s="223" t="s">
        <v>848</v>
      </c>
      <c r="B83" s="589">
        <f>'Sources and Uses Budget'!C83</f>
        <v>585000</v>
      </c>
      <c r="C83" s="590">
        <f t="shared" si="13"/>
        <v>585000</v>
      </c>
      <c r="D83" s="590"/>
      <c r="E83" s="589">
        <f>'Sources and Uses Budget'!S83</f>
        <v>585000</v>
      </c>
      <c r="F83" s="590">
        <f t="shared" si="14"/>
        <v>585000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f t="shared" si="14"/>
        <v>0</v>
      </c>
      <c r="G84" s="590"/>
      <c r="H84" s="589">
        <f>'Sources and Uses Budget'!T84</f>
        <v>0</v>
      </c>
      <c r="I84" s="590"/>
      <c r="J84" s="590"/>
      <c r="K84" s="587"/>
    </row>
    <row r="85" spans="1:11" s="588" customFormat="1">
      <c r="A85" s="223" t="s">
        <v>850</v>
      </c>
      <c r="B85" s="589">
        <f>'Sources and Uses Budget'!C85</f>
        <v>92222</v>
      </c>
      <c r="C85" s="590">
        <f t="shared" ref="C85:C89" si="15">B85</f>
        <v>92222</v>
      </c>
      <c r="D85" s="590"/>
      <c r="E85" s="591"/>
      <c r="F85" s="591"/>
      <c r="G85" s="591"/>
      <c r="H85" s="591"/>
      <c r="I85" s="591"/>
      <c r="J85" s="591"/>
      <c r="K85" s="587"/>
    </row>
    <row r="86" spans="1:11" s="588" customFormat="1">
      <c r="A86" s="223" t="s">
        <v>851</v>
      </c>
      <c r="B86" s="589">
        <f>'Sources and Uses Budget'!C86</f>
        <v>960000</v>
      </c>
      <c r="C86" s="590">
        <f t="shared" si="15"/>
        <v>960000</v>
      </c>
      <c r="D86" s="590"/>
      <c r="E86" s="589">
        <f>'Sources and Uses Budget'!S86</f>
        <v>960000</v>
      </c>
      <c r="F86" s="590">
        <f t="shared" ref="F86:F90" si="16">E86</f>
        <v>960000</v>
      </c>
      <c r="G86" s="590"/>
      <c r="H86" s="589">
        <f>'Sources and Uses Budget'!T86</f>
        <v>0</v>
      </c>
      <c r="I86" s="590"/>
      <c r="J86" s="590"/>
      <c r="K86" s="587"/>
    </row>
    <row r="87" spans="1:11" s="588" customFormat="1">
      <c r="A87" s="223" t="s">
        <v>852</v>
      </c>
      <c r="B87" s="589">
        <f>'Sources and Uses Budget'!C87</f>
        <v>18000</v>
      </c>
      <c r="C87" s="590">
        <f t="shared" si="15"/>
        <v>18000</v>
      </c>
      <c r="D87" s="590"/>
      <c r="E87" s="589">
        <f>'Sources and Uses Budget'!S87</f>
        <v>18000</v>
      </c>
      <c r="F87" s="590">
        <f t="shared" si="16"/>
        <v>18000</v>
      </c>
      <c r="G87" s="590"/>
      <c r="H87" s="589">
        <f>'Sources and Uses Budget'!T87</f>
        <v>0</v>
      </c>
      <c r="I87" s="590"/>
      <c r="J87" s="590"/>
      <c r="K87" s="587"/>
    </row>
    <row r="88" spans="1:11" s="588" customFormat="1">
      <c r="A88" s="234" t="s">
        <v>404</v>
      </c>
      <c r="B88" s="589">
        <f>'Sources and Uses Budget'!C88</f>
        <v>65000</v>
      </c>
      <c r="C88" s="590">
        <f t="shared" si="15"/>
        <v>65000</v>
      </c>
      <c r="D88" s="590"/>
      <c r="E88" s="589">
        <f>'Sources and Uses Budget'!S88</f>
        <v>65000</v>
      </c>
      <c r="F88" s="590">
        <f t="shared" si="16"/>
        <v>65000</v>
      </c>
      <c r="G88" s="590"/>
      <c r="H88" s="589">
        <f>'Sources and Uses Budget'!T88</f>
        <v>0</v>
      </c>
      <c r="I88" s="590"/>
      <c r="J88" s="590"/>
      <c r="K88" s="587"/>
    </row>
    <row r="89" spans="1:11" s="588" customFormat="1">
      <c r="A89" s="889" t="s">
        <v>1470</v>
      </c>
      <c r="B89" s="589">
        <f>'Sources and Uses Budget'!C89</f>
        <v>29779</v>
      </c>
      <c r="C89" s="590">
        <f t="shared" si="15"/>
        <v>29779</v>
      </c>
      <c r="D89" s="590"/>
      <c r="E89" s="589">
        <f>'Sources and Uses Budget'!S89</f>
        <v>29779</v>
      </c>
      <c r="F89" s="590">
        <f t="shared" si="16"/>
        <v>29779</v>
      </c>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f t="shared" si="16"/>
        <v>0</v>
      </c>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2052432</v>
      </c>
      <c r="C95" s="589">
        <f>SUM(C80:C94)</f>
        <v>2052432</v>
      </c>
      <c r="D95" s="589">
        <f>SUM(D80:D94)</f>
        <v>0</v>
      </c>
      <c r="E95" s="589">
        <f>'Sources and Uses Budget'!S95</f>
        <v>1905295</v>
      </c>
      <c r="F95" s="596">
        <f>SUM(F81:F84,F86:F94)</f>
        <v>1905295</v>
      </c>
      <c r="G95" s="596">
        <f>SUM(G81:G84,G86:G94)</f>
        <v>0</v>
      </c>
      <c r="H95" s="589">
        <f>'Sources and Uses Budget'!T95</f>
        <v>0</v>
      </c>
      <c r="I95" s="589">
        <f>SUM(I81:I84,I86:I94)</f>
        <v>0</v>
      </c>
      <c r="J95" s="589">
        <f>SUM(J81:J84,J86:J94)</f>
        <v>0</v>
      </c>
      <c r="K95" s="587"/>
    </row>
    <row r="96" spans="1:11" s="588" customFormat="1">
      <c r="A96" s="593" t="s">
        <v>1181</v>
      </c>
      <c r="B96" s="589">
        <f>'Sources and Uses Budget'!C96</f>
        <v>50612151</v>
      </c>
      <c r="C96" s="589">
        <f>SUM(C63+C67+C74+C78+C95)</f>
        <v>50612151</v>
      </c>
      <c r="D96" s="589">
        <f>SUM(D63+D67+D74+D78+D95)</f>
        <v>0</v>
      </c>
      <c r="E96" s="589">
        <f>'Sources and Uses Budget'!S96</f>
        <v>23883088</v>
      </c>
      <c r="F96" s="596">
        <f>SUM(+F63+F67+F78+F95)</f>
        <v>23883088</v>
      </c>
      <c r="G96" s="596">
        <f>SUM(+G63+G67+G78+G95)</f>
        <v>0</v>
      </c>
      <c r="H96" s="589">
        <f>'Sources and Uses Budget'!T96</f>
        <v>25759333</v>
      </c>
      <c r="I96" s="596">
        <f>SUM(I63+I67+I78+I95)</f>
        <v>25759333</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6701726.834999999</v>
      </c>
      <c r="C98" s="590">
        <f t="shared" ref="C98:C103" si="17">B98</f>
        <v>6701726.834999999</v>
      </c>
      <c r="D98" s="590"/>
      <c r="E98" s="589">
        <f>'Sources and Uses Budget'!S98</f>
        <v>3224216.88</v>
      </c>
      <c r="F98" s="590">
        <f>E98</f>
        <v>3224216.88</v>
      </c>
      <c r="G98" s="590"/>
      <c r="H98" s="589">
        <f>'Sources and Uses Budget'!T98</f>
        <v>3477509.9549999996</v>
      </c>
      <c r="I98" s="590">
        <f>H98</f>
        <v>3477509.9549999996</v>
      </c>
      <c r="J98" s="590"/>
      <c r="K98" s="587"/>
    </row>
    <row r="99" spans="1:11" s="588" customFormat="1">
      <c r="A99" s="223" t="s">
        <v>857</v>
      </c>
      <c r="B99" s="589">
        <f>'Sources and Uses Budget'!C99</f>
        <v>0</v>
      </c>
      <c r="C99" s="590">
        <f t="shared" si="17"/>
        <v>0</v>
      </c>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f t="shared" si="17"/>
        <v>0</v>
      </c>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f t="shared" si="17"/>
        <v>0</v>
      </c>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f t="shared" si="17"/>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17"/>
        <v>0</v>
      </c>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6701726.834999999</v>
      </c>
      <c r="C104" s="589">
        <f>SUM(C98:C103)</f>
        <v>6701726.834999999</v>
      </c>
      <c r="D104" s="589">
        <f>SUM(D98:D103)</f>
        <v>0</v>
      </c>
      <c r="E104" s="589">
        <f>'Sources and Uses Budget'!S104</f>
        <v>3224216.88</v>
      </c>
      <c r="F104" s="596">
        <f>SUM(F98:F103)</f>
        <v>3224216.88</v>
      </c>
      <c r="G104" s="596">
        <f>SUM(G98:G103)</f>
        <v>0</v>
      </c>
      <c r="H104" s="589">
        <f>'Sources and Uses Budget'!T104</f>
        <v>3477509.9549999996</v>
      </c>
      <c r="I104" s="596">
        <f>SUM(I98:I103)</f>
        <v>3477509.9549999996</v>
      </c>
      <c r="J104" s="596">
        <f>SUM(J98:J103)</f>
        <v>0</v>
      </c>
      <c r="K104" s="587"/>
    </row>
    <row r="105" spans="1:11" s="588" customFormat="1">
      <c r="A105" s="593" t="s">
        <v>1182</v>
      </c>
      <c r="B105" s="589">
        <f>'Sources and Uses Budget'!C105</f>
        <v>57313877.835000001</v>
      </c>
      <c r="C105" s="596">
        <f>SUM(C96+C104)</f>
        <v>57313877.835000001</v>
      </c>
      <c r="D105" s="596">
        <f>SUM(D96+D104)</f>
        <v>0</v>
      </c>
      <c r="E105" s="589">
        <f>'Sources and Uses Budget'!S105</f>
        <v>27107304.879999999</v>
      </c>
      <c r="F105" s="596">
        <f>F96+F104</f>
        <v>27107304.879999999</v>
      </c>
      <c r="G105" s="596">
        <f>G96+G104</f>
        <v>0</v>
      </c>
      <c r="H105" s="589">
        <f>'Sources and Uses Budget'!T105</f>
        <v>29236842.954999998</v>
      </c>
      <c r="I105" s="596">
        <f>I96+I104</f>
        <v>29236842.954999998</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27107304.879999999</v>
      </c>
      <c r="F107" s="605">
        <f>F105+F106</f>
        <v>27107304.879999999</v>
      </c>
      <c r="G107" s="605">
        <f>G105+G106</f>
        <v>0</v>
      </c>
      <c r="H107" s="589">
        <f>'Sources and Uses Budget'!T107</f>
        <v>29236842.954999998</v>
      </c>
      <c r="I107" s="605">
        <f>I105+I106</f>
        <v>29236842.954999998</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8" zoomScaleNormal="100" zoomScaleSheetLayoutView="100" workbookViewId="0">
      <selection activeCell="T23" sqref="T23:AH2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8" t="s">
        <v>1599</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27107304.879999999</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29236842.954999998</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1070</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1070</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1551</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27107304.879999999</v>
      </c>
      <c r="U23" s="1657"/>
      <c r="V23" s="1657"/>
      <c r="W23" s="1657"/>
      <c r="X23" s="1657"/>
      <c r="Y23" s="1654">
        <f>Y11+Y22</f>
        <v>0</v>
      </c>
      <c r="Z23" s="1657"/>
      <c r="AA23" s="1657"/>
      <c r="AB23" s="1657"/>
      <c r="AC23" s="1657"/>
      <c r="AD23" s="1654">
        <f>AD11+AD22</f>
        <v>29236842.954999998</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1071</v>
      </c>
      <c r="C24" s="1637"/>
      <c r="D24" s="1637"/>
      <c r="E24" s="1637"/>
      <c r="F24" s="1637"/>
      <c r="G24" s="1637"/>
      <c r="H24" s="1637"/>
      <c r="I24" s="1637"/>
      <c r="J24" s="1637"/>
      <c r="K24" s="1637"/>
      <c r="L24" s="1637"/>
      <c r="M24" s="1637"/>
      <c r="N24" s="1637"/>
      <c r="O24" s="1637"/>
      <c r="P24" s="1637"/>
      <c r="Q24" s="1637"/>
      <c r="R24" s="1637"/>
      <c r="S24" s="1638"/>
      <c r="T24" s="1652">
        <f>Application!AD1004</f>
        <v>56778280</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1552</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35239496.343999997</v>
      </c>
      <c r="U26" s="1669"/>
      <c r="V26" s="1669"/>
      <c r="W26" s="1669"/>
      <c r="X26" s="1669"/>
      <c r="Y26" s="1668">
        <f>Y23*Y25</f>
        <v>0</v>
      </c>
      <c r="Z26" s="1669"/>
      <c r="AA26" s="1669"/>
      <c r="AB26" s="1669"/>
      <c r="AC26" s="1669"/>
      <c r="AD26" s="1668">
        <f>AD23*AD25</f>
        <v>29236842.954999998</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35239496.343999997</v>
      </c>
      <c r="U28" s="1635"/>
      <c r="V28" s="1635"/>
      <c r="W28" s="1635"/>
      <c r="X28" s="1635"/>
      <c r="Y28" s="1634">
        <f>IF(ISERROR((Y26*Y27)),0,(Y26*Y27))</f>
        <v>0</v>
      </c>
      <c r="Z28" s="1635"/>
      <c r="AA28" s="1635"/>
      <c r="AB28" s="1635"/>
      <c r="AC28" s="1635"/>
      <c r="AD28" s="1634">
        <f>IF(ISERROR((AD26*AD27)),0,(AD26*AD27))</f>
        <v>29236842.954999998</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64476339.298999995</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1556</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1553</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1387</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35239496.343999997</v>
      </c>
      <c r="Z38" s="1657"/>
      <c r="AA38" s="1657"/>
      <c r="AB38" s="1657"/>
      <c r="AC38" s="1657"/>
      <c r="AD38" s="1657">
        <f>IF(T24&gt;=(T23+Y23+AD23+AI23),AD28+AI28,0)</f>
        <v>29236842.954999998</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1554</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1141760</v>
      </c>
      <c r="Z40" s="1657"/>
      <c r="AA40" s="1657"/>
      <c r="AB40" s="1657"/>
      <c r="AC40" s="1657"/>
      <c r="AD40" s="1654">
        <f>ROUND(AD38*AD39,0)</f>
        <v>947274</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2089034</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1555</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1586</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66964327.835000001</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48371924.835000001</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18592403</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v>0.89</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1183</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20890340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2089034</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2089034</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18592403</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9" t="s">
        <v>1102</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27107304.879999999</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1536</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8">
        <f>ROUND(Y64*Y67,0)</f>
        <v>8132191</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1539</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1587</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643</v>
      </c>
      <c r="C85" s="344" t="s">
        <v>1585</v>
      </c>
    </row>
    <row r="86" spans="1:98" ht="12.75">
      <c r="D86" s="344" t="s">
        <v>1641</v>
      </c>
      <c r="AB86" s="1690">
        <f>IF(A61="$500M State Credit",AB77/(Application!AG424-Application!AG425),"N/A")</f>
        <v>0</v>
      </c>
      <c r="AC86" s="1690"/>
      <c r="AD86" s="1690"/>
      <c r="AE86" s="1690"/>
      <c r="AF86" s="1690"/>
    </row>
    <row r="87" spans="1:98" ht="13.5" thickBot="1">
      <c r="D87" s="344" t="s">
        <v>1642</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G13" sqref="G13"/>
    </sheetView>
  </sheetViews>
  <sheetFormatPr defaultColWidth="0" defaultRowHeight="12.75" zeroHeight="1"/>
  <cols>
    <col min="1" max="1" width="3.7109375" customWidth="1"/>
    <col min="2" max="2" width="30.4257812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859752</v>
      </c>
      <c r="G4" s="366">
        <f>E4*$C$4</f>
        <v>881245.79999999993</v>
      </c>
      <c r="I4" s="366">
        <f>G4*$C$4</f>
        <v>903276.94499999983</v>
      </c>
      <c r="K4" s="366">
        <f>I4*$C$4</f>
        <v>925858.86862499977</v>
      </c>
      <c r="M4" s="366">
        <f>K4*$C$4</f>
        <v>949005.34034062468</v>
      </c>
      <c r="O4" s="366">
        <f>M4*$C$4</f>
        <v>972730.47384914022</v>
      </c>
      <c r="Q4" s="366">
        <f>O4*$C$4</f>
        <v>997048.73569536861</v>
      </c>
      <c r="S4" s="366">
        <f>Q4*$C$4</f>
        <v>1021974.9540877527</v>
      </c>
      <c r="U4" s="366">
        <f>S4*$C$4</f>
        <v>1047524.3279399464</v>
      </c>
      <c r="W4" s="366">
        <f>U4*$C$4</f>
        <v>1073712.436138445</v>
      </c>
      <c r="Y4" s="366">
        <f>W4*$C$4</f>
        <v>1100555.247041906</v>
      </c>
      <c r="AA4" s="366">
        <f>Y4*$C$4</f>
        <v>1128069.1282179535</v>
      </c>
      <c r="AC4" s="366">
        <f>AA4*$C$4</f>
        <v>1156270.8564234022</v>
      </c>
      <c r="AE4" s="366">
        <f>AC4*$C$4</f>
        <v>1185177.6278339871</v>
      </c>
      <c r="AG4" s="366">
        <f>AE4*$C$4</f>
        <v>1214807.0685298366</v>
      </c>
    </row>
    <row r="5" spans="1:34" s="350" customFormat="1" ht="14.25">
      <c r="B5" s="350" t="s">
        <v>925</v>
      </c>
      <c r="C5" s="391">
        <f>IF(Application!$D$210="Special Needs",0.1,0.05)</f>
        <v>0.05</v>
      </c>
      <c r="E5" s="368">
        <f>-E4*$C$5</f>
        <v>-42987.600000000006</v>
      </c>
      <c r="F5" s="368"/>
      <c r="G5" s="368">
        <f>-G4*$C$5</f>
        <v>-44062.29</v>
      </c>
      <c r="H5" s="368"/>
      <c r="I5" s="368">
        <f>-I4*$C$5</f>
        <v>-45163.847249999992</v>
      </c>
      <c r="J5" s="368"/>
      <c r="K5" s="368">
        <f>-K4*$C$5</f>
        <v>-46292.943431249994</v>
      </c>
      <c r="L5" s="368"/>
      <c r="M5" s="368">
        <f>-M4*$C$5</f>
        <v>-47450.267017031234</v>
      </c>
      <c r="N5" s="368"/>
      <c r="O5" s="368">
        <f>-O4*$C$5</f>
        <v>-48636.523692457013</v>
      </c>
      <c r="P5" s="368"/>
      <c r="Q5" s="368">
        <f>-Q4*$C$5</f>
        <v>-49852.436784768433</v>
      </c>
      <c r="R5" s="368"/>
      <c r="S5" s="368">
        <f>-S4*$C$5</f>
        <v>-51098.747704387642</v>
      </c>
      <c r="T5" s="368"/>
      <c r="U5" s="368">
        <f>-U4*$C$5</f>
        <v>-52376.216396997326</v>
      </c>
      <c r="V5" s="368"/>
      <c r="W5" s="368">
        <f>-W4*$C$5</f>
        <v>-53685.621806922252</v>
      </c>
      <c r="X5" s="368"/>
      <c r="Y5" s="368">
        <f>-Y4*$C$5</f>
        <v>-55027.762352095306</v>
      </c>
      <c r="Z5" s="368"/>
      <c r="AA5" s="368">
        <f>-AA4*$C$5</f>
        <v>-56403.456410897677</v>
      </c>
      <c r="AB5" s="368"/>
      <c r="AC5" s="368">
        <f>-AC4*$C$5</f>
        <v>-57813.542821170115</v>
      </c>
      <c r="AD5" s="368"/>
      <c r="AE5" s="368">
        <f>-AE4*$C$5</f>
        <v>-59258.88139169936</v>
      </c>
      <c r="AF5" s="368"/>
      <c r="AG5" s="368">
        <f>-AG4*$C$5</f>
        <v>-60740.353426491834</v>
      </c>
    </row>
    <row r="6" spans="1:34" s="350" customFormat="1" ht="14.25">
      <c r="A6" s="350" t="s">
        <v>923</v>
      </c>
      <c r="C6" s="390">
        <v>1.0249999999999999</v>
      </c>
      <c r="E6" s="369">
        <f>Application!Z789</f>
        <v>511188</v>
      </c>
      <c r="F6" s="369"/>
      <c r="G6" s="369">
        <f>E6*$C$6</f>
        <v>523967.69999999995</v>
      </c>
      <c r="H6" s="369"/>
      <c r="I6" s="369">
        <f>G6*$C$6</f>
        <v>537066.89249999996</v>
      </c>
      <c r="J6" s="369"/>
      <c r="K6" s="369">
        <f>I6*$C$6</f>
        <v>550493.56481249991</v>
      </c>
      <c r="L6" s="369"/>
      <c r="M6" s="369">
        <f>K6*$C$6</f>
        <v>564255.90393281239</v>
      </c>
      <c r="N6" s="369"/>
      <c r="O6" s="369">
        <f>M6*$C$6</f>
        <v>578362.30153113266</v>
      </c>
      <c r="P6" s="369"/>
      <c r="Q6" s="369">
        <f>O6*$C$6</f>
        <v>592821.35906941094</v>
      </c>
      <c r="R6" s="369"/>
      <c r="S6" s="369">
        <f>Q6*$C$6</f>
        <v>607641.89304614614</v>
      </c>
      <c r="T6" s="369"/>
      <c r="U6" s="369">
        <f>S6*$C$6</f>
        <v>622832.94037229975</v>
      </c>
      <c r="V6" s="369"/>
      <c r="W6" s="369">
        <f>U6*$C$6</f>
        <v>638403.76388160721</v>
      </c>
      <c r="X6" s="369"/>
      <c r="Y6" s="369">
        <f>W6*$C$6</f>
        <v>654363.85797864734</v>
      </c>
      <c r="Z6" s="369"/>
      <c r="AA6" s="369">
        <f>Y6*$C$6</f>
        <v>670722.95442811341</v>
      </c>
      <c r="AB6" s="369"/>
      <c r="AC6" s="369">
        <f>AA6*$C$6</f>
        <v>687491.02828881622</v>
      </c>
      <c r="AD6" s="369"/>
      <c r="AE6" s="369">
        <f>AC6*$C$6</f>
        <v>704678.30399603653</v>
      </c>
      <c r="AF6" s="369"/>
      <c r="AG6" s="369">
        <f>AE6*$C$6</f>
        <v>722295.26159593742</v>
      </c>
    </row>
    <row r="7" spans="1:34" s="350" customFormat="1" ht="14.25">
      <c r="B7" s="350" t="s">
        <v>925</v>
      </c>
      <c r="C7" s="391">
        <f>IF(Application!$D$210="Special Needs",0.1,0.05)</f>
        <v>0.05</v>
      </c>
      <c r="E7" s="368">
        <f>-E6*$C$7</f>
        <v>-25559.4</v>
      </c>
      <c r="F7" s="368"/>
      <c r="G7" s="368">
        <f>-G6*$C$7</f>
        <v>-26198.384999999998</v>
      </c>
      <c r="H7" s="368"/>
      <c r="I7" s="368">
        <f>-I6*$C$7</f>
        <v>-26853.344624999998</v>
      </c>
      <c r="J7" s="368"/>
      <c r="K7" s="368">
        <f>-K6*$C$7</f>
        <v>-27524.678240624999</v>
      </c>
      <c r="L7" s="368"/>
      <c r="M7" s="368">
        <f>-M6*$C$7</f>
        <v>-28212.795196640622</v>
      </c>
      <c r="N7" s="368"/>
      <c r="O7" s="368">
        <f>-O6*$C$7</f>
        <v>-28918.115076556634</v>
      </c>
      <c r="P7" s="368"/>
      <c r="Q7" s="368">
        <f>-Q6*$C$7</f>
        <v>-29641.067953470549</v>
      </c>
      <c r="R7" s="368"/>
      <c r="S7" s="368">
        <f>-S6*$C$7</f>
        <v>-30382.094652307307</v>
      </c>
      <c r="T7" s="368"/>
      <c r="U7" s="368">
        <f>-U6*$C$7</f>
        <v>-31141.647018614989</v>
      </c>
      <c r="V7" s="368"/>
      <c r="W7" s="368">
        <f>-W6*$C$7</f>
        <v>-31920.188194080361</v>
      </c>
      <c r="X7" s="368"/>
      <c r="Y7" s="368">
        <f>-Y6*$C$7</f>
        <v>-32718.192898932368</v>
      </c>
      <c r="Z7" s="368"/>
      <c r="AA7" s="368">
        <f>-AA6*$C$7</f>
        <v>-33536.147721405672</v>
      </c>
      <c r="AB7" s="368"/>
      <c r="AC7" s="368">
        <f>-AC6*$C$7</f>
        <v>-34374.551414440815</v>
      </c>
      <c r="AD7" s="368"/>
      <c r="AE7" s="368">
        <f>-AE6*$C$7</f>
        <v>-35233.915199801828</v>
      </c>
      <c r="AF7" s="368"/>
      <c r="AG7" s="368">
        <f>-AG6*$C$7</f>
        <v>-36114.763079796874</v>
      </c>
    </row>
    <row r="8" spans="1:34" s="350" customFormat="1" ht="14.25">
      <c r="A8" s="350" t="s">
        <v>307</v>
      </c>
      <c r="C8" s="390">
        <v>1.0249999999999999</v>
      </c>
      <c r="E8" s="369">
        <f>Application!Z797</f>
        <v>91620</v>
      </c>
      <c r="F8" s="369"/>
      <c r="G8" s="369">
        <f>E8*$C$8</f>
        <v>93910.499999999985</v>
      </c>
      <c r="H8" s="369"/>
      <c r="I8" s="369">
        <f>G8*$C$8</f>
        <v>96258.262499999983</v>
      </c>
      <c r="J8" s="369"/>
      <c r="K8" s="369">
        <f>I8*$C$8</f>
        <v>98664.719062499978</v>
      </c>
      <c r="L8" s="369"/>
      <c r="M8" s="369">
        <f>K8*$C$8</f>
        <v>101131.33703906246</v>
      </c>
      <c r="N8" s="369"/>
      <c r="O8" s="369">
        <f>M8*$C$8</f>
        <v>103659.62046503901</v>
      </c>
      <c r="P8" s="369"/>
      <c r="Q8" s="369">
        <f>O8*$C$8</f>
        <v>106251.11097666498</v>
      </c>
      <c r="R8" s="369"/>
      <c r="S8" s="369">
        <f>Q8*$C$8</f>
        <v>108907.38875108158</v>
      </c>
      <c r="T8" s="369"/>
      <c r="U8" s="369">
        <f>S8*$C$8</f>
        <v>111630.07346985862</v>
      </c>
      <c r="V8" s="369"/>
      <c r="W8" s="369">
        <f>U8*$C$8</f>
        <v>114420.82530660507</v>
      </c>
      <c r="X8" s="369"/>
      <c r="Y8" s="369">
        <f>W8*$C$8</f>
        <v>117281.34593927018</v>
      </c>
      <c r="Z8" s="369"/>
      <c r="AA8" s="369">
        <f>Y8*$C$8</f>
        <v>120213.37958775192</v>
      </c>
      <c r="AB8" s="369"/>
      <c r="AC8" s="369">
        <f>AA8*$C$8</f>
        <v>123218.71407744571</v>
      </c>
      <c r="AD8" s="369"/>
      <c r="AE8" s="369">
        <f>AC8*$C$8</f>
        <v>126299.18192938184</v>
      </c>
      <c r="AF8" s="369"/>
      <c r="AG8" s="369">
        <f>AE8*$C$8</f>
        <v>129456.66147761638</v>
      </c>
    </row>
    <row r="9" spans="1:34" s="350" customFormat="1" ht="14.25">
      <c r="B9" s="350" t="s">
        <v>925</v>
      </c>
      <c r="C9" s="391">
        <f>IF(Application!$D$210="Special Needs",0.1,0.05)</f>
        <v>0.05</v>
      </c>
      <c r="E9" s="388">
        <f>-E8*$C$9</f>
        <v>-4581</v>
      </c>
      <c r="F9" s="368"/>
      <c r="G9" s="388">
        <f>-G8*$C$9</f>
        <v>-4695.5249999999996</v>
      </c>
      <c r="H9" s="368"/>
      <c r="I9" s="388">
        <f>-I8*$C$9</f>
        <v>-4812.9131249999991</v>
      </c>
      <c r="J9" s="368"/>
      <c r="K9" s="388">
        <f>-K8*$C$9</f>
        <v>-4933.2359531249995</v>
      </c>
      <c r="L9" s="368"/>
      <c r="M9" s="388">
        <f>-M8*$C$9</f>
        <v>-5056.5668519531237</v>
      </c>
      <c r="N9" s="368"/>
      <c r="O9" s="388">
        <f>-O8*$C$9</f>
        <v>-5182.9810232519512</v>
      </c>
      <c r="P9" s="368"/>
      <c r="Q9" s="388">
        <f>-Q8*$C$9</f>
        <v>-5312.5555488332493</v>
      </c>
      <c r="R9" s="368"/>
      <c r="S9" s="388">
        <f>-S8*$C$9</f>
        <v>-5445.3694375540799</v>
      </c>
      <c r="T9" s="368"/>
      <c r="U9" s="388">
        <f>-U8*$C$9</f>
        <v>-5581.5036734929308</v>
      </c>
      <c r="V9" s="368"/>
      <c r="W9" s="388">
        <f>-W8*$C$9</f>
        <v>-5721.0412653302537</v>
      </c>
      <c r="X9" s="368"/>
      <c r="Y9" s="388">
        <f>-Y8*$C$9</f>
        <v>-5864.0672969635089</v>
      </c>
      <c r="Z9" s="368"/>
      <c r="AA9" s="388">
        <f>-AA8*$C$9</f>
        <v>-6010.6689793875958</v>
      </c>
      <c r="AB9" s="368"/>
      <c r="AC9" s="388">
        <f>-AC8*$C$9</f>
        <v>-6160.9357038722856</v>
      </c>
      <c r="AD9" s="368"/>
      <c r="AE9" s="388">
        <f>-AE8*$C$9</f>
        <v>-6314.9590964690924</v>
      </c>
      <c r="AF9" s="368"/>
      <c r="AG9" s="388">
        <f>-AG8*$C$9</f>
        <v>-6472.833073880819</v>
      </c>
    </row>
    <row r="10" spans="1:34" s="370" customFormat="1" ht="15">
      <c r="A10" s="370" t="s">
        <v>947</v>
      </c>
      <c r="C10" s="361"/>
      <c r="E10" s="370">
        <f>SUM(E4:E9)</f>
        <v>1389432</v>
      </c>
      <c r="G10" s="370">
        <f>SUM(G4:G9)</f>
        <v>1424167.8</v>
      </c>
      <c r="I10" s="370">
        <f>SUM(I4:I9)</f>
        <v>1459771.9949999999</v>
      </c>
      <c r="K10" s="370">
        <f>SUM(K4:K9)</f>
        <v>1496266.2948749999</v>
      </c>
      <c r="M10" s="370">
        <f>SUM(M4:M9)</f>
        <v>1533672.9522468748</v>
      </c>
      <c r="O10" s="370">
        <f>SUM(O4:O9)</f>
        <v>1572014.7760530463</v>
      </c>
      <c r="Q10" s="370">
        <f>SUM(Q4:Q9)</f>
        <v>1611315.1454543723</v>
      </c>
      <c r="S10" s="370">
        <f>SUM(S4:S9)</f>
        <v>1651598.0240907315</v>
      </c>
      <c r="U10" s="370">
        <f>SUM(U4:U9)</f>
        <v>1692887.9746929996</v>
      </c>
      <c r="W10" s="370">
        <f>SUM(W4:W9)</f>
        <v>1735210.1740603247</v>
      </c>
      <c r="Y10" s="370">
        <f>SUM(Y4:Y9)</f>
        <v>1778590.4284118323</v>
      </c>
      <c r="AA10" s="370">
        <f>SUM(AA4:AA9)</f>
        <v>1823055.1891221281</v>
      </c>
      <c r="AC10" s="370">
        <f>SUM(AC4:AC9)</f>
        <v>1868631.5688501811</v>
      </c>
      <c r="AE10" s="370">
        <f>SUM(AE4:AE9)</f>
        <v>1915347.3580714352</v>
      </c>
      <c r="AG10" s="370">
        <f>SUM(AG4:AG9)</f>
        <v>1963231.0420232208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16050</v>
      </c>
      <c r="G14" s="366">
        <f>E14*$C$13</f>
        <v>16611.75</v>
      </c>
      <c r="I14" s="366">
        <f>G14*$C$13</f>
        <v>17193.161249999997</v>
      </c>
      <c r="K14" s="366">
        <f>I14*$C$13</f>
        <v>17794.921893749997</v>
      </c>
      <c r="M14" s="366">
        <f>K14*$C$13</f>
        <v>18417.744160031245</v>
      </c>
      <c r="O14" s="366">
        <f>M14*$C$13</f>
        <v>19062.365205632337</v>
      </c>
      <c r="Q14" s="366">
        <f>O14*$C$13</f>
        <v>19729.547987829468</v>
      </c>
      <c r="S14" s="366">
        <f>Q14*$C$13</f>
        <v>20420.0821674035</v>
      </c>
      <c r="U14" s="366">
        <f>S14*$C$13</f>
        <v>21134.785043262622</v>
      </c>
      <c r="W14" s="366">
        <f>U14*$C$13</f>
        <v>21874.502519776812</v>
      </c>
      <c r="Y14" s="366">
        <f>W14*$C$13</f>
        <v>22640.110107968998</v>
      </c>
      <c r="AA14" s="366">
        <f>Y14*$C$13</f>
        <v>23432.513961747911</v>
      </c>
      <c r="AC14" s="366">
        <f>AA14*$C$13</f>
        <v>24252.651950409087</v>
      </c>
      <c r="AE14" s="366">
        <f>AC14*$C$13</f>
        <v>25101.494768673401</v>
      </c>
      <c r="AG14" s="366">
        <f>AE14*$C$13</f>
        <v>25980.047085576967</v>
      </c>
    </row>
    <row r="15" spans="1:34" s="350" customFormat="1" ht="14.25">
      <c r="A15" s="350" t="s">
        <v>368</v>
      </c>
      <c r="C15" s="380"/>
      <c r="E15" s="369">
        <f>Application!W829</f>
        <v>51350</v>
      </c>
      <c r="F15" s="369"/>
      <c r="G15" s="369">
        <f t="shared" ref="G15:AG20" si="0">E15*$C$13</f>
        <v>53147.249999999993</v>
      </c>
      <c r="H15" s="369"/>
      <c r="I15" s="369">
        <f t="shared" si="0"/>
        <v>55007.40374999999</v>
      </c>
      <c r="J15" s="369"/>
      <c r="K15" s="369">
        <f t="shared" si="0"/>
        <v>56932.662881249984</v>
      </c>
      <c r="L15" s="369"/>
      <c r="M15" s="369">
        <f t="shared" si="0"/>
        <v>58925.306082093732</v>
      </c>
      <c r="N15" s="369"/>
      <c r="O15" s="369">
        <f t="shared" si="0"/>
        <v>60987.69179496701</v>
      </c>
      <c r="P15" s="369"/>
      <c r="Q15" s="369">
        <f t="shared" si="0"/>
        <v>63122.261007790847</v>
      </c>
      <c r="R15" s="369"/>
      <c r="S15" s="369">
        <f t="shared" si="0"/>
        <v>65331.540143063525</v>
      </c>
      <c r="T15" s="369"/>
      <c r="U15" s="369">
        <f t="shared" si="0"/>
        <v>67618.144048070739</v>
      </c>
      <c r="V15" s="369"/>
      <c r="W15" s="369">
        <f t="shared" si="0"/>
        <v>69984.77908975321</v>
      </c>
      <c r="X15" s="369"/>
      <c r="Y15" s="369">
        <f t="shared" si="0"/>
        <v>72434.246357894561</v>
      </c>
      <c r="Z15" s="369"/>
      <c r="AA15" s="369">
        <f t="shared" si="0"/>
        <v>74969.444980420871</v>
      </c>
      <c r="AB15" s="369"/>
      <c r="AC15" s="369">
        <f t="shared" si="0"/>
        <v>77593.375554735598</v>
      </c>
      <c r="AD15" s="369"/>
      <c r="AE15" s="369">
        <f t="shared" si="0"/>
        <v>80309.143699151333</v>
      </c>
      <c r="AF15" s="369"/>
      <c r="AG15" s="369">
        <f t="shared" si="0"/>
        <v>83119.963728621617</v>
      </c>
    </row>
    <row r="16" spans="1:34" s="350" customFormat="1" ht="14.25">
      <c r="A16" s="350" t="s">
        <v>610</v>
      </c>
      <c r="C16" s="380"/>
      <c r="E16" s="369">
        <f>Application!W835</f>
        <v>109500</v>
      </c>
      <c r="F16" s="369"/>
      <c r="G16" s="369">
        <f t="shared" si="0"/>
        <v>113332.49999999999</v>
      </c>
      <c r="H16" s="369"/>
      <c r="I16" s="369">
        <f t="shared" si="0"/>
        <v>117299.13749999998</v>
      </c>
      <c r="J16" s="369"/>
      <c r="K16" s="369">
        <f t="shared" si="0"/>
        <v>121404.60731249997</v>
      </c>
      <c r="L16" s="369"/>
      <c r="M16" s="369">
        <f t="shared" si="0"/>
        <v>125653.76856843746</v>
      </c>
      <c r="N16" s="369"/>
      <c r="O16" s="369">
        <f t="shared" si="0"/>
        <v>130051.65046833277</v>
      </c>
      <c r="P16" s="369"/>
      <c r="Q16" s="369">
        <f t="shared" si="0"/>
        <v>134603.45823472441</v>
      </c>
      <c r="R16" s="369"/>
      <c r="S16" s="369">
        <f t="shared" si="0"/>
        <v>139314.57927293977</v>
      </c>
      <c r="T16" s="369"/>
      <c r="U16" s="369">
        <f t="shared" si="0"/>
        <v>144190.58954749265</v>
      </c>
      <c r="V16" s="369"/>
      <c r="W16" s="369">
        <f t="shared" si="0"/>
        <v>149237.26018165488</v>
      </c>
      <c r="X16" s="369"/>
      <c r="Y16" s="369">
        <f t="shared" si="0"/>
        <v>154460.5642880128</v>
      </c>
      <c r="Z16" s="369"/>
      <c r="AA16" s="369">
        <f t="shared" si="0"/>
        <v>159866.68403809323</v>
      </c>
      <c r="AB16" s="369"/>
      <c r="AC16" s="369">
        <f t="shared" si="0"/>
        <v>165462.01797942648</v>
      </c>
      <c r="AD16" s="369"/>
      <c r="AE16" s="369">
        <f t="shared" si="0"/>
        <v>171253.1886087064</v>
      </c>
      <c r="AF16" s="369"/>
      <c r="AG16" s="369">
        <f t="shared" si="0"/>
        <v>177247.0502100111</v>
      </c>
    </row>
    <row r="17" spans="1:33" s="350" customFormat="1" ht="14.25">
      <c r="A17" s="350" t="s">
        <v>929</v>
      </c>
      <c r="C17" s="380"/>
      <c r="E17" s="369">
        <f>Application!W840</f>
        <v>70864</v>
      </c>
      <c r="F17" s="369"/>
      <c r="G17" s="369">
        <f t="shared" si="0"/>
        <v>73344.239999999991</v>
      </c>
      <c r="H17" s="369"/>
      <c r="I17" s="369">
        <f t="shared" si="0"/>
        <v>75911.28839999999</v>
      </c>
      <c r="J17" s="369"/>
      <c r="K17" s="369">
        <f t="shared" si="0"/>
        <v>78568.183493999983</v>
      </c>
      <c r="L17" s="369"/>
      <c r="M17" s="369">
        <f t="shared" si="0"/>
        <v>81318.069916289969</v>
      </c>
      <c r="N17" s="369"/>
      <c r="O17" s="369">
        <f t="shared" si="0"/>
        <v>84164.202363360106</v>
      </c>
      <c r="P17" s="369"/>
      <c r="Q17" s="369">
        <f t="shared" si="0"/>
        <v>87109.949446077706</v>
      </c>
      <c r="R17" s="369"/>
      <c r="S17" s="369">
        <f t="shared" si="0"/>
        <v>90158.797676690418</v>
      </c>
      <c r="T17" s="369"/>
      <c r="U17" s="369">
        <f t="shared" si="0"/>
        <v>93314.355595374582</v>
      </c>
      <c r="V17" s="369"/>
      <c r="W17" s="369">
        <f t="shared" si="0"/>
        <v>96580.35804121269</v>
      </c>
      <c r="X17" s="369"/>
      <c r="Y17" s="369">
        <f t="shared" si="0"/>
        <v>99960.67057265513</v>
      </c>
      <c r="Z17" s="369"/>
      <c r="AA17" s="369">
        <f t="shared" si="0"/>
        <v>103459.29404269805</v>
      </c>
      <c r="AB17" s="369"/>
      <c r="AC17" s="369">
        <f t="shared" si="0"/>
        <v>107080.36933419247</v>
      </c>
      <c r="AD17" s="369"/>
      <c r="AE17" s="369">
        <f t="shared" si="0"/>
        <v>110828.1822608892</v>
      </c>
      <c r="AF17" s="369"/>
      <c r="AG17" s="369">
        <f t="shared" si="0"/>
        <v>114707.1686400203</v>
      </c>
    </row>
    <row r="18" spans="1:33" s="350" customFormat="1" ht="14.25">
      <c r="A18" s="350" t="s">
        <v>162</v>
      </c>
      <c r="C18" s="380"/>
      <c r="E18" s="369">
        <f>Application!W841</f>
        <v>36500</v>
      </c>
      <c r="F18" s="369"/>
      <c r="G18" s="369">
        <f t="shared" si="0"/>
        <v>37777.5</v>
      </c>
      <c r="H18" s="369"/>
      <c r="I18" s="369">
        <f t="shared" si="0"/>
        <v>39099.712499999994</v>
      </c>
      <c r="J18" s="369"/>
      <c r="K18" s="369">
        <f t="shared" si="0"/>
        <v>40468.202437499989</v>
      </c>
      <c r="L18" s="369"/>
      <c r="M18" s="369">
        <f t="shared" si="0"/>
        <v>41884.589522812486</v>
      </c>
      <c r="N18" s="369"/>
      <c r="O18" s="369">
        <f t="shared" si="0"/>
        <v>43350.550156110919</v>
      </c>
      <c r="P18" s="369"/>
      <c r="Q18" s="369">
        <f t="shared" si="0"/>
        <v>44867.819411574797</v>
      </c>
      <c r="R18" s="369"/>
      <c r="S18" s="369">
        <f t="shared" si="0"/>
        <v>46438.193090979912</v>
      </c>
      <c r="T18" s="369"/>
      <c r="U18" s="369">
        <f t="shared" si="0"/>
        <v>48063.529849164202</v>
      </c>
      <c r="V18" s="369"/>
      <c r="W18" s="369">
        <f t="shared" si="0"/>
        <v>49745.753393884945</v>
      </c>
      <c r="X18" s="369"/>
      <c r="Y18" s="369">
        <f t="shared" si="0"/>
        <v>51486.854762670911</v>
      </c>
      <c r="Z18" s="369"/>
      <c r="AA18" s="369">
        <f t="shared" si="0"/>
        <v>53288.894679364392</v>
      </c>
      <c r="AB18" s="369"/>
      <c r="AC18" s="369">
        <f t="shared" si="0"/>
        <v>55154.005993142142</v>
      </c>
      <c r="AD18" s="369"/>
      <c r="AE18" s="369">
        <f t="shared" si="0"/>
        <v>57084.396202902113</v>
      </c>
      <c r="AF18" s="369"/>
      <c r="AG18" s="369">
        <f t="shared" si="0"/>
        <v>59082.350070003682</v>
      </c>
    </row>
    <row r="19" spans="1:33" s="350" customFormat="1" ht="14.25">
      <c r="A19" s="350" t="s">
        <v>423</v>
      </c>
      <c r="C19" s="380"/>
      <c r="E19" s="369">
        <f>Application!W850</f>
        <v>54000</v>
      </c>
      <c r="F19" s="369"/>
      <c r="G19" s="369">
        <f t="shared" si="0"/>
        <v>55889.999999999993</v>
      </c>
      <c r="H19" s="369"/>
      <c r="I19" s="369">
        <f t="shared" si="0"/>
        <v>57846.149999999987</v>
      </c>
      <c r="J19" s="369"/>
      <c r="K19" s="369">
        <f t="shared" si="0"/>
        <v>59870.765249999982</v>
      </c>
      <c r="L19" s="369"/>
      <c r="M19" s="369">
        <f t="shared" si="0"/>
        <v>61966.242033749979</v>
      </c>
      <c r="N19" s="369"/>
      <c r="O19" s="369">
        <f t="shared" si="0"/>
        <v>64135.060504931222</v>
      </c>
      <c r="P19" s="369"/>
      <c r="Q19" s="369">
        <f t="shared" si="0"/>
        <v>66379.787622603806</v>
      </c>
      <c r="R19" s="369"/>
      <c r="S19" s="369">
        <f t="shared" si="0"/>
        <v>68703.080189394939</v>
      </c>
      <c r="T19" s="369"/>
      <c r="U19" s="369">
        <f t="shared" si="0"/>
        <v>71107.687996023757</v>
      </c>
      <c r="V19" s="369"/>
      <c r="W19" s="369">
        <f t="shared" si="0"/>
        <v>73596.45707588458</v>
      </c>
      <c r="X19" s="369"/>
      <c r="Y19" s="369">
        <f t="shared" si="0"/>
        <v>76172.333073540532</v>
      </c>
      <c r="Z19" s="369"/>
      <c r="AA19" s="369">
        <f t="shared" si="0"/>
        <v>78838.364731114445</v>
      </c>
      <c r="AB19" s="369"/>
      <c r="AC19" s="369">
        <f t="shared" si="0"/>
        <v>81597.707496703442</v>
      </c>
      <c r="AD19" s="369"/>
      <c r="AE19" s="369">
        <f t="shared" si="0"/>
        <v>84453.627259088054</v>
      </c>
      <c r="AF19" s="369"/>
      <c r="AG19" s="369">
        <f t="shared" si="0"/>
        <v>87409.504213156135</v>
      </c>
    </row>
    <row r="20" spans="1:33" s="350" customFormat="1" ht="14.25">
      <c r="A20" s="373" t="s">
        <v>1072</v>
      </c>
      <c r="B20" s="373"/>
      <c r="C20" s="380"/>
      <c r="E20" s="379">
        <f>Application!W857</f>
        <v>9500</v>
      </c>
      <c r="F20" s="369"/>
      <c r="G20" s="379">
        <f t="shared" si="0"/>
        <v>9832.5</v>
      </c>
      <c r="H20" s="369"/>
      <c r="I20" s="379">
        <f t="shared" si="0"/>
        <v>10176.637499999999</v>
      </c>
      <c r="J20" s="369"/>
      <c r="K20" s="379">
        <f t="shared" si="0"/>
        <v>10532.819812499998</v>
      </c>
      <c r="L20" s="369"/>
      <c r="M20" s="379">
        <f t="shared" si="0"/>
        <v>10901.468505937497</v>
      </c>
      <c r="N20" s="369"/>
      <c r="O20" s="379">
        <f t="shared" si="0"/>
        <v>11283.019903645309</v>
      </c>
      <c r="P20" s="369"/>
      <c r="Q20" s="379">
        <f t="shared" si="0"/>
        <v>11677.925600272894</v>
      </c>
      <c r="R20" s="369"/>
      <c r="S20" s="379">
        <f t="shared" si="0"/>
        <v>12086.652996282444</v>
      </c>
      <c r="T20" s="369"/>
      <c r="U20" s="379">
        <f t="shared" si="0"/>
        <v>12509.68585115233</v>
      </c>
      <c r="V20" s="369"/>
      <c r="W20" s="379">
        <f t="shared" si="0"/>
        <v>12947.52485594266</v>
      </c>
      <c r="X20" s="369"/>
      <c r="Y20" s="379">
        <f t="shared" si="0"/>
        <v>13400.688225900652</v>
      </c>
      <c r="Z20" s="369"/>
      <c r="AA20" s="379">
        <f t="shared" si="0"/>
        <v>13869.712313807175</v>
      </c>
      <c r="AB20" s="369"/>
      <c r="AC20" s="379">
        <f t="shared" si="0"/>
        <v>14355.152244790424</v>
      </c>
      <c r="AD20" s="369"/>
      <c r="AE20" s="379">
        <f t="shared" si="0"/>
        <v>14857.582573358088</v>
      </c>
      <c r="AF20" s="369"/>
      <c r="AG20" s="379">
        <f t="shared" si="0"/>
        <v>15377.59796342562</v>
      </c>
    </row>
    <row r="21" spans="1:33" s="370" customFormat="1" ht="15">
      <c r="A21" s="370" t="s">
        <v>930</v>
      </c>
      <c r="C21" s="380"/>
      <c r="E21" s="370">
        <f>SUM(E14:E20)</f>
        <v>347764</v>
      </c>
      <c r="G21" s="370">
        <f>SUM(G14:G20)</f>
        <v>359935.74</v>
      </c>
      <c r="I21" s="370">
        <f>SUM(I14:I20)</f>
        <v>372533.49089999998</v>
      </c>
      <c r="K21" s="370">
        <f>SUM(K14:K20)</f>
        <v>385572.16308149992</v>
      </c>
      <c r="M21" s="370">
        <f>SUM(M14:M20)</f>
        <v>399067.18878935237</v>
      </c>
      <c r="O21" s="370">
        <f>SUM(O14:O20)</f>
        <v>413034.54039697966</v>
      </c>
      <c r="Q21" s="370">
        <f>SUM(Q14:Q20)</f>
        <v>427490.74931087397</v>
      </c>
      <c r="S21" s="370">
        <f>SUM(S14:S20)</f>
        <v>442452.92553675448</v>
      </c>
      <c r="U21" s="370">
        <f>SUM(U14:U20)</f>
        <v>457938.77793054085</v>
      </c>
      <c r="W21" s="370">
        <f>SUM(W14:W20)</f>
        <v>473966.63515810971</v>
      </c>
      <c r="Y21" s="370">
        <f>SUM(Y14:Y20)</f>
        <v>490555.46738864359</v>
      </c>
      <c r="AA21" s="370">
        <f>SUM(AA14:AA20)</f>
        <v>507724.90874724608</v>
      </c>
      <c r="AC21" s="370">
        <f>SUM(AC14:AC20)</f>
        <v>525495.28055339959</v>
      </c>
      <c r="AE21" s="370">
        <f>SUM(AE14:AE20)</f>
        <v>543887.6153727686</v>
      </c>
      <c r="AG21" s="370">
        <f>SUM(AG14:AG20)</f>
        <v>562923.68191081542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27650</v>
      </c>
      <c r="F25" s="369"/>
      <c r="G25" s="369">
        <f>$E$25</f>
        <v>27650</v>
      </c>
      <c r="H25" s="369"/>
      <c r="I25" s="369">
        <f>$E$25</f>
        <v>27650</v>
      </c>
      <c r="J25" s="369"/>
      <c r="K25" s="369">
        <f>$E$25</f>
        <v>27650</v>
      </c>
      <c r="L25" s="369"/>
      <c r="M25" s="369">
        <f>$E$25</f>
        <v>27650</v>
      </c>
      <c r="N25" s="369"/>
      <c r="O25" s="369">
        <f>$E$25</f>
        <v>27650</v>
      </c>
      <c r="P25" s="369"/>
      <c r="Q25" s="369">
        <f>$E$25</f>
        <v>27650</v>
      </c>
      <c r="R25" s="369"/>
      <c r="S25" s="369">
        <f>$E$25</f>
        <v>27650</v>
      </c>
      <c r="T25" s="369"/>
      <c r="U25" s="369">
        <f>$E$25</f>
        <v>27650</v>
      </c>
      <c r="V25" s="369"/>
      <c r="W25" s="369">
        <f>$E$25</f>
        <v>27650</v>
      </c>
      <c r="X25" s="369"/>
      <c r="Y25" s="369">
        <f>$E$25</f>
        <v>27650</v>
      </c>
      <c r="Z25" s="369"/>
      <c r="AA25" s="369">
        <f>$E$25</f>
        <v>27650</v>
      </c>
      <c r="AB25" s="369"/>
      <c r="AC25" s="369">
        <f>$E$25</f>
        <v>27650</v>
      </c>
      <c r="AD25" s="369"/>
      <c r="AE25" s="369">
        <f>$E$25</f>
        <v>27650</v>
      </c>
      <c r="AF25" s="369"/>
      <c r="AG25" s="369">
        <f>$E$25</f>
        <v>27650</v>
      </c>
    </row>
    <row r="26" spans="1:33" s="350" customFormat="1" ht="14.25">
      <c r="A26" s="350" t="s">
        <v>931</v>
      </c>
      <c r="C26" s="390">
        <v>1.02</v>
      </c>
      <c r="E26" s="369">
        <f>Application!AC868</f>
        <v>7800</v>
      </c>
      <c r="F26" s="369"/>
      <c r="G26" s="369">
        <f>E26*$C$26</f>
        <v>7956</v>
      </c>
      <c r="H26" s="369"/>
      <c r="I26" s="369">
        <f>G26*$C$26</f>
        <v>8115.12</v>
      </c>
      <c r="J26" s="369"/>
      <c r="K26" s="369">
        <f>I26*$C$26</f>
        <v>8277.4223999999995</v>
      </c>
      <c r="L26" s="369"/>
      <c r="M26" s="369">
        <f>K26*$C$26</f>
        <v>8442.970847999999</v>
      </c>
      <c r="N26" s="369"/>
      <c r="O26" s="369">
        <f>M26*$C$26</f>
        <v>8611.8302649599991</v>
      </c>
      <c r="P26" s="369"/>
      <c r="Q26" s="369">
        <f>O26*$C$26</f>
        <v>8784.0668702591993</v>
      </c>
      <c r="R26" s="369"/>
      <c r="S26" s="369">
        <f>Q26*$C$26</f>
        <v>8959.7482076643828</v>
      </c>
      <c r="T26" s="369"/>
      <c r="U26" s="369">
        <f>S26*$C$26</f>
        <v>9138.9431718176711</v>
      </c>
      <c r="V26" s="369"/>
      <c r="W26" s="369">
        <f>U26*$C$26</f>
        <v>9321.7220352540244</v>
      </c>
      <c r="X26" s="369"/>
      <c r="Y26" s="369">
        <f>W26*$C$26</f>
        <v>9508.1564759591056</v>
      </c>
      <c r="Z26" s="369"/>
      <c r="AA26" s="369">
        <f>Y26*$C$26</f>
        <v>9698.3196054782875</v>
      </c>
      <c r="AB26" s="369"/>
      <c r="AC26" s="369">
        <f>AA26*$C$26</f>
        <v>9892.2859975878528</v>
      </c>
      <c r="AD26" s="369"/>
      <c r="AE26" s="369">
        <f>AC26*$C$26</f>
        <v>10090.131717539611</v>
      </c>
      <c r="AF26" s="369"/>
      <c r="AG26" s="369">
        <f>AE26*$C$26</f>
        <v>10291.934351890402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383214</v>
      </c>
      <c r="G30" s="370">
        <f>SUM(G21:G28)</f>
        <v>395541.74</v>
      </c>
      <c r="I30" s="370">
        <f>SUM(I21:I28)</f>
        <v>408298.61089999997</v>
      </c>
      <c r="K30" s="370">
        <f>SUM(K21:K28)</f>
        <v>421499.5854814999</v>
      </c>
      <c r="M30" s="370">
        <f>SUM(M21:M28)</f>
        <v>435160.15963735239</v>
      </c>
      <c r="O30" s="370">
        <f>SUM(O21:O28)</f>
        <v>449296.37066193967</v>
      </c>
      <c r="Q30" s="370">
        <f>SUM(Q21:Q28)</f>
        <v>463924.81618113315</v>
      </c>
      <c r="S30" s="370">
        <f>SUM(S21:S28)</f>
        <v>479062.67374441889</v>
      </c>
      <c r="U30" s="370">
        <f>SUM(U21:U28)</f>
        <v>494727.72110235854</v>
      </c>
      <c r="W30" s="370">
        <f>SUM(W21:W28)</f>
        <v>510938.35719336371</v>
      </c>
      <c r="Y30" s="370">
        <f>SUM(Y21:Y28)</f>
        <v>527713.62386460265</v>
      </c>
      <c r="AA30" s="370">
        <f>SUM(AA21:AA28)</f>
        <v>545073.22835272434</v>
      </c>
      <c r="AC30" s="370">
        <f>SUM(AC21:AC28)</f>
        <v>563037.56655098742</v>
      </c>
      <c r="AE30" s="370">
        <f>SUM(AE21:AE28)</f>
        <v>581627.74709030823</v>
      </c>
      <c r="AG30" s="370">
        <f>SUM(AG21:AG28)</f>
        <v>600865.61626270576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1006218</v>
      </c>
      <c r="G32" s="370">
        <f>G10-G30</f>
        <v>1028626.06</v>
      </c>
      <c r="I32" s="370">
        <f>I10-I30</f>
        <v>1051473.3840999999</v>
      </c>
      <c r="K32" s="370">
        <f>K10-K30</f>
        <v>1074766.7093934999</v>
      </c>
      <c r="M32" s="370">
        <f>M10-M30</f>
        <v>1098512.7926095224</v>
      </c>
      <c r="O32" s="370">
        <f>O10-O30</f>
        <v>1122718.4053911066</v>
      </c>
      <c r="Q32" s="370">
        <f>Q10-Q30</f>
        <v>1147390.3292732392</v>
      </c>
      <c r="S32" s="370">
        <f>S10-S30</f>
        <v>1172535.3503463126</v>
      </c>
      <c r="U32" s="370">
        <f>U10-U30</f>
        <v>1198160.2535906411</v>
      </c>
      <c r="W32" s="370">
        <f>W10-W30</f>
        <v>1224271.8168669608</v>
      </c>
      <c r="Y32" s="370">
        <f>Y10-Y30</f>
        <v>1250876.8045472298</v>
      </c>
      <c r="AA32" s="370">
        <f>AA10-AA30</f>
        <v>1277981.9607694037</v>
      </c>
      <c r="AC32" s="370">
        <f>AC10-AC30</f>
        <v>1305594.0022991938</v>
      </c>
      <c r="AE32" s="370">
        <f>AE10-AE30</f>
        <v>1333719.610981127</v>
      </c>
      <c r="AG32" s="370">
        <f>AG10-AG30</f>
        <v>1362365.425760515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Walker &amp; Dunlop (Tax-Exempt Bonds)</v>
      </c>
      <c r="B35" s="373"/>
      <c r="C35" s="367"/>
      <c r="E35" s="369">
        <f>Application!AB618</f>
        <v>874400</v>
      </c>
      <c r="F35" s="369"/>
      <c r="G35" s="369">
        <f>$E$35</f>
        <v>874400</v>
      </c>
      <c r="H35" s="369"/>
      <c r="I35" s="369">
        <f>$E$35</f>
        <v>874400</v>
      </c>
      <c r="J35" s="369"/>
      <c r="K35" s="369">
        <f>$E$35</f>
        <v>874400</v>
      </c>
      <c r="L35" s="369"/>
      <c r="M35" s="369">
        <f>$E$35</f>
        <v>874400</v>
      </c>
      <c r="N35" s="369"/>
      <c r="O35" s="369">
        <f>$E$35</f>
        <v>874400</v>
      </c>
      <c r="P35" s="369"/>
      <c r="Q35" s="369">
        <f>$E$35</f>
        <v>874400</v>
      </c>
      <c r="R35" s="369"/>
      <c r="S35" s="369">
        <f>$E$35</f>
        <v>874400</v>
      </c>
      <c r="T35" s="369"/>
      <c r="U35" s="369">
        <f>$E$35</f>
        <v>874400</v>
      </c>
      <c r="V35" s="369"/>
      <c r="W35" s="369">
        <f>$E$35</f>
        <v>874400</v>
      </c>
      <c r="X35" s="369"/>
      <c r="Y35" s="369">
        <f>$E$35</f>
        <v>874400</v>
      </c>
      <c r="Z35" s="369"/>
      <c r="AA35" s="369">
        <f>$E$35</f>
        <v>874400</v>
      </c>
      <c r="AB35" s="369"/>
      <c r="AC35" s="369">
        <f>$E$35</f>
        <v>874400</v>
      </c>
      <c r="AD35" s="369"/>
      <c r="AE35" s="369">
        <f>$E$35</f>
        <v>874400</v>
      </c>
      <c r="AF35" s="369"/>
      <c r="AG35" s="369">
        <f>$E$35</f>
        <v>874400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874400</v>
      </c>
      <c r="G38" s="370">
        <f>SUM(G35:G37)</f>
        <v>874400</v>
      </c>
      <c r="I38" s="370">
        <f>SUM(I35:I37)</f>
        <v>874400</v>
      </c>
      <c r="K38" s="370">
        <f>SUM(K35:K37)</f>
        <v>874400</v>
      </c>
      <c r="M38" s="370">
        <f>SUM(M35:M37)</f>
        <v>874400</v>
      </c>
      <c r="O38" s="370">
        <f>SUM(O35:O37)</f>
        <v>874400</v>
      </c>
      <c r="Q38" s="370">
        <f>SUM(Q35:Q37)</f>
        <v>874400</v>
      </c>
      <c r="S38" s="370">
        <f>SUM(S35:S37)</f>
        <v>874400</v>
      </c>
      <c r="U38" s="370">
        <f>SUM(U35:U37)</f>
        <v>874400</v>
      </c>
      <c r="W38" s="370">
        <f>SUM(W35:W37)</f>
        <v>874400</v>
      </c>
      <c r="Y38" s="370">
        <f>SUM(Y35:Y37)</f>
        <v>874400</v>
      </c>
      <c r="AA38" s="370">
        <f>SUM(AA35:AA37)</f>
        <v>874400</v>
      </c>
      <c r="AC38" s="370">
        <f>SUM(AC35:AC37)</f>
        <v>874400</v>
      </c>
      <c r="AE38" s="370">
        <f>SUM(AE35:AE37)</f>
        <v>874400</v>
      </c>
      <c r="AG38" s="370">
        <f>SUM(AG35:AG37)</f>
        <v>874400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131818</v>
      </c>
      <c r="G40" s="370">
        <f>G32-G38</f>
        <v>154226.06000000006</v>
      </c>
      <c r="I40" s="370">
        <f>I32-I38</f>
        <v>177073.38409999991</v>
      </c>
      <c r="K40" s="370">
        <f>K32-K38</f>
        <v>200366.70939349988</v>
      </c>
      <c r="M40" s="370">
        <f>M32-M38</f>
        <v>224112.79260952235</v>
      </c>
      <c r="O40" s="370">
        <f>O32-O38</f>
        <v>248318.40539110661</v>
      </c>
      <c r="Q40" s="370">
        <f>Q32-Q38</f>
        <v>272990.32927323924</v>
      </c>
      <c r="S40" s="370">
        <f>S32-S38</f>
        <v>298135.35034631263</v>
      </c>
      <c r="U40" s="370">
        <f>U32-U38</f>
        <v>323760.25359064108</v>
      </c>
      <c r="W40" s="370">
        <f>W32-W38</f>
        <v>349871.81686696084</v>
      </c>
      <c r="Y40" s="370">
        <f>Y32-Y38</f>
        <v>376476.80454722978</v>
      </c>
      <c r="AA40" s="370">
        <f>AA32-AA38</f>
        <v>403581.96076940373</v>
      </c>
      <c r="AC40" s="370">
        <f>AC32-AC38</f>
        <v>431194.00229919376</v>
      </c>
      <c r="AE40" s="370">
        <f>AE32-AE38</f>
        <v>459319.61098112701</v>
      </c>
      <c r="AG40" s="370">
        <f>AG32-AG38</f>
        <v>487965.42576051503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9.012826824198665E-2</v>
      </c>
      <c r="G42" s="374">
        <f>G40/(G4+G6+G8)</f>
        <v>0.10287745376633291</v>
      </c>
      <c r="I42" s="374">
        <f>I40/(I4+I6+I8)</f>
        <v>0.11523697911124807</v>
      </c>
      <c r="K42" s="374">
        <f>K40/(K4+K6+K8)</f>
        <v>0.12721557290691152</v>
      </c>
      <c r="M42" s="374">
        <f>M40/(M4+M6+M8)</f>
        <v>0.13882174336264533</v>
      </c>
      <c r="O42" s="374">
        <f>O40/(O4+O6+O8)</f>
        <v>0.15006378356941791</v>
      </c>
      <c r="Q42" s="374">
        <f>Q40/(Q4+Q6+Q8)</f>
        <v>0.1609497766723009</v>
      </c>
      <c r="S42" s="374">
        <f>S40/(S4+S6+S8)</f>
        <v>0.17148760091604329</v>
      </c>
      <c r="U42" s="374">
        <f>U40/(U4+U6+U8)</f>
        <v>0.18168493456685247</v>
      </c>
      <c r="W42" s="374">
        <f>W40/(W4+W6+W8)</f>
        <v>0.19154926071339282</v>
      </c>
      <c r="Y42" s="374">
        <f>Y40/(Y4+Y6+Y8)</f>
        <v>0.20108787194994046</v>
      </c>
      <c r="AA42" s="374">
        <f>AA40/(AA4+AA6+AA8)</f>
        <v>0.21030787494456327</v>
      </c>
      <c r="AC42" s="374">
        <f>AC40/(AC4+AC6+AC8)</f>
        <v>0.21921619489511945</v>
      </c>
      <c r="AE42" s="374">
        <f>AE40/(AE4+AE6+AE8)</f>
        <v>0.2278195798758067</v>
      </c>
      <c r="AG42" s="374">
        <f>AG40/(AG4+AG6+AG8)</f>
        <v>0.23612460507692312</v>
      </c>
    </row>
    <row r="43" spans="1:35" s="374" customFormat="1" ht="14.25">
      <c r="A43" s="374" t="s">
        <v>939</v>
      </c>
      <c r="C43" s="367"/>
      <c r="E43" s="374">
        <f>E40/E38</f>
        <v>0.15075251601097897</v>
      </c>
      <c r="G43" s="374">
        <f>G40/G38</f>
        <v>0.17637930009149136</v>
      </c>
      <c r="I43" s="374">
        <f>I40/I38</f>
        <v>0.20250844476212249</v>
      </c>
      <c r="K43" s="374">
        <f>K40/K38</f>
        <v>0.22914765484160554</v>
      </c>
      <c r="M43" s="374">
        <f>M40/M38</f>
        <v>0.25630465760466875</v>
      </c>
      <c r="O43" s="374">
        <f>O40/O38</f>
        <v>0.28398719738232686</v>
      </c>
      <c r="Q43" s="374">
        <f>Q40/Q38</f>
        <v>0.31220302981843462</v>
      </c>
      <c r="S43" s="374">
        <f>S40/S38</f>
        <v>0.34095991576659723</v>
      </c>
      <c r="U43" s="374">
        <f>U40/U38</f>
        <v>0.37026561481088871</v>
      </c>
      <c r="W43" s="374">
        <f>W40/W38</f>
        <v>0.40012787839313912</v>
      </c>
      <c r="Y43" s="374">
        <f>Y40/Y38</f>
        <v>0.43055444252885383</v>
      </c>
      <c r="AA43" s="374">
        <f>AA40/AA38</f>
        <v>0.46155302009309668</v>
      </c>
      <c r="AC43" s="374">
        <f>AC40/AC38</f>
        <v>0.49313129265690048</v>
      </c>
      <c r="AE43" s="374">
        <f>AE40/AE38</f>
        <v>0.52529690185398792</v>
      </c>
      <c r="AG43" s="374">
        <f>AG40/AG38</f>
        <v>0.55805744025676463</v>
      </c>
    </row>
    <row r="44" spans="1:35" s="375" customFormat="1" ht="14.25">
      <c r="A44" s="375" t="s">
        <v>937</v>
      </c>
      <c r="C44" s="376"/>
      <c r="E44" s="375">
        <f>E32/E38</f>
        <v>1.1507525160109791</v>
      </c>
      <c r="G44" s="375">
        <f>G32/G38</f>
        <v>1.1763793000914913</v>
      </c>
      <c r="I44" s="375">
        <f>I32/I38</f>
        <v>1.2025084447621226</v>
      </c>
      <c r="K44" s="375">
        <f>K32/K38</f>
        <v>1.2291476548416056</v>
      </c>
      <c r="M44" s="375">
        <f>M32/M38</f>
        <v>1.2563046576046688</v>
      </c>
      <c r="O44" s="375">
        <f>O32/O38</f>
        <v>1.2839871973823269</v>
      </c>
      <c r="Q44" s="375">
        <f>Q32/Q38</f>
        <v>1.3122030298184346</v>
      </c>
      <c r="S44" s="375">
        <f>S32/S38</f>
        <v>1.3409599157665972</v>
      </c>
      <c r="U44" s="375">
        <f>U32/U38</f>
        <v>1.3702656148108887</v>
      </c>
      <c r="W44" s="375">
        <f>W32/W38</f>
        <v>1.400127878393139</v>
      </c>
      <c r="Y44" s="375">
        <f>Y32/Y38</f>
        <v>1.4305544425288539</v>
      </c>
      <c r="AA44" s="375">
        <f>AA32/AA38</f>
        <v>1.4615530200930966</v>
      </c>
      <c r="AC44" s="375">
        <f>AC32/AC38</f>
        <v>1.4931312926569005</v>
      </c>
      <c r="AE44" s="375">
        <f>AE32/AE38</f>
        <v>1.5252969018539879</v>
      </c>
      <c r="AG44" s="375">
        <f>AG32/AG38</f>
        <v>1.5580574402567646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14000</v>
      </c>
      <c r="F48" s="363"/>
      <c r="G48" s="369">
        <f>E48</f>
        <v>14000</v>
      </c>
      <c r="H48" s="363"/>
      <c r="I48" s="369">
        <f>G48</f>
        <v>14000</v>
      </c>
      <c r="J48" s="363"/>
      <c r="K48" s="369">
        <f>I48</f>
        <v>14000</v>
      </c>
      <c r="L48" s="363"/>
      <c r="M48" s="369">
        <f>K48</f>
        <v>14000</v>
      </c>
      <c r="N48" s="363"/>
      <c r="O48" s="369">
        <f>M48</f>
        <v>14000</v>
      </c>
      <c r="P48" s="363"/>
      <c r="Q48" s="369">
        <f>O48</f>
        <v>14000</v>
      </c>
      <c r="R48" s="363"/>
      <c r="S48" s="369">
        <f>Q48</f>
        <v>14000</v>
      </c>
      <c r="T48" s="363"/>
      <c r="U48" s="369">
        <f>S48</f>
        <v>14000</v>
      </c>
      <c r="V48" s="363"/>
      <c r="W48" s="369">
        <f>U48</f>
        <v>14000</v>
      </c>
      <c r="X48" s="363"/>
      <c r="Y48" s="369">
        <f>W48</f>
        <v>14000</v>
      </c>
      <c r="Z48" s="363"/>
      <c r="AA48" s="369">
        <f>Y48</f>
        <v>14000</v>
      </c>
      <c r="AB48" s="363"/>
      <c r="AC48" s="369">
        <f>AA48</f>
        <v>14000</v>
      </c>
      <c r="AD48" s="363"/>
      <c r="AE48" s="369">
        <f>AC48</f>
        <v>14000</v>
      </c>
      <c r="AF48" s="363"/>
      <c r="AG48" s="369">
        <f>AE48</f>
        <v>14000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14000</v>
      </c>
      <c r="F52" s="363"/>
      <c r="G52" s="363">
        <f>SUM(G47:G51)</f>
        <v>14000</v>
      </c>
      <c r="H52" s="363"/>
      <c r="I52" s="363">
        <f>SUM(I47:I51)</f>
        <v>14000</v>
      </c>
      <c r="J52" s="363"/>
      <c r="K52" s="363">
        <f>SUM(K47:K51)</f>
        <v>14000</v>
      </c>
      <c r="L52" s="363"/>
      <c r="M52" s="363">
        <f>SUM(M47:M51)</f>
        <v>14000</v>
      </c>
      <c r="N52" s="363"/>
      <c r="O52" s="363">
        <f>SUM(O47:O51)</f>
        <v>14000</v>
      </c>
      <c r="P52" s="363"/>
      <c r="Q52" s="363">
        <f>SUM(Q47:Q51)</f>
        <v>14000</v>
      </c>
      <c r="R52" s="363"/>
      <c r="S52" s="363">
        <f>SUM(S47:S51)</f>
        <v>14000</v>
      </c>
      <c r="T52" s="363"/>
      <c r="U52" s="363">
        <f>SUM(U47:U51)</f>
        <v>14000</v>
      </c>
      <c r="V52" s="363"/>
      <c r="W52" s="363">
        <f>SUM(W47:W51)</f>
        <v>14000</v>
      </c>
      <c r="X52" s="363"/>
      <c r="Y52" s="363">
        <f>SUM(Y47:Y51)</f>
        <v>14000</v>
      </c>
      <c r="Z52" s="363"/>
      <c r="AA52" s="363">
        <f>SUM(AA47:AA51)</f>
        <v>14000</v>
      </c>
      <c r="AB52" s="363"/>
      <c r="AC52" s="363">
        <f>SUM(AC47:AC51)</f>
        <v>14000</v>
      </c>
      <c r="AD52" s="363"/>
      <c r="AE52" s="363">
        <f>SUM(AE47:AE51)</f>
        <v>14000</v>
      </c>
      <c r="AF52" s="363"/>
      <c r="AG52" s="363">
        <f>SUM(AG47:AG51)</f>
        <v>14000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117818</v>
      </c>
      <c r="G54" s="255">
        <f>G40-G52</f>
        <v>140226.06000000006</v>
      </c>
      <c r="I54" s="255">
        <f>I40-I52</f>
        <v>163073.38409999991</v>
      </c>
      <c r="K54" s="255">
        <f>K40-K52</f>
        <v>186366.70939349988</v>
      </c>
      <c r="M54" s="255">
        <f>M40-M52</f>
        <v>210112.79260952235</v>
      </c>
      <c r="O54" s="255">
        <f>O40-O52</f>
        <v>234318.40539110661</v>
      </c>
      <c r="Q54" s="255">
        <f>Q40-Q52</f>
        <v>258990.32927323924</v>
      </c>
      <c r="S54" s="255">
        <f>S40-S52</f>
        <v>284135.35034631263</v>
      </c>
      <c r="U54" s="255">
        <f>U40-U52</f>
        <v>309760.25359064108</v>
      </c>
      <c r="W54" s="255">
        <f>W40-W52</f>
        <v>335871.81686696084</v>
      </c>
      <c r="Y54" s="255">
        <f>Y40-Y52</f>
        <v>362476.80454722978</v>
      </c>
      <c r="AA54" s="255">
        <f>AA40-AA52</f>
        <v>389581.96076940373</v>
      </c>
      <c r="AC54" s="255">
        <f>AC40-AC52</f>
        <v>417194.00229919376</v>
      </c>
      <c r="AE54" s="255">
        <f>AE40-AE52</f>
        <v>445319.61098112701</v>
      </c>
      <c r="AG54" s="255">
        <f>AG40-AG52</f>
        <v>473965.42576051503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E54*0.5</f>
        <v>58909</v>
      </c>
      <c r="G56" s="383">
        <f>G54*0.5</f>
        <v>70113.030000000028</v>
      </c>
      <c r="I56" s="383">
        <f>I54*0.5</f>
        <v>81536.692049999954</v>
      </c>
      <c r="K56" s="383">
        <f>K54*0.5</f>
        <v>93183.354696749942</v>
      </c>
      <c r="M56" s="383">
        <f>M54*0.5</f>
        <v>105056.39630476118</v>
      </c>
      <c r="O56" s="383">
        <f>O54*0.5</f>
        <v>117159.20269555331</v>
      </c>
      <c r="Q56" s="383">
        <f>Q54*0.5</f>
        <v>129495.16463661962</v>
      </c>
      <c r="S56" s="383">
        <f>S54*0.5</f>
        <v>142067.67517315631</v>
      </c>
      <c r="U56" s="383">
        <f>U54*0.5</f>
        <v>154880.12679532054</v>
      </c>
      <c r="W56" s="383">
        <f>W54*0.5</f>
        <v>167935.90843348042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t="str">
        <f>Application!C547</f>
        <v>ABS Mayer Bricker (RR Seller CarryBackLoan)</v>
      </c>
      <c r="C59" s="381"/>
      <c r="E59" s="383">
        <f>E56</f>
        <v>58909</v>
      </c>
      <c r="G59" s="383">
        <f>G56</f>
        <v>70113.030000000028</v>
      </c>
      <c r="I59" s="383">
        <f>I56</f>
        <v>81536.692049999954</v>
      </c>
      <c r="K59" s="383">
        <f>K56</f>
        <v>93183.354696749942</v>
      </c>
      <c r="M59" s="383">
        <f>M56</f>
        <v>105056.39630476118</v>
      </c>
      <c r="O59" s="383">
        <f>O56</f>
        <v>117159.20269555331</v>
      </c>
      <c r="Q59" s="383">
        <f>Q56</f>
        <v>129495.16463661962</v>
      </c>
      <c r="S59" s="383">
        <f>S56</f>
        <v>142067.67517315631</v>
      </c>
      <c r="U59" s="383">
        <f>U56</f>
        <v>154880.12679532054</v>
      </c>
      <c r="W59" s="383">
        <f>W56</f>
        <v>167935.90843348042</v>
      </c>
      <c r="Y59" s="383">
        <f>Y54</f>
        <v>362476.80454722978</v>
      </c>
      <c r="AA59" s="383">
        <f>AA54</f>
        <v>389581.96076940373</v>
      </c>
      <c r="AC59" s="383">
        <f>AC54</f>
        <v>417194.00229919376</v>
      </c>
      <c r="AE59" s="383">
        <f>AE54</f>
        <v>445319.61098112701</v>
      </c>
      <c r="AG59" s="383">
        <f>AG54</f>
        <v>473965.42576051503</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Clark, Isaac</cp:lastModifiedBy>
  <cp:lastPrinted>2020-09-24T10:06:11Z</cp:lastPrinted>
  <dcterms:created xsi:type="dcterms:W3CDTF">2007-12-27T18:26:28Z</dcterms:created>
  <dcterms:modified xsi:type="dcterms:W3CDTF">2020-10-01T21:37:45Z</dcterms:modified>
</cp:coreProperties>
</file>